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threadedComments/threadedComment2.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K:\SASD\22CAFR\Packages\SIG\"/>
    </mc:Choice>
  </mc:AlternateContent>
  <xr:revisionPtr revIDLastSave="0" documentId="13_ncr:1_{5EF5CFF3-6C29-42EA-9DDD-9707B9C8A576}" xr6:coauthVersionLast="47" xr6:coauthVersionMax="47" xr10:uidLastSave="{00000000-0000-0000-0000-000000000000}"/>
  <bookViews>
    <workbookView xWindow="-120" yWindow="-120" windowWidth="29040" windowHeight="15840" tabRatio="923" xr2:uid="{00000000-000D-0000-FFFF-FFFF00000000}"/>
  </bookViews>
  <sheets>
    <sheet name="Instruct" sheetId="1" r:id="rId1"/>
    <sheet name="Pkg Updates" sheetId="103" r:id="rId2"/>
    <sheet name="Index" sheetId="2" r:id="rId3"/>
    <sheet name="Dashboard" sheetId="121" r:id="rId4"/>
    <sheet name="101" sheetId="3" r:id="rId5"/>
    <sheet name="105" sheetId="4" r:id="rId6"/>
    <sheet name="110" sheetId="89" r:id="rId7"/>
    <sheet name="120" sheetId="97" r:id="rId8"/>
    <sheet name="201" sheetId="5" r:id="rId9"/>
    <sheet name="202" sheetId="112" r:id="rId10"/>
    <sheet name="203" sheetId="113" r:id="rId11"/>
    <sheet name="210" sheetId="8" r:id="rId12"/>
    <sheet name="215" sheetId="9" r:id="rId13"/>
    <sheet name="220" sheetId="10" r:id="rId14"/>
    <sheet name="301" sheetId="11" r:id="rId15"/>
    <sheet name="305" sheetId="12" r:id="rId16"/>
    <sheet name="310" sheetId="13" r:id="rId17"/>
    <sheet name="315" sheetId="14" r:id="rId18"/>
    <sheet name="320" sheetId="15" r:id="rId19"/>
    <sheet name="322" sheetId="16" r:id="rId20"/>
    <sheet name="323" sheetId="115" r:id="rId21"/>
    <sheet name="325" sheetId="17" r:id="rId22"/>
    <sheet name="330" sheetId="18" r:id="rId23"/>
    <sheet name="338" sheetId="95" r:id="rId24"/>
    <sheet name="340" sheetId="19" r:id="rId25"/>
    <sheet name="341" sheetId="20" r:id="rId26"/>
    <sheet name="342" sheetId="21" r:id="rId27"/>
    <sheet name="345" sheetId="22" r:id="rId28"/>
    <sheet name="350" sheetId="23" r:id="rId29"/>
    <sheet name="355" sheetId="24" r:id="rId30"/>
    <sheet name="365" sheetId="25" r:id="rId31"/>
    <sheet name="370" sheetId="26" r:id="rId32"/>
    <sheet name="375-A" sheetId="119" r:id="rId33"/>
    <sheet name="375-B" sheetId="120" r:id="rId34"/>
    <sheet name="401" sheetId="28" r:id="rId35"/>
    <sheet name="405" sheetId="29" r:id="rId36"/>
    <sheet name="410" sheetId="30" r:id="rId37"/>
    <sheet name="415" sheetId="31" r:id="rId38"/>
    <sheet name="420" sheetId="32" r:id="rId39"/>
    <sheet name="425" sheetId="33" r:id="rId40"/>
    <sheet name="430G" sheetId="34" r:id="rId41"/>
    <sheet name="430BTA" sheetId="94" r:id="rId42"/>
    <sheet name="430F" sheetId="118" r:id="rId43"/>
    <sheet name="431G" sheetId="35" r:id="rId44"/>
    <sheet name="431BTA" sheetId="98" r:id="rId45"/>
    <sheet name="501" sheetId="36" r:id="rId46"/>
    <sheet name="505" sheetId="37" r:id="rId47"/>
    <sheet name="510" sheetId="38" r:id="rId48"/>
    <sheet name="515" sheetId="39" r:id="rId49"/>
    <sheet name="520" sheetId="40" r:id="rId50"/>
    <sheet name="525" sheetId="41" r:id="rId51"/>
    <sheet name="530" sheetId="42" r:id="rId52"/>
    <sheet name="535" sheetId="43" r:id="rId53"/>
    <sheet name="540" sheetId="109" r:id="rId54"/>
    <sheet name="545" sheetId="110" r:id="rId55"/>
    <sheet name="550" sheetId="106" r:id="rId56"/>
    <sheet name="555" sheetId="107" r:id="rId57"/>
    <sheet name="560" sheetId="108" r:id="rId58"/>
    <sheet name="565" sheetId="46" r:id="rId59"/>
    <sheet name="570" sheetId="47" r:id="rId60"/>
    <sheet name="602" sheetId="117" r:id="rId61"/>
    <sheet name="605" sheetId="49" r:id="rId62"/>
    <sheet name="610" sheetId="50" r:id="rId63"/>
    <sheet name="615" sheetId="51" r:id="rId64"/>
    <sheet name="616" sheetId="105" r:id="rId65"/>
    <sheet name="620" sheetId="52" r:id="rId66"/>
    <sheet name="625" sheetId="53" r:id="rId67"/>
    <sheet name="635" sheetId="55" r:id="rId68"/>
    <sheet name="640" sheetId="104" r:id="rId69"/>
    <sheet name="705" sheetId="56" r:id="rId70"/>
    <sheet name="710" sheetId="57" r:id="rId71"/>
    <sheet name="715" sheetId="59" r:id="rId72"/>
    <sheet name="720" sheetId="60" r:id="rId73"/>
    <sheet name="725" sheetId="61" r:id="rId74"/>
    <sheet name="730" sheetId="62" r:id="rId75"/>
    <sheet name="735" sheetId="63" r:id="rId76"/>
    <sheet name="740" sheetId="64" r:id="rId77"/>
    <sheet name="745" sheetId="65" r:id="rId78"/>
    <sheet name="755" sheetId="101" r:id="rId79"/>
    <sheet name="756" sheetId="58" r:id="rId80"/>
    <sheet name="760" sheetId="100" r:id="rId81"/>
    <sheet name="765" sheetId="99" r:id="rId82"/>
    <sheet name="905" sheetId="66" r:id="rId83"/>
    <sheet name="For 905-NCAS Acct Roll-up" sheetId="67" r:id="rId84"/>
    <sheet name="905Hosp" sheetId="68" r:id="rId85"/>
    <sheet name="906-6B" sheetId="69" r:id="rId86"/>
    <sheet name="906-6C" sheetId="87" r:id="rId87"/>
    <sheet name="906-6BC" sheetId="88" r:id="rId88"/>
    <sheet name="907" sheetId="70" r:id="rId89"/>
    <sheet name="910" sheetId="72" r:id="rId90"/>
    <sheet name="910Hosp" sheetId="90" r:id="rId91"/>
    <sheet name="911-6B" sheetId="74" r:id="rId92"/>
    <sheet name="911-6C" sheetId="92" r:id="rId93"/>
    <sheet name="Explanations" sheetId="75" r:id="rId94"/>
    <sheet name="Comments" sheetId="76" r:id="rId95"/>
    <sheet name="Agencies" sheetId="96" r:id="rId96"/>
    <sheet name="Functional" sheetId="78" r:id="rId97"/>
    <sheet name="NetPosition" sheetId="79" r:id="rId98"/>
    <sheet name="PriorYr905" sheetId="80" r:id="rId99"/>
    <sheet name="PriorYr906" sheetId="85" r:id="rId100"/>
    <sheet name="All Agencies" sheetId="77" r:id="rId101"/>
    <sheet name="OSC Analysts" sheetId="111" r:id="rId102"/>
    <sheet name="Data" sheetId="81" state="hidden" r:id="rId103"/>
    <sheet name="Errors" sheetId="82" state="hidden" r:id="rId104"/>
    <sheet name="Notes" sheetId="83" state="hidden" r:id="rId105"/>
  </sheets>
  <externalReferences>
    <externalReference r:id="rId106"/>
  </externalReferences>
  <definedNames>
    <definedName name="__Agy301">'301'!$G$5</definedName>
    <definedName name="__AGY305">'305'!$K$6</definedName>
    <definedName name="__AGY310">'310'!$K$6</definedName>
    <definedName name="__Agy501">'501'!$E$6</definedName>
    <definedName name="__Agy510">'510'!$D$6</definedName>
    <definedName name="__Agy515">'515'!$D$6</definedName>
    <definedName name="__Agy520">'520'!$D$6</definedName>
    <definedName name="__Agy525">'525'!$D$6</definedName>
    <definedName name="__Agy530">'530'!$D$6</definedName>
    <definedName name="__FMD320">'320'!$M$46</definedName>
    <definedName name="__OID320">'320'!$M$36</definedName>
    <definedName name="__TO320">'320'!$P$42</definedName>
    <definedName name="_AGY201">'201'!$N$6</definedName>
    <definedName name="_AGY210">'210'!$I$5</definedName>
    <definedName name="_Agy301">'301'!$G$5</definedName>
    <definedName name="_AGY305">'305'!$K$6</definedName>
    <definedName name="_AGY310">'310'!$K$6</definedName>
    <definedName name="_AGY315" localSheetId="17">'315'!$I$7</definedName>
    <definedName name="_AGY320">'320'!$I$7</definedName>
    <definedName name="_AGY325">'325'!$K$5</definedName>
    <definedName name="_Agy501">'501'!$E$6</definedName>
    <definedName name="_Agy510">'510'!$D$6</definedName>
    <definedName name="_Agy515">'515'!$D$6</definedName>
    <definedName name="_Agy520">'520'!$D$6</definedName>
    <definedName name="_Agy525">'525'!$D$6</definedName>
    <definedName name="_Agy530">'530'!$D$6</definedName>
    <definedName name="_Agy535">'535'!$D$5</definedName>
    <definedName name="_Agy710">'710'!$M$6</definedName>
    <definedName name="_Agy720">'720'!$M$6</definedName>
    <definedName name="_COL201">'201'!$A$18:$X$18</definedName>
    <definedName name="_COL210">'210'!$A$15:$S$15</definedName>
    <definedName name="_COL305">'305'!$A$15:$R$15</definedName>
    <definedName name="_COL310">'310'!$A$15:$Q$15</definedName>
    <definedName name="_COL315" localSheetId="17">'315'!$A$31:$I$31</definedName>
    <definedName name="_COL320">'320'!$A$20:$K$20</definedName>
    <definedName name="_COL325">'325'!$B$16:$P$16</definedName>
    <definedName name="_Col705">'705'!$B$16:$Q$16</definedName>
    <definedName name="_Col710">'710'!$I$19:$Q$19</definedName>
    <definedName name="_Col715">'715'!$B$17:$Q$17</definedName>
    <definedName name="_Col720">'720'!$B$14:$Q$14</definedName>
    <definedName name="_Col725">'725'!$B$12:$S$12</definedName>
    <definedName name="_Col735">'735'!$B$22:$O$22</definedName>
    <definedName name="_Col740">'740'!$B$16:$O$16</definedName>
    <definedName name="_Col745">'745'!$B$17:$N$17</definedName>
    <definedName name="_Col755">'755'!$I$18:$U$18</definedName>
    <definedName name="_Data725">'725'!$B$12:$S$31</definedName>
    <definedName name="_xlnm._FilterDatabase" localSheetId="21" hidden="1">'325'!$G$11:$G$12</definedName>
    <definedName name="_xlnm._FilterDatabase" localSheetId="100" hidden="1">'All Agencies'!$A$1:$M$135</definedName>
    <definedName name="_FMD315" localSheetId="17">'315'!$K$46</definedName>
    <definedName name="_FMD320">'320'!$M$46</definedName>
    <definedName name="_OID315" localSheetId="17">'315'!$K$36</definedName>
    <definedName name="_OID320">'320'!$M$36</definedName>
    <definedName name="_ROW201">'201'!$A$1:$A$58</definedName>
    <definedName name="_ROW210">'210'!$A$1:$A$38</definedName>
    <definedName name="_ROW305">'305'!$A$1:$A$43</definedName>
    <definedName name="_ROW310">'310'!$A$1:$A$55</definedName>
    <definedName name="_ROW315" localSheetId="17">'315'!$A$31:$B$46</definedName>
    <definedName name="_ROW320">'320'!$A$20:$A$46</definedName>
    <definedName name="_ROW325">'325'!$B$1:$B$55</definedName>
    <definedName name="_Row705">'705'!$B$16:$B$45</definedName>
    <definedName name="_Row710">'710'!$I$19:$I$76</definedName>
    <definedName name="_Row715">'715'!$B$17:$B$41</definedName>
    <definedName name="_Row720">'720'!$B$14:$B$56</definedName>
    <definedName name="_Row725">'725'!$B$12:$B$31</definedName>
    <definedName name="_Row735">'735'!$B$22:$B$32</definedName>
    <definedName name="_Row740">'740'!$B$16:$B$41</definedName>
    <definedName name="_Row745">'745'!$B$17:$B$23</definedName>
    <definedName name="_Row755">'755'!$I$18:$I$64</definedName>
    <definedName name="_TO315" localSheetId="17">'315'!$N$42</definedName>
    <definedName name="_TO320">'320'!$P$42</definedName>
    <definedName name="a905a">'905'!$A$13:$A$254</definedName>
    <definedName name="a905b">'905'!$F$13:$F$254</definedName>
    <definedName name="a905c">'905'!$F$232</definedName>
    <definedName name="a905Data">'905'!$A:$F</definedName>
    <definedName name="a905Ha" localSheetId="84">'905Hosp'!$A$14:$A$252</definedName>
    <definedName name="a905Hb" localSheetId="84">'905Hosp'!$F$14:$F$252</definedName>
    <definedName name="a905Hc" localSheetId="84">'905Hosp'!$F$230</definedName>
    <definedName name="a905HData">'905Hosp'!$A:$F</definedName>
    <definedName name="AgyIdx">Index!$E$10</definedName>
    <definedName name="AgyName">Index!$E$11</definedName>
    <definedName name="AgyNum">'All Agencies'!$C$3:$C$76</definedName>
    <definedName name="BeginningNetAssets" comment="Equals Ending net assets per prior year CAFR" localSheetId="97">NetPosition!$C$5:$C$33</definedName>
    <definedName name="compgasb">'All Agencies'!$E$3:$E$135</definedName>
    <definedName name="compname">'All Agencies'!$D$3:$D$135</definedName>
    <definedName name="compnum">'All Agencies'!$B$3:$B$135</definedName>
    <definedName name="compnumtxt">Agencies!$B$3:$B$65</definedName>
    <definedName name="comptable">Agencies!$A$3:$D$65</definedName>
    <definedName name="ConcNum">Agencies!$A$3:$A$65</definedName>
    <definedName name="CurrentAssets">Notes!$R$4:$R$20</definedName>
    <definedName name="CurrentLiabilities">Notes!$R$34:$R$50</definedName>
    <definedName name="DATA201" localSheetId="8">'201'!$A$1:$U$53</definedName>
    <definedName name="DATA210" localSheetId="11">'210'!$A$1:$S$35</definedName>
    <definedName name="DATA305">'305'!$A$1:$P$44</definedName>
    <definedName name="DATA310">'310'!$A$1:$P$57</definedName>
    <definedName name="DATA315" localSheetId="17">'315'!$A$31:$I$47</definedName>
    <definedName name="DATA320">'320'!$A$20:$K$47</definedName>
    <definedName name="DATA325">'325'!$B$1:$P$65</definedName>
    <definedName name="Data705">'705'!$B$16:$Q$45</definedName>
    <definedName name="Data710">'710'!$I$19:$Q$76</definedName>
    <definedName name="Data715">'715'!$B$17:$Q$41</definedName>
    <definedName name="Data720">'720'!$B$14:$Q$56</definedName>
    <definedName name="Data735">'735'!$B$22:$O$32</definedName>
    <definedName name="Data740">'740'!$B$16:$O$41</definedName>
    <definedName name="Data745">'745'!$B$17:$N$23</definedName>
    <definedName name="Data755">'755'!$I$18:$U$64</definedName>
    <definedName name="Deferredinflows">Notes!$R$77:$R$81</definedName>
    <definedName name="DeferredOutflows">Notes!$R$68:$R$73</definedName>
    <definedName name="Derivative">Notes!$J$1:$J$8</definedName>
    <definedName name="ErrorCode">Errors!$A$1:$A$216</definedName>
    <definedName name="ErrorKey">Errors!$B$1:$B$216</definedName>
    <definedName name="ErrorTable">Errors!$A$1:$AD$216</definedName>
    <definedName name="FaCol301">'301'!#REF!</definedName>
    <definedName name="FaDat301">'301'!#REF!</definedName>
    <definedName name="FaRow301">'301'!#REF!</definedName>
    <definedName name="FCCSent">'All Agencies'!$S$2:$T$21</definedName>
    <definedName name="FCCSnum">'All Agencies'!$N$2:$P$76</definedName>
    <definedName name="FROM315" localSheetId="17">'315'!$K$42</definedName>
    <definedName name="FROM320">'320'!$M$42</definedName>
    <definedName name="function">Notes!$H$1:$H$15</definedName>
    <definedName name="functionA">Notes!$H$35:$H$47</definedName>
    <definedName name="functionC">Notes!$H$18:$H$32</definedName>
    <definedName name="Gasb510">'510'!$D$8</definedName>
    <definedName name="Gasb515">'515'!$D$8</definedName>
    <definedName name="Gasb520">'520'!$D$8</definedName>
    <definedName name="Gasb525">'525'!$D$8</definedName>
    <definedName name="Gasb530">'530'!$D$8</definedName>
    <definedName name="Gasb535">'535'!$D$7</definedName>
    <definedName name="hk">'All Agencies'!$C$3:$C$133</definedName>
    <definedName name="IdxNa">Index!$B$16:$B$113</definedName>
    <definedName name="IdxSheetNum">Index!$A$16:$A$113</definedName>
    <definedName name="IdxTable">Index!$A$16:$AA$113</definedName>
    <definedName name="Leaseannualrental301">'301'!#REF!</definedName>
    <definedName name="Leaseasset301">'301'!#REF!</definedName>
    <definedName name="LeaseCol301">'301'!$A$27:$K$27</definedName>
    <definedName name="LeaseDat301">'301'!$A$20:$K$53</definedName>
    <definedName name="LeaseRow301">'301'!$B$20:$B$53</definedName>
    <definedName name="List505thru520">Agencies!$B$70:$B$103</definedName>
    <definedName name="Listfor525and530">Agencies!$B$104:$B$200</definedName>
    <definedName name="Listfor535">Agencies!$B$70:$B$200</definedName>
    <definedName name="NetAssetsData">NetPosition!$A$4:$E$37</definedName>
    <definedName name="NetAssetsDataRow">NetPosition!$A$4:$A$37</definedName>
    <definedName name="NoncurrentAssets">Notes!$R$24:$R$31</definedName>
    <definedName name="NoncurrentLiabilities">Notes!$R$53:$R$65</definedName>
    <definedName name="OfflineNetAssetsRow" comment="AgencyNumber for Offline Beginning Net Assets Balance" localSheetId="97">NetPosition!$A$5:$A$33</definedName>
    <definedName name="Pledged_Revenue">Notes!$K$1:$K$9</definedName>
    <definedName name="_xlnm.Print_Area" localSheetId="4">'101'!$A$1:$M$68</definedName>
    <definedName name="_xlnm.Print_Area" localSheetId="5">'105'!$A$1:$K$68</definedName>
    <definedName name="_xlnm.Print_Area" localSheetId="6">'110'!$A$1:$K$48</definedName>
    <definedName name="_xlnm.Print_Area" localSheetId="7">'120'!$A$1:$K$49</definedName>
    <definedName name="_xlnm.Print_Area" localSheetId="8">'201'!$B$1:$V$50</definedName>
    <definedName name="_xlnm.Print_Area" localSheetId="9">'202'!$B$1:$T$77</definedName>
    <definedName name="_xlnm.Print_Area" localSheetId="10">'203'!$B$1:$T$124</definedName>
    <definedName name="_xlnm.Print_Area" localSheetId="11">'210'!$B$1:$R$41</definedName>
    <definedName name="_xlnm.Print_Area" localSheetId="12">'215'!$A$1:$N$71</definedName>
    <definedName name="_xlnm.Print_Area" localSheetId="14">'301'!$C$1:$AD$93</definedName>
    <definedName name="_xlnm.Print_Area" localSheetId="15">'305'!$B$1:$P$44</definedName>
    <definedName name="_xlnm.Print_Area" localSheetId="16">'310'!$B$1:$P$45</definedName>
    <definedName name="_xlnm.Print_Area" localSheetId="17">'315'!$B$1:$Q$72</definedName>
    <definedName name="_xlnm.Print_Area" localSheetId="18">'320'!$B$1:$S$70</definedName>
    <definedName name="_xlnm.Print_Area" localSheetId="19">'322'!$A$1:$N$62</definedName>
    <definedName name="_xlnm.Print_Area" localSheetId="20">'323'!$B$1:$L$103</definedName>
    <definedName name="_xlnm.Print_Area" localSheetId="21">'325'!$C$1:$P$73</definedName>
    <definedName name="_xlnm.Print_Area" localSheetId="22">'330'!$B$1:$P$65</definedName>
    <definedName name="_xlnm.Print_Area" localSheetId="24">'340'!$A$1:$R$44</definedName>
    <definedName name="_xlnm.Print_Area" localSheetId="25">'341'!$A$1:$R$42</definedName>
    <definedName name="_xlnm.Print_Area" localSheetId="26">'342'!$A$1:$R$41</definedName>
    <definedName name="_xlnm.Print_Area" localSheetId="27">'345'!$B$1:$K$56</definedName>
    <definedName name="_xlnm.Print_Area" localSheetId="28">'350'!$A$1:$H$53</definedName>
    <definedName name="_xlnm.Print_Area" localSheetId="29">'355'!$A$1:$M$48</definedName>
    <definedName name="_xlnm.Print_Area" localSheetId="30">'365'!$A$1:$L$39</definedName>
    <definedName name="_xlnm.Print_Area" localSheetId="33">'375-B'!$A$1:$L$53</definedName>
    <definedName name="_xlnm.Print_Area" localSheetId="34">'401'!$A$1:$I$50</definedName>
    <definedName name="_xlnm.Print_Area" localSheetId="35">'405'!$A$1:$I$48</definedName>
    <definedName name="_xlnm.Print_Area" localSheetId="36">'410'!$A$1:$I$54</definedName>
    <definedName name="_xlnm.Print_Area" localSheetId="37">'415'!$A$1:$I$50</definedName>
    <definedName name="_xlnm.Print_Area" localSheetId="38">'420'!$B$1:$I$37</definedName>
    <definedName name="_xlnm.Print_Area" localSheetId="39">'425'!$A$1:$K$40</definedName>
    <definedName name="_xlnm.Print_Area" localSheetId="41">'430BTA'!$A$1:$R$51</definedName>
    <definedName name="_xlnm.Print_Area" localSheetId="42">'430F'!$A$1:$U$36</definedName>
    <definedName name="_xlnm.Print_Area" localSheetId="40">'430G'!$A$1:$R$45</definedName>
    <definedName name="_xlnm.Print_Area" localSheetId="45">'501'!$A$1:$U$35</definedName>
    <definedName name="_xlnm.Print_Area" localSheetId="46">'505'!$A$1:$R$32</definedName>
    <definedName name="_xlnm.Print_Area" localSheetId="47">'510'!$A$1:$Q$34</definedName>
    <definedName name="_xlnm.Print_Area" localSheetId="48">'515'!$A$1:$Q$34</definedName>
    <definedName name="_xlnm.Print_Area" localSheetId="49">'520'!$A$1:$Q$34</definedName>
    <definedName name="_xlnm.Print_Area" localSheetId="50">'525'!$A$1:$Q$36</definedName>
    <definedName name="_xlnm.Print_Area" localSheetId="51">'530'!$A$1:$Q$34</definedName>
    <definedName name="_xlnm.Print_Area" localSheetId="52">'535'!$A$1:$Q$35</definedName>
    <definedName name="_xlnm.Print_Area" localSheetId="53">'540'!$B$1:$AI$33</definedName>
    <definedName name="_xlnm.Print_Area" localSheetId="54">'545'!$A$1:$AF$35</definedName>
    <definedName name="_xlnm.Print_Area" localSheetId="55">'550'!$A$1:$R$40</definedName>
    <definedName name="_xlnm.Print_Area" localSheetId="56">'555'!$A$1:$R$39</definedName>
    <definedName name="_xlnm.Print_Area" localSheetId="57">'560'!$B$1:$AK$30</definedName>
    <definedName name="_xlnm.Print_Area" localSheetId="58">'565'!$A$1:$O$31</definedName>
    <definedName name="_xlnm.Print_Area" localSheetId="59">'570'!$B$1:$M$30</definedName>
    <definedName name="_xlnm.Print_Area" localSheetId="60">'602'!$B$1:$P$57</definedName>
    <definedName name="_xlnm.Print_Area" localSheetId="61">'605'!$B$1:$P$46</definedName>
    <definedName name="_xlnm.Print_Area" localSheetId="63">'615'!$A$1:$K$28</definedName>
    <definedName name="_xlnm.Print_Area" localSheetId="64">'616'!$A$1:$K$49</definedName>
    <definedName name="_xlnm.Print_Area" localSheetId="66">'625'!$A$1:$W$30</definedName>
    <definedName name="_xlnm.Print_Area" localSheetId="67">'635'!$B$1:$P$88</definedName>
    <definedName name="_xlnm.Print_Area" localSheetId="69">'705'!$C$1:$R$48</definedName>
    <definedName name="_xlnm.Print_Area" localSheetId="70">'710'!$B$1:$S$74</definedName>
    <definedName name="_xlnm.Print_Area" localSheetId="71">'715'!$C$1:$R$40</definedName>
    <definedName name="_xlnm.Print_Area" localSheetId="72">'720'!$A$1:$R$58</definedName>
    <definedName name="_xlnm.Print_Area" localSheetId="73">'725'!$C$1:$R$45</definedName>
    <definedName name="_xlnm.Print_Area" localSheetId="78">'755'!$B$1:$V$86</definedName>
    <definedName name="_xlnm.Print_Area" localSheetId="79">'756'!$B$1:$S$46</definedName>
    <definedName name="_xlnm.Print_Area" localSheetId="80">'760'!$A$1:$S$51</definedName>
    <definedName name="_xlnm.Print_Area" localSheetId="81">'765'!$A$1:$J$53</definedName>
    <definedName name="_xlnm.Print_Area" localSheetId="82">'905'!$A$1:$I$272</definedName>
    <definedName name="_xlnm.Print_Area" localSheetId="84">'905Hosp'!$A$1:$S$269</definedName>
    <definedName name="_xlnm.Print_Area" localSheetId="85">'906-6B'!$A$1:$L$90</definedName>
    <definedName name="_xlnm.Print_Area" localSheetId="87">'906-6BC'!$A$1:$K$91</definedName>
    <definedName name="_xlnm.Print_Area" localSheetId="86">'906-6C'!$A$1:$L$90</definedName>
    <definedName name="_xlnm.Print_Area" localSheetId="88">'907'!$A$1:$L$60</definedName>
    <definedName name="_xlnm.Print_Area" localSheetId="89">'910'!$A$1:$N$255</definedName>
    <definedName name="_xlnm.Print_Area" localSheetId="90">'910Hosp'!$A$1:$N$254</definedName>
    <definedName name="_xlnm.Print_Area" localSheetId="91">'911-6B'!$A$1:$K$94</definedName>
    <definedName name="_xlnm.Print_Area" localSheetId="92">'911-6C'!$A$1:$L$93</definedName>
    <definedName name="_xlnm.Print_Area" localSheetId="3">Dashboard!$A$1:$M$101</definedName>
    <definedName name="_xlnm.Print_Area" localSheetId="83">'For 905-NCAS Acct Roll-up'!$A$1:$C$1618</definedName>
    <definedName name="_xlnm.Print_Area" localSheetId="2">Index!$A$1:$P$122</definedName>
    <definedName name="_xlnm.Print_Titles" localSheetId="78">'755'!$1:$18</definedName>
    <definedName name="_xlnm.Print_Titles" localSheetId="82">'905'!$1:$9</definedName>
    <definedName name="_xlnm.Print_Titles" localSheetId="84">'905Hosp'!$A:$E,'905Hosp'!$1:$10</definedName>
    <definedName name="_xlnm.Print_Titles" localSheetId="89">'910'!$1:$10</definedName>
    <definedName name="_xlnm.Print_Titles" localSheetId="90">'910Hosp'!$1:$10</definedName>
    <definedName name="_xlnm.Print_Titles" localSheetId="100">'All Agencies'!$1:$2</definedName>
    <definedName name="_xlnm.Print_Titles" localSheetId="1">'Pkg Updates'!$1:$5</definedName>
    <definedName name="_xlnm.Print_Titles" localSheetId="98">PriorYr905!$A:$D,PriorYr905!$1:$11</definedName>
    <definedName name="PY905Col">PriorYr905!$8:$8</definedName>
    <definedName name="PY905Data">PriorYr905!$A$1:$AG$1052</definedName>
    <definedName name="PY905Row">PriorYr905!$A:$A</definedName>
    <definedName name="Rent301">'301'!#REF!</definedName>
    <definedName name="TYPE315" localSheetId="17">'315'!$A$13</definedName>
    <definedName name="TYPE320">'320'!$A$13</definedName>
    <definedName name="ValuationTech">Notes!$M$1:$M$9</definedName>
    <definedName name="w220Data">'220'!$J$105:$J$115</definedName>
    <definedName name="w301DataA">'301'!$M$28:$AC$29</definedName>
    <definedName name="w301DataB">'301'!#REF!</definedName>
    <definedName name="w301DataC">'301'!#REF!</definedName>
    <definedName name="w305Data">'305'!$Q$17:$Y$33</definedName>
    <definedName name="w310Data">'310'!$Q$17:$Y$36</definedName>
    <definedName name="w325col">'325'!$A$16:$Q$16</definedName>
    <definedName name="w325Data">'325'!$A$14:$Q$43</definedName>
    <definedName name="w325Row">'325'!$B$14:$B$42</definedName>
    <definedName name="w325Type">'325'!$C$11:$O$11</definedName>
    <definedName name="w501Data">'501'!$AD$12:$AO$31</definedName>
    <definedName name="Z_1250FD07_FF56_4A9D_AF9E_C27124A7EBE9_.wvu.Cols" localSheetId="45" hidden="1">'501'!#REF!,'501'!#REF!</definedName>
    <definedName name="Z_1250FD07_FF56_4A9D_AF9E_C27124A7EBE9_.wvu.PrintArea" localSheetId="4" hidden="1">'101'!$B$1:$L$63</definedName>
    <definedName name="Z_1250FD07_FF56_4A9D_AF9E_C27124A7EBE9_.wvu.PrintArea" localSheetId="6" hidden="1">'110'!$B$1:$J$70</definedName>
    <definedName name="Z_1250FD07_FF56_4A9D_AF9E_C27124A7EBE9_.wvu.PrintArea" localSheetId="7" hidden="1">'120'!$B$1:$J$71</definedName>
    <definedName name="Z_1250FD07_FF56_4A9D_AF9E_C27124A7EBE9_.wvu.PrintArea" localSheetId="11" hidden="1">'210'!$B$1:$R$31</definedName>
    <definedName name="Z_1250FD07_FF56_4A9D_AF9E_C27124A7EBE9_.wvu.PrintArea" localSheetId="12" hidden="1">'215'!$A$1:$N$72</definedName>
    <definedName name="Z_1250FD07_FF56_4A9D_AF9E_C27124A7EBE9_.wvu.PrintArea" localSheetId="14" hidden="1">'301'!$C$1:$L$53</definedName>
    <definedName name="Z_1250FD07_FF56_4A9D_AF9E_C27124A7EBE9_.wvu.PrintArea" localSheetId="15" hidden="1">'305'!$B$1:$P$42</definedName>
    <definedName name="Z_1250FD07_FF56_4A9D_AF9E_C27124A7EBE9_.wvu.PrintArea" localSheetId="17" hidden="1">'315'!$B$1:$Q$71</definedName>
    <definedName name="Z_1250FD07_FF56_4A9D_AF9E_C27124A7EBE9_.wvu.PrintArea" localSheetId="18" hidden="1">'320'!$B$1:$S$62</definedName>
    <definedName name="Z_1250FD07_FF56_4A9D_AF9E_C27124A7EBE9_.wvu.PrintArea" localSheetId="19" hidden="1">'322'!$A$1:$N$10</definedName>
    <definedName name="Z_1250FD07_FF56_4A9D_AF9E_C27124A7EBE9_.wvu.PrintArea" localSheetId="20" hidden="1">'323'!$B$1:$K$125</definedName>
    <definedName name="Z_1250FD07_FF56_4A9D_AF9E_C27124A7EBE9_.wvu.PrintArea" localSheetId="21" hidden="1">'325'!$C$1:$P$60</definedName>
    <definedName name="Z_1250FD07_FF56_4A9D_AF9E_C27124A7EBE9_.wvu.PrintArea" localSheetId="22" hidden="1">'330'!$B$1:$N$59</definedName>
    <definedName name="Z_1250FD07_FF56_4A9D_AF9E_C27124A7EBE9_.wvu.PrintArea" localSheetId="24" hidden="1">'340'!$A$1:$R$9</definedName>
    <definedName name="Z_1250FD07_FF56_4A9D_AF9E_C27124A7EBE9_.wvu.PrintArea" localSheetId="25" hidden="1">'341'!$A$1:$R$9</definedName>
    <definedName name="Z_1250FD07_FF56_4A9D_AF9E_C27124A7EBE9_.wvu.PrintArea" localSheetId="26" hidden="1">'342'!$A$1:$R$9</definedName>
    <definedName name="Z_1250FD07_FF56_4A9D_AF9E_C27124A7EBE9_.wvu.PrintArea" localSheetId="27" hidden="1">'345'!$B$1:$L$53</definedName>
    <definedName name="Z_1250FD07_FF56_4A9D_AF9E_C27124A7EBE9_.wvu.PrintArea" localSheetId="28" hidden="1">'350'!$A$1:$H$41</definedName>
    <definedName name="Z_1250FD07_FF56_4A9D_AF9E_C27124A7EBE9_.wvu.PrintArea" localSheetId="29" hidden="1">'355'!$B$1:$M$52</definedName>
    <definedName name="Z_1250FD07_FF56_4A9D_AF9E_C27124A7EBE9_.wvu.PrintArea" localSheetId="38" hidden="1">'420'!$B$1:$M$23</definedName>
    <definedName name="Z_1250FD07_FF56_4A9D_AF9E_C27124A7EBE9_.wvu.PrintArea" localSheetId="39" hidden="1">'425'!$B$1:$L$35</definedName>
    <definedName name="Z_1250FD07_FF56_4A9D_AF9E_C27124A7EBE9_.wvu.PrintArea" localSheetId="45" hidden="1">'501'!$B$1:$U$34</definedName>
    <definedName name="Z_1250FD07_FF56_4A9D_AF9E_C27124A7EBE9_.wvu.PrintArea" localSheetId="47" hidden="1">'510'!$B$1:$P$33</definedName>
    <definedName name="Z_1250FD07_FF56_4A9D_AF9E_C27124A7EBE9_.wvu.PrintArea" localSheetId="48" hidden="1">'515'!$B$1:$P$33</definedName>
    <definedName name="Z_1250FD07_FF56_4A9D_AF9E_C27124A7EBE9_.wvu.PrintArea" localSheetId="49" hidden="1">'520'!$B$1:$P$33</definedName>
    <definedName name="Z_1250FD07_FF56_4A9D_AF9E_C27124A7EBE9_.wvu.PrintArea" localSheetId="50" hidden="1">'525'!$B$1:$P$27</definedName>
    <definedName name="Z_1250FD07_FF56_4A9D_AF9E_C27124A7EBE9_.wvu.PrintArea" localSheetId="51" hidden="1">'530'!$B$1:$P$33</definedName>
    <definedName name="Z_1250FD07_FF56_4A9D_AF9E_C27124A7EBE9_.wvu.PrintArea" localSheetId="52" hidden="1">'535'!$B$1:$Q$36</definedName>
    <definedName name="Z_1250FD07_FF56_4A9D_AF9E_C27124A7EBE9_.wvu.PrintArea" localSheetId="53" hidden="1">'540'!$B$1:$Q$33</definedName>
    <definedName name="Z_1250FD07_FF56_4A9D_AF9E_C27124A7EBE9_.wvu.PrintArea" localSheetId="55" hidden="1">'550'!$C$1:$L$37</definedName>
    <definedName name="Z_1250FD07_FF56_4A9D_AF9E_C27124A7EBE9_.wvu.PrintArea" localSheetId="56" hidden="1">'555'!$C$1:$L$36</definedName>
    <definedName name="Z_1250FD07_FF56_4A9D_AF9E_C27124A7EBE9_.wvu.PrintArea" localSheetId="57" hidden="1">'560'!$B$1:$R$30</definedName>
    <definedName name="Z_1250FD07_FF56_4A9D_AF9E_C27124A7EBE9_.wvu.PrintArea" localSheetId="59" hidden="1">'570'!$B$1:$M$27</definedName>
    <definedName name="Z_1250FD07_FF56_4A9D_AF9E_C27124A7EBE9_.wvu.PrintArea" localSheetId="60" hidden="1">'602'!$B$1:$P$33</definedName>
    <definedName name="Z_1250FD07_FF56_4A9D_AF9E_C27124A7EBE9_.wvu.PrintArea" localSheetId="61" hidden="1">'605'!$B$1:$P$33</definedName>
    <definedName name="Z_1250FD07_FF56_4A9D_AF9E_C27124A7EBE9_.wvu.PrintArea" localSheetId="62" hidden="1">'610'!$A$1:$I$52</definedName>
    <definedName name="Z_1250FD07_FF56_4A9D_AF9E_C27124A7EBE9_.wvu.PrintArea" localSheetId="63" hidden="1">'615'!$A$1:$K$28</definedName>
    <definedName name="Z_1250FD07_FF56_4A9D_AF9E_C27124A7EBE9_.wvu.PrintArea" localSheetId="64" hidden="1">'616'!$A$1:$K$49</definedName>
    <definedName name="Z_1250FD07_FF56_4A9D_AF9E_C27124A7EBE9_.wvu.PrintArea" localSheetId="66" hidden="1">'625'!$B$1:$W$29</definedName>
    <definedName name="Z_1250FD07_FF56_4A9D_AF9E_C27124A7EBE9_.wvu.PrintArea" localSheetId="67" hidden="1">'635'!$B$1:$P$86</definedName>
    <definedName name="Z_1250FD07_FF56_4A9D_AF9E_C27124A7EBE9_.wvu.PrintArea" localSheetId="69" hidden="1">'705'!$C$1:$R$45</definedName>
    <definedName name="Z_1250FD07_FF56_4A9D_AF9E_C27124A7EBE9_.wvu.PrintArea" localSheetId="70" hidden="1">'710'!$B$1:$S$71</definedName>
    <definedName name="Z_1250FD07_FF56_4A9D_AF9E_C27124A7EBE9_.wvu.PrintArea" localSheetId="71" hidden="1">'715'!$C$1:$R$37</definedName>
    <definedName name="Z_1250FD07_FF56_4A9D_AF9E_C27124A7EBE9_.wvu.PrintArea" localSheetId="76" hidden="1">'740'!$C$1:$P$52</definedName>
    <definedName name="Z_1250FD07_FF56_4A9D_AF9E_C27124A7EBE9_.wvu.PrintArea" localSheetId="77" hidden="1">'745'!$C$1:$S$46</definedName>
    <definedName name="Z_1250FD07_FF56_4A9D_AF9E_C27124A7EBE9_.wvu.PrintArea" localSheetId="79" hidden="1">'756'!$B$1:$S$12</definedName>
    <definedName name="Z_1250FD07_FF56_4A9D_AF9E_C27124A7EBE9_.wvu.PrintArea" localSheetId="94" hidden="1">Comments!$A$1:$N$39</definedName>
    <definedName name="Z_1250FD07_FF56_4A9D_AF9E_C27124A7EBE9_.wvu.PrintArea" localSheetId="93" hidden="1">Explanations!$A$1:$N$9</definedName>
    <definedName name="Z_1250FD07_FF56_4A9D_AF9E_C27124A7EBE9_.wvu.PrintArea" localSheetId="2" hidden="1">Index!$A$1:$L$120</definedName>
    <definedName name="Z_1250FD07_FF56_4A9D_AF9E_C27124A7EBE9_.wvu.PrintTitles" localSheetId="2" hidden="1">Index!$1:$4</definedName>
    <definedName name="Z_1250FD07_FF56_4A9D_AF9E_C27124A7EBE9_.wvu.Rows" localSheetId="2" hidden="1">Index!$1288:$1354</definedName>
    <definedName name="Z_22EE6FEF_0954_4B41_9976_46012513457D_.wvu.Cols" localSheetId="45" hidden="1">'501'!#REF!,'501'!#REF!</definedName>
    <definedName name="Z_22EE6FEF_0954_4B41_9976_46012513457D_.wvu.Cols" localSheetId="53" hidden="1">'540'!#REF!,'540'!#REF!</definedName>
    <definedName name="Z_22EE6FEF_0954_4B41_9976_46012513457D_.wvu.Cols" localSheetId="57" hidden="1">'560'!#REF!,'560'!#REF!</definedName>
    <definedName name="Z_22EE6FEF_0954_4B41_9976_46012513457D_.wvu.PrintArea" localSheetId="8" hidden="1">'201'!$B$1:$P$46</definedName>
    <definedName name="Z_22EE6FEF_0954_4B41_9976_46012513457D_.wvu.PrintArea" localSheetId="11" hidden="1">'210'!$B$1:$R$31</definedName>
    <definedName name="Z_22EE6FEF_0954_4B41_9976_46012513457D_.wvu.PrintArea" localSheetId="14" hidden="1">'301'!$C$1:$K$53</definedName>
    <definedName name="Z_22EE6FEF_0954_4B41_9976_46012513457D_.wvu.PrintArea" localSheetId="27" hidden="1">'345'!$B$1:$K$53</definedName>
    <definedName name="Z_22EE6FEF_0954_4B41_9976_46012513457D_.wvu.PrintArea" localSheetId="38" hidden="1">'420'!$B$1:$K$16</definedName>
    <definedName name="Z_22EE6FEF_0954_4B41_9976_46012513457D_.wvu.PrintArea" localSheetId="45" hidden="1">'501'!$B$1:$T$33</definedName>
    <definedName name="Z_22EE6FEF_0954_4B41_9976_46012513457D_.wvu.PrintArea" localSheetId="47" hidden="1">'510'!$B$1:$P$32</definedName>
    <definedName name="Z_22EE6FEF_0954_4B41_9976_46012513457D_.wvu.PrintArea" localSheetId="48" hidden="1">'515'!$B$1:$P$26</definedName>
    <definedName name="Z_22EE6FEF_0954_4B41_9976_46012513457D_.wvu.PrintArea" localSheetId="49" hidden="1">'520'!$B$1:$P$32</definedName>
    <definedName name="Z_22EE6FEF_0954_4B41_9976_46012513457D_.wvu.PrintArea" localSheetId="50" hidden="1">'525'!$B$1:$P$27</definedName>
    <definedName name="Z_22EE6FEF_0954_4B41_9976_46012513457D_.wvu.PrintArea" localSheetId="51" hidden="1">'530'!$B$1:$P$32</definedName>
    <definedName name="Z_22EE6FEF_0954_4B41_9976_46012513457D_.wvu.PrintArea" localSheetId="52" hidden="1">'535'!$B$1:$P$35</definedName>
    <definedName name="Z_22EE6FEF_0954_4B41_9976_46012513457D_.wvu.PrintArea" localSheetId="53" hidden="1">'540'!$B$1:$P$29</definedName>
    <definedName name="Z_22EE6FEF_0954_4B41_9976_46012513457D_.wvu.PrintArea" localSheetId="54" hidden="1">'545'!#REF!</definedName>
    <definedName name="Z_22EE6FEF_0954_4B41_9976_46012513457D_.wvu.PrintArea" localSheetId="55" hidden="1">'550'!$C$1:$K$31</definedName>
    <definedName name="Z_22EE6FEF_0954_4B41_9976_46012513457D_.wvu.PrintArea" localSheetId="56" hidden="1">'555'!$C$1:$K$30</definedName>
    <definedName name="Z_22EE6FEF_0954_4B41_9976_46012513457D_.wvu.PrintArea" localSheetId="57" hidden="1">'560'!$B$1:$P$30</definedName>
    <definedName name="Z_22EE6FEF_0954_4B41_9976_46012513457D_.wvu.PrintArea" localSheetId="66" hidden="1">'625'!$B$1:$V$29</definedName>
    <definedName name="Z_22EE6FEF_0954_4B41_9976_46012513457D_.wvu.PrintArea" localSheetId="69" hidden="1">'705'!$C$1:$Q$45</definedName>
    <definedName name="Z_22EE6FEF_0954_4B41_9976_46012513457D_.wvu.PrintArea" localSheetId="71" hidden="1">'715'!$C$1:$Q$35</definedName>
    <definedName name="Z_22EE6FEF_0954_4B41_9976_46012513457D_.wvu.Rows" localSheetId="8" hidden="1">'201'!#REF!,'201'!#REF!,'201'!#REF!</definedName>
    <definedName name="Z_22EE6FEF_0954_4B41_9976_46012513457D_.wvu.Rows" localSheetId="11" hidden="1">'210'!#REF!,'210'!#REF!,'210'!#REF!</definedName>
    <definedName name="Z_279D8F29_3A82_4EC4_B637_4060DE7A5F06_.wvu.Cols" localSheetId="46" hidden="1">'505'!$K:$K</definedName>
    <definedName name="Z_279D8F29_3A82_4EC4_B637_4060DE7A5F06_.wvu.PrintArea" localSheetId="46" hidden="1">'505'!$D$1:$Q$30</definedName>
    <definedName name="Z_3B9B908F_7E13_4791_A6FD_413206C417A3_.wvu.Cols" localSheetId="45" hidden="1">'501'!#REF!,'501'!#REF!</definedName>
    <definedName name="Z_3B9B908F_7E13_4791_A6FD_413206C417A3_.wvu.Cols" localSheetId="53" hidden="1">'540'!#REF!,'540'!#REF!</definedName>
    <definedName name="Z_3B9B908F_7E13_4791_A6FD_413206C417A3_.wvu.Cols" localSheetId="57" hidden="1">'560'!#REF!,'560'!#REF!</definedName>
    <definedName name="Z_3B9B908F_7E13_4791_A6FD_413206C417A3_.wvu.PrintArea" localSheetId="8" hidden="1">'201'!$B$1:$P$46</definedName>
    <definedName name="Z_3B9B908F_7E13_4791_A6FD_413206C417A3_.wvu.PrintArea" localSheetId="11" hidden="1">'210'!$B$1:$R$31</definedName>
    <definedName name="Z_3B9B908F_7E13_4791_A6FD_413206C417A3_.wvu.PrintArea" localSheetId="14" hidden="1">'301'!$C$1:$K$53</definedName>
    <definedName name="Z_3B9B908F_7E13_4791_A6FD_413206C417A3_.wvu.PrintArea" localSheetId="27" hidden="1">'345'!$B$1:$K$53</definedName>
    <definedName name="Z_3B9B908F_7E13_4791_A6FD_413206C417A3_.wvu.PrintArea" localSheetId="28" hidden="1">'350'!$A$1:$K$41</definedName>
    <definedName name="Z_3B9B908F_7E13_4791_A6FD_413206C417A3_.wvu.PrintArea" localSheetId="29" hidden="1">'355'!$B$1:$L$41</definedName>
    <definedName name="Z_3B9B908F_7E13_4791_A6FD_413206C417A3_.wvu.PrintArea" localSheetId="45" hidden="1">'501'!$B$1:$T$33</definedName>
    <definedName name="Z_3B9B908F_7E13_4791_A6FD_413206C417A3_.wvu.PrintArea" localSheetId="47" hidden="1">'510'!$B$1:$P$32</definedName>
    <definedName name="Z_3B9B908F_7E13_4791_A6FD_413206C417A3_.wvu.PrintArea" localSheetId="48" hidden="1">'515'!$B$1:$P$26</definedName>
    <definedName name="Z_3B9B908F_7E13_4791_A6FD_413206C417A3_.wvu.PrintArea" localSheetId="49" hidden="1">'520'!$B$1:$P$32</definedName>
    <definedName name="Z_3B9B908F_7E13_4791_A6FD_413206C417A3_.wvu.PrintArea" localSheetId="50" hidden="1">'525'!$B$1:$P$27</definedName>
    <definedName name="Z_3B9B908F_7E13_4791_A6FD_413206C417A3_.wvu.PrintArea" localSheetId="51" hidden="1">'530'!$B$1:$P$32</definedName>
    <definedName name="Z_3B9B908F_7E13_4791_A6FD_413206C417A3_.wvu.PrintArea" localSheetId="52" hidden="1">'535'!$B$1:$P$35</definedName>
    <definedName name="Z_3B9B908F_7E13_4791_A6FD_413206C417A3_.wvu.PrintArea" localSheetId="53" hidden="1">'540'!$B$1:$P$29</definedName>
    <definedName name="Z_3B9B908F_7E13_4791_A6FD_413206C417A3_.wvu.PrintArea" localSheetId="54" hidden="1">'545'!#REF!</definedName>
    <definedName name="Z_3B9B908F_7E13_4791_A6FD_413206C417A3_.wvu.PrintArea" localSheetId="55" hidden="1">'550'!$C$1:$K$31</definedName>
    <definedName name="Z_3B9B908F_7E13_4791_A6FD_413206C417A3_.wvu.PrintArea" localSheetId="56" hidden="1">'555'!$C$1:$K$30</definedName>
    <definedName name="Z_3B9B908F_7E13_4791_A6FD_413206C417A3_.wvu.PrintArea" localSheetId="57" hidden="1">'560'!$B$1:$P$30</definedName>
    <definedName name="Z_3B9B908F_7E13_4791_A6FD_413206C417A3_.wvu.PrintArea" localSheetId="66" hidden="1">'625'!$B$1:$V$29</definedName>
    <definedName name="Z_3B9B908F_7E13_4791_A6FD_413206C417A3_.wvu.PrintArea" localSheetId="69" hidden="1">'705'!$C$1:$Q$45</definedName>
    <definedName name="Z_3B9B908F_7E13_4791_A6FD_413206C417A3_.wvu.PrintArea" localSheetId="71" hidden="1">'715'!$C$1:$Q$35</definedName>
    <definedName name="Z_3B9B908F_7E13_4791_A6FD_413206C417A3_.wvu.Rows" localSheetId="8" hidden="1">'201'!#REF!,'201'!#REF!,'201'!#REF!</definedName>
    <definedName name="Z_3B9B908F_7E13_4791_A6FD_413206C417A3_.wvu.Rows" localSheetId="11" hidden="1">'210'!#REF!,'210'!#REF!,'210'!#REF!</definedName>
    <definedName name="Z_9FCFC836_1CA5_48BF_958D_24D2EA94B219_.wvu.Cols" localSheetId="4" hidden="1">'101'!$A:$A</definedName>
    <definedName name="Z_9FCFC836_1CA5_48BF_958D_24D2EA94B219_.wvu.Cols" localSheetId="6" hidden="1">'110'!$A:$A</definedName>
    <definedName name="Z_9FCFC836_1CA5_48BF_958D_24D2EA94B219_.wvu.Cols" localSheetId="7" hidden="1">'120'!$A:$A</definedName>
    <definedName name="Z_9FCFC836_1CA5_48BF_958D_24D2EA94B219_.wvu.Cols" localSheetId="8" hidden="1">'201'!$A:$A</definedName>
    <definedName name="Z_9FCFC836_1CA5_48BF_958D_24D2EA94B219_.wvu.Cols" localSheetId="11" hidden="1">'210'!$A:$A</definedName>
    <definedName name="Z_9FCFC836_1CA5_48BF_958D_24D2EA94B219_.wvu.Cols" localSheetId="14" hidden="1">'301'!$A:$B,'301'!$M:$AC</definedName>
    <definedName name="Z_9FCFC836_1CA5_48BF_958D_24D2EA94B219_.wvu.Cols" localSheetId="15" hidden="1">'305'!$A:$A,'305'!$Q:$Y</definedName>
    <definedName name="Z_9FCFC836_1CA5_48BF_958D_24D2EA94B219_.wvu.Cols" localSheetId="16" hidden="1">'310'!$A:$A,'310'!$Q:$Y</definedName>
    <definedName name="Z_9FCFC836_1CA5_48BF_958D_24D2EA94B219_.wvu.Cols" localSheetId="17" hidden="1">'315'!$A:$A,'315'!$R:$T</definedName>
    <definedName name="Z_9FCFC836_1CA5_48BF_958D_24D2EA94B219_.wvu.Cols" localSheetId="18" hidden="1">'320'!$A:$A,'320'!$T:$V</definedName>
    <definedName name="Z_9FCFC836_1CA5_48BF_958D_24D2EA94B219_.wvu.Cols" localSheetId="20" hidden="1">'323'!$A:$A</definedName>
    <definedName name="Z_9FCFC836_1CA5_48BF_958D_24D2EA94B219_.wvu.Cols" localSheetId="21" hidden="1">'325'!$B:$B</definedName>
    <definedName name="Z_9FCFC836_1CA5_48BF_958D_24D2EA94B219_.wvu.Cols" localSheetId="22" hidden="1">'330'!$A:$A</definedName>
    <definedName name="Z_9FCFC836_1CA5_48BF_958D_24D2EA94B219_.wvu.Cols" localSheetId="27" hidden="1">'345'!$A:$A</definedName>
    <definedName name="Z_9FCFC836_1CA5_48BF_958D_24D2EA94B219_.wvu.Cols" localSheetId="29" hidden="1">'355'!$A:$A</definedName>
    <definedName name="Z_9FCFC836_1CA5_48BF_958D_24D2EA94B219_.wvu.Cols" localSheetId="38" hidden="1">'420'!$A:$A</definedName>
    <definedName name="Z_9FCFC836_1CA5_48BF_958D_24D2EA94B219_.wvu.Cols" localSheetId="45" hidden="1">'501'!$A:$A,'501'!$V:$AO</definedName>
    <definedName name="Z_9FCFC836_1CA5_48BF_958D_24D2EA94B219_.wvu.Cols" localSheetId="47" hidden="1">'510'!$A:$A,'510'!#REF!</definedName>
    <definedName name="Z_9FCFC836_1CA5_48BF_958D_24D2EA94B219_.wvu.Cols" localSheetId="48" hidden="1">'515'!$A:$A,'515'!#REF!,'515'!#REF!</definedName>
    <definedName name="Z_9FCFC836_1CA5_48BF_958D_24D2EA94B219_.wvu.Cols" localSheetId="49" hidden="1">'520'!$A:$A,'520'!#REF!,'520'!#REF!</definedName>
    <definedName name="Z_9FCFC836_1CA5_48BF_958D_24D2EA94B219_.wvu.Cols" localSheetId="50" hidden="1">'525'!$A:$A,'525'!#REF!,'525'!#REF!</definedName>
    <definedName name="Z_9FCFC836_1CA5_48BF_958D_24D2EA94B219_.wvu.Cols" localSheetId="51" hidden="1">'530'!$A:$A,'530'!#REF!,'530'!#REF!</definedName>
    <definedName name="Z_9FCFC836_1CA5_48BF_958D_24D2EA94B219_.wvu.Cols" localSheetId="52" hidden="1">'535'!$A:$A,'535'!$R:$W</definedName>
    <definedName name="Z_9FCFC836_1CA5_48BF_958D_24D2EA94B219_.wvu.Cols" localSheetId="58" hidden="1">'565'!$A:$A,'565'!$P:$X</definedName>
    <definedName name="Z_9FCFC836_1CA5_48BF_958D_24D2EA94B219_.wvu.Cols" localSheetId="59" hidden="1">'570'!$A:$A</definedName>
    <definedName name="Z_9FCFC836_1CA5_48BF_958D_24D2EA94B219_.wvu.Cols" localSheetId="60" hidden="1">'602'!$A:$A,'602'!$Q:$Q</definedName>
    <definedName name="Z_9FCFC836_1CA5_48BF_958D_24D2EA94B219_.wvu.Cols" localSheetId="61" hidden="1">'605'!$A:$A,'605'!$Q:$Q</definedName>
    <definedName name="Z_9FCFC836_1CA5_48BF_958D_24D2EA94B219_.wvu.Cols" localSheetId="66" hidden="1">'625'!$A:$A</definedName>
    <definedName name="Z_9FCFC836_1CA5_48BF_958D_24D2EA94B219_.wvu.Cols" localSheetId="67" hidden="1">'635'!$A:$A</definedName>
    <definedName name="Z_9FCFC836_1CA5_48BF_958D_24D2EA94B219_.wvu.Cols" localSheetId="69" hidden="1">'705'!$A:$B,'705'!$S:$S</definedName>
    <definedName name="Z_9FCFC836_1CA5_48BF_958D_24D2EA94B219_.wvu.Cols" localSheetId="71" hidden="1">'715'!$A:$B,'715'!$S:$S</definedName>
    <definedName name="Z_9FCFC836_1CA5_48BF_958D_24D2EA94B219_.wvu.Cols" localSheetId="73" hidden="1">'725'!$A:$B</definedName>
    <definedName name="Z_9FCFC836_1CA5_48BF_958D_24D2EA94B219_.wvu.Cols" localSheetId="74" hidden="1">'730'!$A:$A</definedName>
    <definedName name="Z_9FCFC836_1CA5_48BF_958D_24D2EA94B219_.wvu.Cols" localSheetId="75" hidden="1">'735'!$A:$B</definedName>
    <definedName name="Z_9FCFC836_1CA5_48BF_958D_24D2EA94B219_.wvu.Cols" localSheetId="76" hidden="1">'740'!$A:$B</definedName>
    <definedName name="Z_9FCFC836_1CA5_48BF_958D_24D2EA94B219_.wvu.Cols" localSheetId="77" hidden="1">'745'!$A:$B</definedName>
    <definedName name="Z_9FCFC836_1CA5_48BF_958D_24D2EA94B219_.wvu.Cols" localSheetId="100" hidden="1">'All Agencies'!$A:$B</definedName>
    <definedName name="Z_9FCFC836_1CA5_48BF_958D_24D2EA94B219_.wvu.Cols" localSheetId="2" hidden="1">Index!$D:$D</definedName>
    <definedName name="Z_9FCFC836_1CA5_48BF_958D_24D2EA94B219_.wvu.Cols" localSheetId="0" hidden="1">Instruct!#REF!</definedName>
    <definedName name="Z_9FCFC836_1CA5_48BF_958D_24D2EA94B219_.wvu.PrintArea" localSheetId="4" hidden="1">'101'!$B$1:$L$70</definedName>
    <definedName name="Z_9FCFC836_1CA5_48BF_958D_24D2EA94B219_.wvu.PrintArea" localSheetId="5" hidden="1">'105'!$A$1:$K$58</definedName>
    <definedName name="Z_9FCFC836_1CA5_48BF_958D_24D2EA94B219_.wvu.PrintArea" localSheetId="6" hidden="1">'110'!$B$1:$J$77</definedName>
    <definedName name="Z_9FCFC836_1CA5_48BF_958D_24D2EA94B219_.wvu.PrintArea" localSheetId="7" hidden="1">'120'!$B$1:$J$78</definedName>
    <definedName name="Z_9FCFC836_1CA5_48BF_958D_24D2EA94B219_.wvu.PrintArea" localSheetId="8" hidden="1">'201'!$B$1:$T$58</definedName>
    <definedName name="Z_9FCFC836_1CA5_48BF_958D_24D2EA94B219_.wvu.PrintArea" localSheetId="11" hidden="1">'210'!$B$1:$Q$38</definedName>
    <definedName name="Z_9FCFC836_1CA5_48BF_958D_24D2EA94B219_.wvu.PrintArea" localSheetId="12" hidden="1">'215'!$A$1:$N$72</definedName>
    <definedName name="Z_9FCFC836_1CA5_48BF_958D_24D2EA94B219_.wvu.PrintArea" localSheetId="13" hidden="1">'220'!$A$1:$H$119</definedName>
    <definedName name="Z_9FCFC836_1CA5_48BF_958D_24D2EA94B219_.wvu.PrintArea" localSheetId="14" hidden="1">'301'!$C$1:$L$53</definedName>
    <definedName name="Z_9FCFC836_1CA5_48BF_958D_24D2EA94B219_.wvu.PrintArea" localSheetId="15" hidden="1">'305'!$B$1:$P$43</definedName>
    <definedName name="Z_9FCFC836_1CA5_48BF_958D_24D2EA94B219_.wvu.PrintArea" localSheetId="16" hidden="1">'310'!$A$1:$P$45</definedName>
    <definedName name="Z_9FCFC836_1CA5_48BF_958D_24D2EA94B219_.wvu.PrintArea" localSheetId="17" hidden="1">'315'!$B$1:$Q$71</definedName>
    <definedName name="Z_9FCFC836_1CA5_48BF_958D_24D2EA94B219_.wvu.PrintArea" localSheetId="18" hidden="1">'320'!$B$1:$S$69</definedName>
    <definedName name="Z_9FCFC836_1CA5_48BF_958D_24D2EA94B219_.wvu.PrintArea" localSheetId="19" hidden="1">'322'!$A$1:$N$62</definedName>
    <definedName name="Z_9FCFC836_1CA5_48BF_958D_24D2EA94B219_.wvu.PrintArea" localSheetId="20" hidden="1">'323'!$B$1:$K$132</definedName>
    <definedName name="Z_9FCFC836_1CA5_48BF_958D_24D2EA94B219_.wvu.PrintArea" localSheetId="21" hidden="1">'325'!$C$1:$P$47</definedName>
    <definedName name="Z_9FCFC836_1CA5_48BF_958D_24D2EA94B219_.wvu.PrintArea" localSheetId="22" hidden="1">'330'!$B$1:$N$59</definedName>
    <definedName name="Z_9FCFC836_1CA5_48BF_958D_24D2EA94B219_.wvu.PrintArea" localSheetId="24" hidden="1">'340'!$A$1:$R$44</definedName>
    <definedName name="Z_9FCFC836_1CA5_48BF_958D_24D2EA94B219_.wvu.PrintArea" localSheetId="25" hidden="1">'341'!$A$1:$R$41</definedName>
    <definedName name="Z_9FCFC836_1CA5_48BF_958D_24D2EA94B219_.wvu.PrintArea" localSheetId="26" hidden="1">'342'!$A$1:$R$40</definedName>
    <definedName name="Z_9FCFC836_1CA5_48BF_958D_24D2EA94B219_.wvu.PrintArea" localSheetId="27" hidden="1">'345'!$B$1:$L$53</definedName>
    <definedName name="Z_9FCFC836_1CA5_48BF_958D_24D2EA94B219_.wvu.PrintArea" localSheetId="28" hidden="1">'350'!$A$1:$G$55</definedName>
    <definedName name="Z_9FCFC836_1CA5_48BF_958D_24D2EA94B219_.wvu.PrintArea" localSheetId="29" hidden="1">'355'!$B$1:$M$52</definedName>
    <definedName name="Z_9FCFC836_1CA5_48BF_958D_24D2EA94B219_.wvu.PrintArea" localSheetId="34" hidden="1">'401'!$A$1:$H$50</definedName>
    <definedName name="Z_9FCFC836_1CA5_48BF_958D_24D2EA94B219_.wvu.PrintArea" localSheetId="35" hidden="1">'405'!$A$1:$H$47</definedName>
    <definedName name="Z_9FCFC836_1CA5_48BF_958D_24D2EA94B219_.wvu.PrintArea" localSheetId="36" hidden="1">'410'!$A$1:$H$46</definedName>
    <definedName name="Z_9FCFC836_1CA5_48BF_958D_24D2EA94B219_.wvu.PrintArea" localSheetId="37" hidden="1">'415'!$A$1:$H$47</definedName>
    <definedName name="Z_9FCFC836_1CA5_48BF_958D_24D2EA94B219_.wvu.PrintArea" localSheetId="38" hidden="1">'420'!$B$1:$M$23</definedName>
    <definedName name="Z_9FCFC836_1CA5_48BF_958D_24D2EA94B219_.wvu.PrintArea" localSheetId="39" hidden="1">'425'!$A$1:$L$35</definedName>
    <definedName name="Z_9FCFC836_1CA5_48BF_958D_24D2EA94B219_.wvu.PrintArea" localSheetId="45" hidden="1">'501'!$B$1:$U$35</definedName>
    <definedName name="Z_9FCFC836_1CA5_48BF_958D_24D2EA94B219_.wvu.PrintArea" localSheetId="46" hidden="1">'505'!$B$1:$R$31</definedName>
    <definedName name="Z_9FCFC836_1CA5_48BF_958D_24D2EA94B219_.wvu.PrintArea" localSheetId="47" hidden="1">'510'!$B$1:$P$33</definedName>
    <definedName name="Z_9FCFC836_1CA5_48BF_958D_24D2EA94B219_.wvu.PrintArea" localSheetId="48" hidden="1">'515'!$B$1:$P$33</definedName>
    <definedName name="Z_9FCFC836_1CA5_48BF_958D_24D2EA94B219_.wvu.PrintArea" localSheetId="49" hidden="1">'520'!$B$1:$P$33</definedName>
    <definedName name="Z_9FCFC836_1CA5_48BF_958D_24D2EA94B219_.wvu.PrintArea" localSheetId="50" hidden="1">'525'!$B$1:$P$39</definedName>
    <definedName name="Z_9FCFC836_1CA5_48BF_958D_24D2EA94B219_.wvu.PrintArea" localSheetId="51" hidden="1">'530'!$B$1:$P$33</definedName>
    <definedName name="Z_9FCFC836_1CA5_48BF_958D_24D2EA94B219_.wvu.PrintArea" localSheetId="52" hidden="1">'535'!$B$1:$Q$36</definedName>
    <definedName name="Z_9FCFC836_1CA5_48BF_958D_24D2EA94B219_.wvu.PrintArea" localSheetId="58" hidden="1">'565'!$A$1:$O$31</definedName>
    <definedName name="Z_9FCFC836_1CA5_48BF_958D_24D2EA94B219_.wvu.PrintArea" localSheetId="59" hidden="1">'570'!$B$1:$M$27</definedName>
    <definedName name="Z_9FCFC836_1CA5_48BF_958D_24D2EA94B219_.wvu.PrintArea" localSheetId="60" hidden="1">'602'!$B$1:$P$33</definedName>
    <definedName name="Z_9FCFC836_1CA5_48BF_958D_24D2EA94B219_.wvu.PrintArea" localSheetId="61" hidden="1">'605'!$B$1:$P$33</definedName>
    <definedName name="Z_9FCFC836_1CA5_48BF_958D_24D2EA94B219_.wvu.PrintArea" localSheetId="62" hidden="1">'610'!$A$1:$I$52</definedName>
    <definedName name="Z_9FCFC836_1CA5_48BF_958D_24D2EA94B219_.wvu.PrintArea" localSheetId="63" hidden="1">'615'!$A$1:$K$28</definedName>
    <definedName name="Z_9FCFC836_1CA5_48BF_958D_24D2EA94B219_.wvu.PrintArea" localSheetId="64" hidden="1">'616'!$A$1:$K$49</definedName>
    <definedName name="Z_9FCFC836_1CA5_48BF_958D_24D2EA94B219_.wvu.PrintArea" localSheetId="66" hidden="1">'625'!$B$1:$W$29</definedName>
    <definedName name="Z_9FCFC836_1CA5_48BF_958D_24D2EA94B219_.wvu.PrintArea" localSheetId="67" hidden="1">'635'!$B$1:$P$86</definedName>
    <definedName name="Z_9FCFC836_1CA5_48BF_958D_24D2EA94B219_.wvu.PrintArea" localSheetId="69" hidden="1">'705'!$C$1:$R$45</definedName>
    <definedName name="Z_9FCFC836_1CA5_48BF_958D_24D2EA94B219_.wvu.PrintArea" localSheetId="70" hidden="1">'710'!$B$1:$S$71</definedName>
    <definedName name="Z_9FCFC836_1CA5_48BF_958D_24D2EA94B219_.wvu.PrintArea" localSheetId="71" hidden="1">'715'!$C$1:$R$37</definedName>
    <definedName name="Z_9FCFC836_1CA5_48BF_958D_24D2EA94B219_.wvu.PrintArea" localSheetId="73" hidden="1">'725'!$C$1:$R$45</definedName>
    <definedName name="Z_9FCFC836_1CA5_48BF_958D_24D2EA94B219_.wvu.PrintArea" localSheetId="76" hidden="1">'740'!$C$1:$P$52</definedName>
    <definedName name="Z_9FCFC836_1CA5_48BF_958D_24D2EA94B219_.wvu.PrintArea" localSheetId="77" hidden="1">'745'!$C$1:$S$46</definedName>
    <definedName name="Z_9FCFC836_1CA5_48BF_958D_24D2EA94B219_.wvu.PrintArea" localSheetId="79" hidden="1">'756'!$B$1:$S$45</definedName>
    <definedName name="Z_9FCFC836_1CA5_48BF_958D_24D2EA94B219_.wvu.PrintArea" localSheetId="85" hidden="1">'906-6B'!$B$1:$K$92</definedName>
    <definedName name="Z_9FCFC836_1CA5_48BF_958D_24D2EA94B219_.wvu.PrintArea" localSheetId="87" hidden="1">'906-6BC'!$B$1:$K$93</definedName>
    <definedName name="Z_9FCFC836_1CA5_48BF_958D_24D2EA94B219_.wvu.PrintArea" localSheetId="86" hidden="1">'906-6C'!$B$1:$K$92</definedName>
    <definedName name="Z_9FCFC836_1CA5_48BF_958D_24D2EA94B219_.wvu.PrintArea" localSheetId="88" hidden="1">'907'!$A$1:$L$38</definedName>
    <definedName name="Z_9FCFC836_1CA5_48BF_958D_24D2EA94B219_.wvu.PrintArea" localSheetId="89" hidden="1">'910'!$B$1:$N$255</definedName>
    <definedName name="Z_9FCFC836_1CA5_48BF_958D_24D2EA94B219_.wvu.PrintArea" localSheetId="90" hidden="1">'910Hosp'!$B$1:$N$254</definedName>
    <definedName name="Z_9FCFC836_1CA5_48BF_958D_24D2EA94B219_.wvu.PrintArea" localSheetId="91" hidden="1">'911-6B'!$B$1:$L$91</definedName>
    <definedName name="Z_9FCFC836_1CA5_48BF_958D_24D2EA94B219_.wvu.PrintArea" localSheetId="92" hidden="1">'911-6C'!$B$1:$L$91</definedName>
    <definedName name="Z_9FCFC836_1CA5_48BF_958D_24D2EA94B219_.wvu.PrintArea" localSheetId="100" hidden="1">'All Agencies'!$C$1:$J$145</definedName>
    <definedName name="Z_9FCFC836_1CA5_48BF_958D_24D2EA94B219_.wvu.PrintArea" localSheetId="94" hidden="1">Comments!$A$1:$N$39</definedName>
    <definedName name="Z_9FCFC836_1CA5_48BF_958D_24D2EA94B219_.wvu.PrintArea" localSheetId="93" hidden="1">Explanations!$A$1:$N$49</definedName>
    <definedName name="Z_9FCFC836_1CA5_48BF_958D_24D2EA94B219_.wvu.PrintArea" localSheetId="83" hidden="1">'For 905-NCAS Acct Roll-up'!#REF!</definedName>
    <definedName name="Z_9FCFC836_1CA5_48BF_958D_24D2EA94B219_.wvu.PrintArea" localSheetId="2" hidden="1">Index!$A$1:$P$122</definedName>
    <definedName name="Z_9FCFC836_1CA5_48BF_958D_24D2EA94B219_.wvu.PrintArea" localSheetId="99" hidden="1">PriorYr906!$B$1:$K$92</definedName>
    <definedName name="Z_9FCFC836_1CA5_48BF_958D_24D2EA94B219_.wvu.PrintTitles" localSheetId="13" hidden="1">'220'!$1:$10</definedName>
    <definedName name="Z_9FCFC836_1CA5_48BF_958D_24D2EA94B219_.wvu.PrintTitles" localSheetId="82" hidden="1">'905'!$1:$9</definedName>
    <definedName name="Z_9FCFC836_1CA5_48BF_958D_24D2EA94B219_.wvu.PrintTitles" localSheetId="84" hidden="1">'905Hosp'!$1:$10</definedName>
    <definedName name="Z_9FCFC836_1CA5_48BF_958D_24D2EA94B219_.wvu.PrintTitles" localSheetId="85" hidden="1">'906-6B'!$1:$9</definedName>
    <definedName name="Z_9FCFC836_1CA5_48BF_958D_24D2EA94B219_.wvu.PrintTitles" localSheetId="87" hidden="1">'906-6BC'!$1:$9</definedName>
    <definedName name="Z_9FCFC836_1CA5_48BF_958D_24D2EA94B219_.wvu.PrintTitles" localSheetId="86" hidden="1">'906-6C'!$1:$9</definedName>
    <definedName name="Z_9FCFC836_1CA5_48BF_958D_24D2EA94B219_.wvu.PrintTitles" localSheetId="89" hidden="1">'910'!$1:$10</definedName>
    <definedName name="Z_9FCFC836_1CA5_48BF_958D_24D2EA94B219_.wvu.PrintTitles" localSheetId="90" hidden="1">'910Hosp'!$1:$10</definedName>
    <definedName name="Z_9FCFC836_1CA5_48BF_958D_24D2EA94B219_.wvu.PrintTitles" localSheetId="91" hidden="1">'911-6B'!$1:$11</definedName>
    <definedName name="Z_9FCFC836_1CA5_48BF_958D_24D2EA94B219_.wvu.PrintTitles" localSheetId="92" hidden="1">'911-6C'!$1:$11</definedName>
    <definedName name="Z_9FCFC836_1CA5_48BF_958D_24D2EA94B219_.wvu.PrintTitles" localSheetId="100" hidden="1">'All Agencies'!$1:$2</definedName>
    <definedName name="Z_9FCFC836_1CA5_48BF_958D_24D2EA94B219_.wvu.PrintTitles" localSheetId="2" hidden="1">Index!$1:$16</definedName>
    <definedName name="Z_9FCFC836_1CA5_48BF_958D_24D2EA94B219_.wvu.PrintTitles" localSheetId="99" hidden="1">PriorYr906!$1:$9</definedName>
    <definedName name="Z_9FCFC836_1CA5_48BF_958D_24D2EA94B219_.wvu.Rows" localSheetId="11" hidden="1">'210'!$15:$15</definedName>
    <definedName name="Z_9FCFC836_1CA5_48BF_958D_24D2EA94B219_.wvu.Rows" localSheetId="14" hidden="1">'301'!#REF!,'301'!$27:$27,'301'!#REF!</definedName>
    <definedName name="Z_9FCFC836_1CA5_48BF_958D_24D2EA94B219_.wvu.Rows" localSheetId="17" hidden="1">'315'!$31:$31</definedName>
    <definedName name="Z_9FCFC836_1CA5_48BF_958D_24D2EA94B219_.wvu.Rows" localSheetId="41" hidden="1">'430BTA'!#REF!,'430BTA'!$19:$21</definedName>
    <definedName name="Z_9FCFC836_1CA5_48BF_958D_24D2EA94B219_.wvu.Rows" localSheetId="42" hidden="1">'430F'!#REF!,'430F'!$17:$19</definedName>
    <definedName name="Z_9FCFC836_1CA5_48BF_958D_24D2EA94B219_.wvu.Rows" localSheetId="40" hidden="1">'430G'!$19:$21,'430G'!$42:$42</definedName>
    <definedName name="Z_B08879A4_635B_4C39_9937_AC7883D562FC_.wvu.Cols" localSheetId="4" hidden="1">'101'!$A:$A</definedName>
    <definedName name="Z_B08879A4_635B_4C39_9937_AC7883D562FC_.wvu.Cols" localSheetId="6" hidden="1">'110'!$A:$A</definedName>
    <definedName name="Z_B08879A4_635B_4C39_9937_AC7883D562FC_.wvu.Cols" localSheetId="7" hidden="1">'120'!$A:$A</definedName>
    <definedName name="Z_B08879A4_635B_4C39_9937_AC7883D562FC_.wvu.Cols" localSheetId="8" hidden="1">'201'!$A:$A</definedName>
    <definedName name="Z_B08879A4_635B_4C39_9937_AC7883D562FC_.wvu.Cols" localSheetId="11" hidden="1">'210'!$A:$A</definedName>
    <definedName name="Z_B08879A4_635B_4C39_9937_AC7883D562FC_.wvu.Cols" localSheetId="14" hidden="1">'301'!$A:$B,'301'!$M:$AC</definedName>
    <definedName name="Z_B08879A4_635B_4C39_9937_AC7883D562FC_.wvu.Cols" localSheetId="15" hidden="1">'305'!$A:$A,'305'!$Q:$Y</definedName>
    <definedName name="Z_B08879A4_635B_4C39_9937_AC7883D562FC_.wvu.Cols" localSheetId="16" hidden="1">'310'!$A:$A,'310'!$Q:$Y</definedName>
    <definedName name="Z_B08879A4_635B_4C39_9937_AC7883D562FC_.wvu.Cols" localSheetId="17" hidden="1">'315'!$A:$A,'315'!$R:$T</definedName>
    <definedName name="Z_B08879A4_635B_4C39_9937_AC7883D562FC_.wvu.Cols" localSheetId="18" hidden="1">'320'!$A:$A,'320'!$T:$V</definedName>
    <definedName name="Z_B08879A4_635B_4C39_9937_AC7883D562FC_.wvu.Cols" localSheetId="20" hidden="1">'323'!$A:$A</definedName>
    <definedName name="Z_B08879A4_635B_4C39_9937_AC7883D562FC_.wvu.Cols" localSheetId="21" hidden="1">'325'!$B:$B</definedName>
    <definedName name="Z_B08879A4_635B_4C39_9937_AC7883D562FC_.wvu.Cols" localSheetId="22" hidden="1">'330'!$A:$A</definedName>
    <definedName name="Z_B08879A4_635B_4C39_9937_AC7883D562FC_.wvu.Cols" localSheetId="27" hidden="1">'345'!$A:$A</definedName>
    <definedName name="Z_B08879A4_635B_4C39_9937_AC7883D562FC_.wvu.Cols" localSheetId="29" hidden="1">'355'!$A:$A</definedName>
    <definedName name="Z_B08879A4_635B_4C39_9937_AC7883D562FC_.wvu.Cols" localSheetId="38" hidden="1">'420'!$A:$A</definedName>
    <definedName name="Z_B08879A4_635B_4C39_9937_AC7883D562FC_.wvu.Cols" localSheetId="45" hidden="1">'501'!$A:$A,'501'!$V:$AO</definedName>
    <definedName name="Z_B08879A4_635B_4C39_9937_AC7883D562FC_.wvu.Cols" localSheetId="47" hidden="1">'510'!$A:$A,'510'!#REF!</definedName>
    <definedName name="Z_B08879A4_635B_4C39_9937_AC7883D562FC_.wvu.Cols" localSheetId="48" hidden="1">'515'!$A:$A,'515'!#REF!,'515'!#REF!</definedName>
    <definedName name="Z_B08879A4_635B_4C39_9937_AC7883D562FC_.wvu.Cols" localSheetId="49" hidden="1">'520'!$A:$A,'520'!#REF!,'520'!#REF!</definedName>
    <definedName name="Z_B08879A4_635B_4C39_9937_AC7883D562FC_.wvu.Cols" localSheetId="50" hidden="1">'525'!$A:$A,'525'!#REF!,'525'!#REF!</definedName>
    <definedName name="Z_B08879A4_635B_4C39_9937_AC7883D562FC_.wvu.Cols" localSheetId="51" hidden="1">'530'!$A:$A,'530'!#REF!,'530'!#REF!</definedName>
    <definedName name="Z_B08879A4_635B_4C39_9937_AC7883D562FC_.wvu.Cols" localSheetId="52" hidden="1">'535'!$A:$A,'535'!$R:$W</definedName>
    <definedName name="Z_B08879A4_635B_4C39_9937_AC7883D562FC_.wvu.Cols" localSheetId="58" hidden="1">'565'!$A:$A,'565'!$P:$X</definedName>
    <definedName name="Z_B08879A4_635B_4C39_9937_AC7883D562FC_.wvu.Cols" localSheetId="59" hidden="1">'570'!$A:$A</definedName>
    <definedName name="Z_B08879A4_635B_4C39_9937_AC7883D562FC_.wvu.Cols" localSheetId="60" hidden="1">'602'!$A:$A,'602'!$Q:$Q</definedName>
    <definedName name="Z_B08879A4_635B_4C39_9937_AC7883D562FC_.wvu.Cols" localSheetId="61" hidden="1">'605'!$A:$A,'605'!$Q:$Q</definedName>
    <definedName name="Z_B08879A4_635B_4C39_9937_AC7883D562FC_.wvu.Cols" localSheetId="66" hidden="1">'625'!$A:$A</definedName>
    <definedName name="Z_B08879A4_635B_4C39_9937_AC7883D562FC_.wvu.Cols" localSheetId="67" hidden="1">'635'!$A:$A</definedName>
    <definedName name="Z_B08879A4_635B_4C39_9937_AC7883D562FC_.wvu.Cols" localSheetId="69" hidden="1">'705'!$A:$B,'705'!$S:$S</definedName>
    <definedName name="Z_B08879A4_635B_4C39_9937_AC7883D562FC_.wvu.Cols" localSheetId="71" hidden="1">'715'!$A:$B,'715'!$S:$S</definedName>
    <definedName name="Z_B08879A4_635B_4C39_9937_AC7883D562FC_.wvu.Cols" localSheetId="73" hidden="1">'725'!$A:$B</definedName>
    <definedName name="Z_B08879A4_635B_4C39_9937_AC7883D562FC_.wvu.Cols" localSheetId="74" hidden="1">'730'!$A:$A</definedName>
    <definedName name="Z_B08879A4_635B_4C39_9937_AC7883D562FC_.wvu.Cols" localSheetId="75" hidden="1">'735'!$A:$B</definedName>
    <definedName name="Z_B08879A4_635B_4C39_9937_AC7883D562FC_.wvu.Cols" localSheetId="76" hidden="1">'740'!$A:$B</definedName>
    <definedName name="Z_B08879A4_635B_4C39_9937_AC7883D562FC_.wvu.Cols" localSheetId="77" hidden="1">'745'!$A:$B</definedName>
    <definedName name="Z_B08879A4_635B_4C39_9937_AC7883D562FC_.wvu.Cols" localSheetId="100" hidden="1">'All Agencies'!$A:$B</definedName>
    <definedName name="Z_B08879A4_635B_4C39_9937_AC7883D562FC_.wvu.Cols" localSheetId="2" hidden="1">Index!$D:$D</definedName>
    <definedName name="Z_B08879A4_635B_4C39_9937_AC7883D562FC_.wvu.Cols" localSheetId="0" hidden="1">Instruct!#REF!</definedName>
    <definedName name="Z_B08879A4_635B_4C39_9937_AC7883D562FC_.wvu.PrintArea" localSheetId="4" hidden="1">'101'!$B$1:$L$70</definedName>
    <definedName name="Z_B08879A4_635B_4C39_9937_AC7883D562FC_.wvu.PrintArea" localSheetId="5" hidden="1">'105'!$A$1:$K$58</definedName>
    <definedName name="Z_B08879A4_635B_4C39_9937_AC7883D562FC_.wvu.PrintArea" localSheetId="6" hidden="1">'110'!$B$1:$J$77</definedName>
    <definedName name="Z_B08879A4_635B_4C39_9937_AC7883D562FC_.wvu.PrintArea" localSheetId="7" hidden="1">'120'!$B$1:$J$78</definedName>
    <definedName name="Z_B08879A4_635B_4C39_9937_AC7883D562FC_.wvu.PrintArea" localSheetId="8" hidden="1">'201'!$B$1:$T$58</definedName>
    <definedName name="Z_B08879A4_635B_4C39_9937_AC7883D562FC_.wvu.PrintArea" localSheetId="11" hidden="1">'210'!$B$1:$Q$38</definedName>
    <definedName name="Z_B08879A4_635B_4C39_9937_AC7883D562FC_.wvu.PrintArea" localSheetId="12" hidden="1">'215'!$A$1:$N$72</definedName>
    <definedName name="Z_B08879A4_635B_4C39_9937_AC7883D562FC_.wvu.PrintArea" localSheetId="13" hidden="1">'220'!$A$1:$H$119</definedName>
    <definedName name="Z_B08879A4_635B_4C39_9937_AC7883D562FC_.wvu.PrintArea" localSheetId="14" hidden="1">'301'!$C$1:$L$53</definedName>
    <definedName name="Z_B08879A4_635B_4C39_9937_AC7883D562FC_.wvu.PrintArea" localSheetId="15" hidden="1">'305'!$B$1:$P$43</definedName>
    <definedName name="Z_B08879A4_635B_4C39_9937_AC7883D562FC_.wvu.PrintArea" localSheetId="16" hidden="1">'310'!$A$1:$P$45</definedName>
    <definedName name="Z_B08879A4_635B_4C39_9937_AC7883D562FC_.wvu.PrintArea" localSheetId="17" hidden="1">'315'!$B$1:$Q$71</definedName>
    <definedName name="Z_B08879A4_635B_4C39_9937_AC7883D562FC_.wvu.PrintArea" localSheetId="18" hidden="1">'320'!$B$1:$S$69</definedName>
    <definedName name="Z_B08879A4_635B_4C39_9937_AC7883D562FC_.wvu.PrintArea" localSheetId="19" hidden="1">'322'!$A$1:$N$62</definedName>
    <definedName name="Z_B08879A4_635B_4C39_9937_AC7883D562FC_.wvu.PrintArea" localSheetId="20" hidden="1">'323'!$B$1:$K$132</definedName>
    <definedName name="Z_B08879A4_635B_4C39_9937_AC7883D562FC_.wvu.PrintArea" localSheetId="21" hidden="1">'325'!$C$1:$P$47</definedName>
    <definedName name="Z_B08879A4_635B_4C39_9937_AC7883D562FC_.wvu.PrintArea" localSheetId="22" hidden="1">'330'!$B$1:$N$59</definedName>
    <definedName name="Z_B08879A4_635B_4C39_9937_AC7883D562FC_.wvu.PrintArea" localSheetId="24" hidden="1">'340'!$A$1:$R$44</definedName>
    <definedName name="Z_B08879A4_635B_4C39_9937_AC7883D562FC_.wvu.PrintArea" localSheetId="25" hidden="1">'341'!$A$1:$R$41</definedName>
    <definedName name="Z_B08879A4_635B_4C39_9937_AC7883D562FC_.wvu.PrintArea" localSheetId="26" hidden="1">'342'!$A$1:$R$40</definedName>
    <definedName name="Z_B08879A4_635B_4C39_9937_AC7883D562FC_.wvu.PrintArea" localSheetId="27" hidden="1">'345'!$B$1:$L$53</definedName>
    <definedName name="Z_B08879A4_635B_4C39_9937_AC7883D562FC_.wvu.PrintArea" localSheetId="28" hidden="1">'350'!$A$1:$G$55</definedName>
    <definedName name="Z_B08879A4_635B_4C39_9937_AC7883D562FC_.wvu.PrintArea" localSheetId="29" hidden="1">'355'!$B$1:$M$52</definedName>
    <definedName name="Z_B08879A4_635B_4C39_9937_AC7883D562FC_.wvu.PrintArea" localSheetId="34" hidden="1">'401'!$A$1:$H$50</definedName>
    <definedName name="Z_B08879A4_635B_4C39_9937_AC7883D562FC_.wvu.PrintArea" localSheetId="35" hidden="1">'405'!$A$1:$H$47</definedName>
    <definedName name="Z_B08879A4_635B_4C39_9937_AC7883D562FC_.wvu.PrintArea" localSheetId="36" hidden="1">'410'!$A$1:$H$46</definedName>
    <definedName name="Z_B08879A4_635B_4C39_9937_AC7883D562FC_.wvu.PrintArea" localSheetId="37" hidden="1">'415'!$A$1:$H$47</definedName>
    <definedName name="Z_B08879A4_635B_4C39_9937_AC7883D562FC_.wvu.PrintArea" localSheetId="38" hidden="1">'420'!$B$1:$M$23</definedName>
    <definedName name="Z_B08879A4_635B_4C39_9937_AC7883D562FC_.wvu.PrintArea" localSheetId="39" hidden="1">'425'!$A$1:$L$35</definedName>
    <definedName name="Z_B08879A4_635B_4C39_9937_AC7883D562FC_.wvu.PrintArea" localSheetId="45" hidden="1">'501'!$B$1:$U$35</definedName>
    <definedName name="Z_B08879A4_635B_4C39_9937_AC7883D562FC_.wvu.PrintArea" localSheetId="46" hidden="1">'505'!$B$1:$R$31</definedName>
    <definedName name="Z_B08879A4_635B_4C39_9937_AC7883D562FC_.wvu.PrintArea" localSheetId="47" hidden="1">'510'!$B$1:$P$33</definedName>
    <definedName name="Z_B08879A4_635B_4C39_9937_AC7883D562FC_.wvu.PrintArea" localSheetId="48" hidden="1">'515'!$B$1:$P$33</definedName>
    <definedName name="Z_B08879A4_635B_4C39_9937_AC7883D562FC_.wvu.PrintArea" localSheetId="49" hidden="1">'520'!$B$1:$P$33</definedName>
    <definedName name="Z_B08879A4_635B_4C39_9937_AC7883D562FC_.wvu.PrintArea" localSheetId="50" hidden="1">'525'!$B$1:$P$39</definedName>
    <definedName name="Z_B08879A4_635B_4C39_9937_AC7883D562FC_.wvu.PrintArea" localSheetId="51" hidden="1">'530'!$B$1:$P$33</definedName>
    <definedName name="Z_B08879A4_635B_4C39_9937_AC7883D562FC_.wvu.PrintArea" localSheetId="52" hidden="1">'535'!$B$1:$Q$36</definedName>
    <definedName name="Z_B08879A4_635B_4C39_9937_AC7883D562FC_.wvu.PrintArea" localSheetId="58" hidden="1">'565'!$A$1:$O$31</definedName>
    <definedName name="Z_B08879A4_635B_4C39_9937_AC7883D562FC_.wvu.PrintArea" localSheetId="59" hidden="1">'570'!$B$1:$M$27</definedName>
    <definedName name="Z_B08879A4_635B_4C39_9937_AC7883D562FC_.wvu.PrintArea" localSheetId="60" hidden="1">'602'!$B$1:$P$33</definedName>
    <definedName name="Z_B08879A4_635B_4C39_9937_AC7883D562FC_.wvu.PrintArea" localSheetId="61" hidden="1">'605'!$B$1:$P$33</definedName>
    <definedName name="Z_B08879A4_635B_4C39_9937_AC7883D562FC_.wvu.PrintArea" localSheetId="62" hidden="1">'610'!$A$1:$I$52</definedName>
    <definedName name="Z_B08879A4_635B_4C39_9937_AC7883D562FC_.wvu.PrintArea" localSheetId="63" hidden="1">'615'!$A$1:$K$28</definedName>
    <definedName name="Z_B08879A4_635B_4C39_9937_AC7883D562FC_.wvu.PrintArea" localSheetId="64" hidden="1">'616'!$A$1:$K$49</definedName>
    <definedName name="Z_B08879A4_635B_4C39_9937_AC7883D562FC_.wvu.PrintArea" localSheetId="66" hidden="1">'625'!$B$1:$W$29</definedName>
    <definedName name="Z_B08879A4_635B_4C39_9937_AC7883D562FC_.wvu.PrintArea" localSheetId="67" hidden="1">'635'!$B$1:$P$86</definedName>
    <definedName name="Z_B08879A4_635B_4C39_9937_AC7883D562FC_.wvu.PrintArea" localSheetId="69" hidden="1">'705'!$C$1:$R$45</definedName>
    <definedName name="Z_B08879A4_635B_4C39_9937_AC7883D562FC_.wvu.PrintArea" localSheetId="70" hidden="1">'710'!$B$1:$S$71</definedName>
    <definedName name="Z_B08879A4_635B_4C39_9937_AC7883D562FC_.wvu.PrintArea" localSheetId="71" hidden="1">'715'!$C$1:$R$37</definedName>
    <definedName name="Z_B08879A4_635B_4C39_9937_AC7883D562FC_.wvu.PrintArea" localSheetId="73" hidden="1">'725'!$C$1:$R$45</definedName>
    <definedName name="Z_B08879A4_635B_4C39_9937_AC7883D562FC_.wvu.PrintArea" localSheetId="76" hidden="1">'740'!$C$1:$P$52</definedName>
    <definedName name="Z_B08879A4_635B_4C39_9937_AC7883D562FC_.wvu.PrintArea" localSheetId="77" hidden="1">'745'!$C$1:$S$46</definedName>
    <definedName name="Z_B08879A4_635B_4C39_9937_AC7883D562FC_.wvu.PrintArea" localSheetId="79" hidden="1">'756'!$B$1:$S$45</definedName>
    <definedName name="Z_B08879A4_635B_4C39_9937_AC7883D562FC_.wvu.PrintArea" localSheetId="85" hidden="1">'906-6B'!$B$1:$K$92</definedName>
    <definedName name="Z_B08879A4_635B_4C39_9937_AC7883D562FC_.wvu.PrintArea" localSheetId="87" hidden="1">'906-6BC'!$B$1:$K$93</definedName>
    <definedName name="Z_B08879A4_635B_4C39_9937_AC7883D562FC_.wvu.PrintArea" localSheetId="86" hidden="1">'906-6C'!$B$1:$K$92</definedName>
    <definedName name="Z_B08879A4_635B_4C39_9937_AC7883D562FC_.wvu.PrintArea" localSheetId="88" hidden="1">'907'!$A$1:$L$38</definedName>
    <definedName name="Z_B08879A4_635B_4C39_9937_AC7883D562FC_.wvu.PrintArea" localSheetId="89" hidden="1">'910'!$B$1:$N$255</definedName>
    <definedName name="Z_B08879A4_635B_4C39_9937_AC7883D562FC_.wvu.PrintArea" localSheetId="90" hidden="1">'910Hosp'!$B$1:$N$254</definedName>
    <definedName name="Z_B08879A4_635B_4C39_9937_AC7883D562FC_.wvu.PrintArea" localSheetId="91" hidden="1">'911-6B'!$B$1:$L$91</definedName>
    <definedName name="Z_B08879A4_635B_4C39_9937_AC7883D562FC_.wvu.PrintArea" localSheetId="92" hidden="1">'911-6C'!$B$1:$L$91</definedName>
    <definedName name="Z_B08879A4_635B_4C39_9937_AC7883D562FC_.wvu.PrintArea" localSheetId="100" hidden="1">'All Agencies'!$C$1:$J$145</definedName>
    <definedName name="Z_B08879A4_635B_4C39_9937_AC7883D562FC_.wvu.PrintArea" localSheetId="94" hidden="1">Comments!$A$1:$N$39</definedName>
    <definedName name="Z_B08879A4_635B_4C39_9937_AC7883D562FC_.wvu.PrintArea" localSheetId="93" hidden="1">Explanations!$A$1:$N$49</definedName>
    <definedName name="Z_B08879A4_635B_4C39_9937_AC7883D562FC_.wvu.PrintArea" localSheetId="83" hidden="1">'For 905-NCAS Acct Roll-up'!#REF!</definedName>
    <definedName name="Z_B08879A4_635B_4C39_9937_AC7883D562FC_.wvu.PrintArea" localSheetId="2" hidden="1">Index!$A$1:$P$122</definedName>
    <definedName name="Z_B08879A4_635B_4C39_9937_AC7883D562FC_.wvu.PrintArea" localSheetId="99" hidden="1">PriorYr906!$B$1:$K$92</definedName>
    <definedName name="Z_B08879A4_635B_4C39_9937_AC7883D562FC_.wvu.PrintTitles" localSheetId="13" hidden="1">'220'!$1:$10</definedName>
    <definedName name="Z_B08879A4_635B_4C39_9937_AC7883D562FC_.wvu.PrintTitles" localSheetId="82" hidden="1">'905'!$1:$9</definedName>
    <definedName name="Z_B08879A4_635B_4C39_9937_AC7883D562FC_.wvu.PrintTitles" localSheetId="84" hidden="1">'905Hosp'!$1:$10</definedName>
    <definedName name="Z_B08879A4_635B_4C39_9937_AC7883D562FC_.wvu.PrintTitles" localSheetId="85" hidden="1">'906-6B'!$1:$9</definedName>
    <definedName name="Z_B08879A4_635B_4C39_9937_AC7883D562FC_.wvu.PrintTitles" localSheetId="87" hidden="1">'906-6BC'!$1:$9</definedName>
    <definedName name="Z_B08879A4_635B_4C39_9937_AC7883D562FC_.wvu.PrintTitles" localSheetId="86" hidden="1">'906-6C'!$1:$9</definedName>
    <definedName name="Z_B08879A4_635B_4C39_9937_AC7883D562FC_.wvu.PrintTitles" localSheetId="89" hidden="1">'910'!$1:$10</definedName>
    <definedName name="Z_B08879A4_635B_4C39_9937_AC7883D562FC_.wvu.PrintTitles" localSheetId="90" hidden="1">'910Hosp'!$1:$10</definedName>
    <definedName name="Z_B08879A4_635B_4C39_9937_AC7883D562FC_.wvu.PrintTitles" localSheetId="91" hidden="1">'911-6B'!$1:$11</definedName>
    <definedName name="Z_B08879A4_635B_4C39_9937_AC7883D562FC_.wvu.PrintTitles" localSheetId="92" hidden="1">'911-6C'!$1:$11</definedName>
    <definedName name="Z_B08879A4_635B_4C39_9937_AC7883D562FC_.wvu.PrintTitles" localSheetId="100" hidden="1">'All Agencies'!$1:$2</definedName>
    <definedName name="Z_B08879A4_635B_4C39_9937_AC7883D562FC_.wvu.PrintTitles" localSheetId="2" hidden="1">Index!$1:$16</definedName>
    <definedName name="Z_B08879A4_635B_4C39_9937_AC7883D562FC_.wvu.PrintTitles" localSheetId="99" hidden="1">PriorYr906!$1:$9</definedName>
    <definedName name="Z_B08879A4_635B_4C39_9937_AC7883D562FC_.wvu.Rows" localSheetId="11" hidden="1">'210'!$15:$15</definedName>
    <definedName name="Z_B08879A4_635B_4C39_9937_AC7883D562FC_.wvu.Rows" localSheetId="14" hidden="1">'301'!#REF!,'301'!$27:$27,'301'!#REF!</definedName>
    <definedName name="Z_B08879A4_635B_4C39_9937_AC7883D562FC_.wvu.Rows" localSheetId="17" hidden="1">'315'!$31:$31</definedName>
    <definedName name="Z_B08879A4_635B_4C39_9937_AC7883D562FC_.wvu.Rows" localSheetId="41" hidden="1">'430BTA'!#REF!,'430BTA'!$19:$21</definedName>
    <definedName name="Z_B08879A4_635B_4C39_9937_AC7883D562FC_.wvu.Rows" localSheetId="42" hidden="1">'430F'!#REF!,'430F'!$17:$19</definedName>
    <definedName name="Z_B08879A4_635B_4C39_9937_AC7883D562FC_.wvu.Rows" localSheetId="40" hidden="1">'430G'!$19:$21,'430G'!$42:$42</definedName>
    <definedName name="Z_BEA4BE86_04D1_4C96_9358_7A260B9D2B2D_.wvu.Cols" localSheetId="45" hidden="1">'501'!#REF!,'501'!#REF!</definedName>
    <definedName name="Z_BEA4BE86_04D1_4C96_9358_7A260B9D2B2D_.wvu.PrintArea" localSheetId="4" hidden="1">'101'!$B$1:$L$63</definedName>
    <definedName name="Z_BEA4BE86_04D1_4C96_9358_7A260B9D2B2D_.wvu.PrintArea" localSheetId="6" hidden="1">'110'!$B$1:$J$70</definedName>
    <definedName name="Z_BEA4BE86_04D1_4C96_9358_7A260B9D2B2D_.wvu.PrintArea" localSheetId="7" hidden="1">'120'!$B$1:$J$71</definedName>
    <definedName name="Z_BEA4BE86_04D1_4C96_9358_7A260B9D2B2D_.wvu.PrintArea" localSheetId="11" hidden="1">'210'!$B$1:$R$31</definedName>
    <definedName name="Z_BEA4BE86_04D1_4C96_9358_7A260B9D2B2D_.wvu.PrintArea" localSheetId="12" hidden="1">'215'!$A$1:$N$72</definedName>
    <definedName name="Z_BEA4BE86_04D1_4C96_9358_7A260B9D2B2D_.wvu.PrintArea" localSheetId="14" hidden="1">'301'!$C$1:$L$53</definedName>
    <definedName name="Z_BEA4BE86_04D1_4C96_9358_7A260B9D2B2D_.wvu.PrintArea" localSheetId="15" hidden="1">'305'!$B$1:$P$42</definedName>
    <definedName name="Z_BEA4BE86_04D1_4C96_9358_7A260B9D2B2D_.wvu.PrintArea" localSheetId="17" hidden="1">'315'!$B$1:$Q$71</definedName>
    <definedName name="Z_BEA4BE86_04D1_4C96_9358_7A260B9D2B2D_.wvu.PrintArea" localSheetId="18" hidden="1">'320'!$B$1:$S$62</definedName>
    <definedName name="Z_BEA4BE86_04D1_4C96_9358_7A260B9D2B2D_.wvu.PrintArea" localSheetId="19" hidden="1">'322'!$A$1:$N$10</definedName>
    <definedName name="Z_BEA4BE86_04D1_4C96_9358_7A260B9D2B2D_.wvu.PrintArea" localSheetId="20" hidden="1">'323'!$B$1:$K$125</definedName>
    <definedName name="Z_BEA4BE86_04D1_4C96_9358_7A260B9D2B2D_.wvu.PrintArea" localSheetId="21" hidden="1">'325'!$C$1:$P$60</definedName>
    <definedName name="Z_BEA4BE86_04D1_4C96_9358_7A260B9D2B2D_.wvu.PrintArea" localSheetId="22" hidden="1">'330'!$B$1:$N$59</definedName>
    <definedName name="Z_BEA4BE86_04D1_4C96_9358_7A260B9D2B2D_.wvu.PrintArea" localSheetId="24" hidden="1">'340'!$A$1:$R$9</definedName>
    <definedName name="Z_BEA4BE86_04D1_4C96_9358_7A260B9D2B2D_.wvu.PrintArea" localSheetId="25" hidden="1">'341'!$A$1:$R$9</definedName>
    <definedName name="Z_BEA4BE86_04D1_4C96_9358_7A260B9D2B2D_.wvu.PrintArea" localSheetId="26" hidden="1">'342'!$A$1:$R$9</definedName>
    <definedName name="Z_BEA4BE86_04D1_4C96_9358_7A260B9D2B2D_.wvu.PrintArea" localSheetId="27" hidden="1">'345'!$B$1:$L$53</definedName>
    <definedName name="Z_BEA4BE86_04D1_4C96_9358_7A260B9D2B2D_.wvu.PrintArea" localSheetId="28" hidden="1">'350'!$A$1:$H$41</definedName>
    <definedName name="Z_BEA4BE86_04D1_4C96_9358_7A260B9D2B2D_.wvu.PrintArea" localSheetId="29" hidden="1">'355'!$B$1:$M$52</definedName>
    <definedName name="Z_BEA4BE86_04D1_4C96_9358_7A260B9D2B2D_.wvu.PrintArea" localSheetId="38" hidden="1">'420'!$B$1:$M$23</definedName>
    <definedName name="Z_BEA4BE86_04D1_4C96_9358_7A260B9D2B2D_.wvu.PrintArea" localSheetId="39" hidden="1">'425'!$B$1:$L$35</definedName>
    <definedName name="Z_BEA4BE86_04D1_4C96_9358_7A260B9D2B2D_.wvu.PrintArea" localSheetId="45" hidden="1">'501'!$B$1:$U$34</definedName>
    <definedName name="Z_BEA4BE86_04D1_4C96_9358_7A260B9D2B2D_.wvu.PrintArea" localSheetId="47" hidden="1">'510'!$B$1:$P$33</definedName>
    <definedName name="Z_BEA4BE86_04D1_4C96_9358_7A260B9D2B2D_.wvu.PrintArea" localSheetId="48" hidden="1">'515'!$B$1:$P$33</definedName>
    <definedName name="Z_BEA4BE86_04D1_4C96_9358_7A260B9D2B2D_.wvu.PrintArea" localSheetId="49" hidden="1">'520'!$B$1:$P$33</definedName>
    <definedName name="Z_BEA4BE86_04D1_4C96_9358_7A260B9D2B2D_.wvu.PrintArea" localSheetId="50" hidden="1">'525'!$B$1:$P$27</definedName>
    <definedName name="Z_BEA4BE86_04D1_4C96_9358_7A260B9D2B2D_.wvu.PrintArea" localSheetId="51" hidden="1">'530'!$B$1:$P$33</definedName>
    <definedName name="Z_BEA4BE86_04D1_4C96_9358_7A260B9D2B2D_.wvu.PrintArea" localSheetId="52" hidden="1">'535'!$B$1:$Q$36</definedName>
    <definedName name="Z_BEA4BE86_04D1_4C96_9358_7A260B9D2B2D_.wvu.PrintArea" localSheetId="53" hidden="1">'540'!$B$1:$Q$33</definedName>
    <definedName name="Z_BEA4BE86_04D1_4C96_9358_7A260B9D2B2D_.wvu.PrintArea" localSheetId="55" hidden="1">'550'!$C$1:$L$37</definedName>
    <definedName name="Z_BEA4BE86_04D1_4C96_9358_7A260B9D2B2D_.wvu.PrintArea" localSheetId="56" hidden="1">'555'!$C$1:$L$36</definedName>
    <definedName name="Z_BEA4BE86_04D1_4C96_9358_7A260B9D2B2D_.wvu.PrintArea" localSheetId="57" hidden="1">'560'!$B$1:$R$30</definedName>
    <definedName name="Z_BEA4BE86_04D1_4C96_9358_7A260B9D2B2D_.wvu.PrintArea" localSheetId="59" hidden="1">'570'!$B$1:$M$27</definedName>
    <definedName name="Z_BEA4BE86_04D1_4C96_9358_7A260B9D2B2D_.wvu.PrintArea" localSheetId="60" hidden="1">'602'!$B$1:$P$33</definedName>
    <definedName name="Z_BEA4BE86_04D1_4C96_9358_7A260B9D2B2D_.wvu.PrintArea" localSheetId="61" hidden="1">'605'!$B$1:$P$33</definedName>
    <definedName name="Z_BEA4BE86_04D1_4C96_9358_7A260B9D2B2D_.wvu.PrintArea" localSheetId="62" hidden="1">'610'!$A$1:$I$52</definedName>
    <definedName name="Z_BEA4BE86_04D1_4C96_9358_7A260B9D2B2D_.wvu.PrintArea" localSheetId="63" hidden="1">'615'!$A$1:$K$28</definedName>
    <definedName name="Z_BEA4BE86_04D1_4C96_9358_7A260B9D2B2D_.wvu.PrintArea" localSheetId="64" hidden="1">'616'!$A$1:$K$49</definedName>
    <definedName name="Z_BEA4BE86_04D1_4C96_9358_7A260B9D2B2D_.wvu.PrintArea" localSheetId="66" hidden="1">'625'!$B$1:$W$29</definedName>
    <definedName name="Z_BEA4BE86_04D1_4C96_9358_7A260B9D2B2D_.wvu.PrintArea" localSheetId="67" hidden="1">'635'!$B$1:$P$86</definedName>
    <definedName name="Z_BEA4BE86_04D1_4C96_9358_7A260B9D2B2D_.wvu.PrintArea" localSheetId="69" hidden="1">'705'!$C$1:$R$45</definedName>
    <definedName name="Z_BEA4BE86_04D1_4C96_9358_7A260B9D2B2D_.wvu.PrintArea" localSheetId="70" hidden="1">'710'!$B$1:$S$71</definedName>
    <definedName name="Z_BEA4BE86_04D1_4C96_9358_7A260B9D2B2D_.wvu.PrintArea" localSheetId="71" hidden="1">'715'!$C$1:$R$37</definedName>
    <definedName name="Z_BEA4BE86_04D1_4C96_9358_7A260B9D2B2D_.wvu.PrintArea" localSheetId="76" hidden="1">'740'!$C$1:$P$52</definedName>
    <definedName name="Z_BEA4BE86_04D1_4C96_9358_7A260B9D2B2D_.wvu.PrintArea" localSheetId="77" hidden="1">'745'!$C$1:$S$46</definedName>
    <definedName name="Z_BEA4BE86_04D1_4C96_9358_7A260B9D2B2D_.wvu.PrintArea" localSheetId="79" hidden="1">'756'!$B$1:$S$12</definedName>
    <definedName name="Z_BEA4BE86_04D1_4C96_9358_7A260B9D2B2D_.wvu.PrintArea" localSheetId="94" hidden="1">Comments!$A$1:$N$39</definedName>
    <definedName name="Z_BEA4BE86_04D1_4C96_9358_7A260B9D2B2D_.wvu.PrintArea" localSheetId="93" hidden="1">Explanations!$A$1:$N$9</definedName>
    <definedName name="Z_BEA4BE86_04D1_4C96_9358_7A260B9D2B2D_.wvu.PrintArea" localSheetId="2" hidden="1">Index!$A$1:$L$120</definedName>
    <definedName name="Z_BEA4BE86_04D1_4C96_9358_7A260B9D2B2D_.wvu.PrintTitles" localSheetId="2" hidden="1">Index!$1:$4</definedName>
    <definedName name="Z_BEA4BE86_04D1_4C96_9358_7A260B9D2B2D_.wvu.Rows" localSheetId="2" hidden="1">Index!$1288:$1354</definedName>
  </definedNames>
  <calcPr calcId="191029" fullPrecision="0"/>
  <customWorkbookViews>
    <customWorkbookView name="cpvincent - Personal View" guid="{B08879A4-635B-4C39-9937-AC7883D562FC}" mergeInterval="0" personalView="1" maximized="1" xWindow="1" yWindow="1" windowWidth="1280" windowHeight="832" tabRatio="1000" activeSheetId="27"/>
    <customWorkbookView name="Robert Alford - Personal View" guid="{1250FD07-FF56-4A9D-AF9E-C27124A7EBE9}" mergeInterval="0" personalView="1" maximized="1" windowWidth="1020" windowHeight="579" tabRatio="923" activeSheetId="1"/>
    <customWorkbookView name="Darlene Langston - Personal View" guid="{BEA4BE86-04D1-4C96-9358-7A260B9D2B2D}" mergeInterval="0" personalView="1" maximized="1" windowWidth="1020" windowHeight="556" tabRatio="923" activeSheetId="9"/>
    <customWorkbookView name="amsquirewell - Personal View" guid="{9FCFC836-1CA5-48BF-958D-24D2EA94B219}" mergeInterval="0" personalView="1" maximized="1" xWindow="1" yWindow="1" windowWidth="1280" windowHeight="803" tabRatio="1000" activeSheetId="1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78" i="121" l="1"/>
  <c r="M27" i="121"/>
  <c r="E44" i="29"/>
  <c r="F44" i="29"/>
  <c r="G44" i="29"/>
  <c r="H44" i="29"/>
  <c r="D44" i="29"/>
  <c r="T93" i="113"/>
  <c r="M60" i="121"/>
  <c r="M59" i="121"/>
  <c r="M55" i="121"/>
  <c r="M54" i="121"/>
  <c r="AE84" i="11"/>
  <c r="AE63" i="11"/>
  <c r="M93" i="121"/>
  <c r="M32" i="121"/>
  <c r="M77" i="113"/>
  <c r="AE77" i="11" l="1"/>
  <c r="AE72" i="11"/>
  <c r="M77" i="121"/>
  <c r="M24" i="121" l="1"/>
  <c r="M17" i="121"/>
  <c r="M16" i="121"/>
  <c r="M15" i="121"/>
  <c r="AD1" i="11" l="1"/>
  <c r="M56" i="121" l="1"/>
  <c r="M58" i="121"/>
  <c r="M53" i="121"/>
  <c r="M57" i="121"/>
  <c r="M52" i="121"/>
  <c r="C39" i="79"/>
  <c r="F329" i="80" l="1"/>
  <c r="G329" i="80"/>
  <c r="H329" i="80"/>
  <c r="I329" i="80"/>
  <c r="J329" i="80"/>
  <c r="K329" i="80"/>
  <c r="L329" i="80"/>
  <c r="M329" i="80"/>
  <c r="N329" i="80"/>
  <c r="O329" i="80"/>
  <c r="P329" i="80"/>
  <c r="Q329" i="80"/>
  <c r="R329" i="80"/>
  <c r="S329" i="80"/>
  <c r="T329" i="80"/>
  <c r="U329" i="80"/>
  <c r="V329" i="80"/>
  <c r="W329" i="80"/>
  <c r="X329" i="80"/>
  <c r="Y329" i="80"/>
  <c r="Z329" i="80"/>
  <c r="AA329" i="80"/>
  <c r="AB329" i="80"/>
  <c r="AC329" i="80"/>
  <c r="AD329" i="80"/>
  <c r="AE329" i="80"/>
  <c r="AF329" i="80"/>
  <c r="AG329" i="80"/>
  <c r="E329" i="80"/>
  <c r="Z325" i="80"/>
  <c r="Y325" i="80"/>
  <c r="V325" i="80"/>
  <c r="U325" i="80"/>
  <c r="R325" i="80"/>
  <c r="Q325" i="80"/>
  <c r="P325" i="80"/>
  <c r="F276" i="80"/>
  <c r="D229" i="80"/>
  <c r="E241" i="80"/>
  <c r="D184" i="80"/>
  <c r="F184" i="72"/>
  <c r="G184" i="66"/>
  <c r="F186" i="66"/>
  <c r="D267" i="80"/>
  <c r="D268" i="80"/>
  <c r="D269" i="80"/>
  <c r="D270" i="80"/>
  <c r="D238" i="80"/>
  <c r="D170" i="80"/>
  <c r="D73" i="80"/>
  <c r="D74" i="80"/>
  <c r="D75" i="80"/>
  <c r="D76" i="80"/>
  <c r="D48" i="80"/>
  <c r="D30" i="80"/>
  <c r="M32" i="28"/>
  <c r="M33" i="28"/>
  <c r="M34" i="28"/>
  <c r="M31" i="28"/>
  <c r="M30" i="28"/>
  <c r="H33" i="118" l="1"/>
  <c r="A2" i="121"/>
  <c r="A2" i="2"/>
  <c r="A2" i="1"/>
  <c r="N31" i="3" l="1"/>
  <c r="M102" i="113"/>
  <c r="M103" i="113" s="1"/>
  <c r="M86" i="113"/>
  <c r="M87" i="113" l="1"/>
  <c r="M109" i="113" s="1"/>
  <c r="AE56" i="11" l="1"/>
  <c r="F237" i="90"/>
  <c r="F170" i="90"/>
  <c r="F48" i="90"/>
  <c r="F30" i="90"/>
  <c r="F238" i="72"/>
  <c r="F170" i="72"/>
  <c r="F48" i="72"/>
  <c r="F30" i="72"/>
  <c r="F238" i="68"/>
  <c r="F171" i="68"/>
  <c r="F49" i="68"/>
  <c r="F31" i="68"/>
  <c r="T64" i="113" l="1"/>
  <c r="X77" i="101"/>
  <c r="X74" i="101"/>
  <c r="Y63" i="101"/>
  <c r="T31" i="8" l="1"/>
  <c r="O31" i="8"/>
  <c r="M31" i="8"/>
  <c r="K31" i="8"/>
  <c r="I31" i="8"/>
  <c r="R41" i="5"/>
  <c r="P41" i="5"/>
  <c r="N41" i="5"/>
  <c r="L41" i="5"/>
  <c r="J41" i="5"/>
  <c r="H41" i="5"/>
  <c r="F41" i="5"/>
  <c r="M67" i="121"/>
  <c r="M22" i="121"/>
  <c r="M21" i="121"/>
  <c r="M18" i="121"/>
  <c r="M19" i="121"/>
  <c r="M14" i="121"/>
  <c r="R12" i="36" l="1"/>
  <c r="M12" i="121" l="1"/>
  <c r="M70" i="121" l="1"/>
  <c r="M69" i="121"/>
  <c r="M68" i="121"/>
  <c r="M66" i="121"/>
  <c r="M65" i="121"/>
  <c r="M23" i="121"/>
  <c r="M20" i="121"/>
  <c r="M13" i="121"/>
  <c r="M26" i="121" l="1"/>
  <c r="M25" i="121"/>
  <c r="H44" i="31" l="1"/>
  <c r="G44" i="31"/>
  <c r="F44" i="31"/>
  <c r="E44" i="31"/>
  <c r="D44" i="31"/>
  <c r="H36" i="31"/>
  <c r="G36" i="31"/>
  <c r="F36" i="31"/>
  <c r="E36" i="31"/>
  <c r="D36" i="31"/>
  <c r="M21" i="31"/>
  <c r="F229" i="72"/>
  <c r="F229" i="68"/>
  <c r="F228" i="90" s="1"/>
  <c r="T63" i="112"/>
  <c r="T55" i="112"/>
  <c r="L58" i="55"/>
  <c r="L39" i="55"/>
  <c r="M22" i="32"/>
  <c r="M21" i="32"/>
  <c r="M20" i="32"/>
  <c r="M19" i="32"/>
  <c r="M1" i="32"/>
  <c r="AK60" i="101" l="1"/>
  <c r="AK59" i="101"/>
  <c r="AK58" i="101"/>
  <c r="AK57" i="101"/>
  <c r="AK56" i="101"/>
  <c r="AK55" i="101"/>
  <c r="Y30" i="61"/>
  <c r="Y29" i="61"/>
  <c r="AK47" i="101"/>
  <c r="AK46" i="101"/>
  <c r="AK45" i="101"/>
  <c r="R40" i="64" l="1"/>
  <c r="R39" i="64"/>
  <c r="R38" i="64"/>
  <c r="R37" i="64"/>
  <c r="R36" i="64"/>
  <c r="R35" i="64"/>
  <c r="R34" i="64"/>
  <c r="R33" i="64"/>
  <c r="R32" i="64"/>
  <c r="R31" i="64"/>
  <c r="R30" i="64"/>
  <c r="R29" i="64"/>
  <c r="R28" i="64"/>
  <c r="R27" i="64"/>
  <c r="R26" i="64"/>
  <c r="R25" i="64"/>
  <c r="R24" i="64"/>
  <c r="R23" i="64"/>
  <c r="R22" i="64"/>
  <c r="R21" i="64"/>
  <c r="R20" i="64"/>
  <c r="R19" i="64"/>
  <c r="R18" i="64"/>
  <c r="R17" i="64"/>
  <c r="M34" i="31"/>
  <c r="M33" i="31"/>
  <c r="M32" i="31"/>
  <c r="M30" i="31"/>
  <c r="M29" i="31"/>
  <c r="M28" i="31"/>
  <c r="M26" i="31"/>
  <c r="M25" i="31"/>
  <c r="M24" i="31"/>
  <c r="M34" i="29"/>
  <c r="M33" i="29"/>
  <c r="M32" i="29"/>
  <c r="M30" i="29"/>
  <c r="M29" i="29"/>
  <c r="M28" i="29"/>
  <c r="M26" i="29"/>
  <c r="M25" i="29"/>
  <c r="M24" i="29"/>
  <c r="M23" i="29"/>
  <c r="M36" i="28"/>
  <c r="M37" i="28"/>
  <c r="M28" i="28"/>
  <c r="M27" i="28"/>
  <c r="M26" i="28"/>
  <c r="W27" i="15"/>
  <c r="W25" i="15"/>
  <c r="W23" i="15"/>
  <c r="W21" i="15"/>
  <c r="W19" i="15"/>
  <c r="W17" i="15"/>
  <c r="W15" i="15"/>
  <c r="W27" i="14"/>
  <c r="W25" i="14"/>
  <c r="W23" i="14"/>
  <c r="W21" i="14"/>
  <c r="W19" i="14"/>
  <c r="W17" i="14"/>
  <c r="W15" i="14"/>
  <c r="V32" i="12"/>
  <c r="V31" i="12"/>
  <c r="V29" i="12"/>
  <c r="V26" i="12"/>
  <c r="V25" i="12"/>
  <c r="V24" i="12"/>
  <c r="E10" i="83" l="1"/>
  <c r="B10" i="83"/>
  <c r="C10" i="83" s="1"/>
  <c r="E9" i="83"/>
  <c r="B9" i="83"/>
  <c r="C9" i="83" s="1"/>
  <c r="E8" i="83"/>
  <c r="B8" i="83"/>
  <c r="C8" i="83" s="1"/>
  <c r="E7" i="83"/>
  <c r="B7" i="83"/>
  <c r="C7" i="83" s="1"/>
  <c r="E6" i="83"/>
  <c r="B6" i="83"/>
  <c r="C6" i="83" s="1"/>
  <c r="D5" i="83"/>
  <c r="E5" i="83" s="1"/>
  <c r="D4" i="83"/>
  <c r="E4" i="83" s="1"/>
  <c r="C4" i="83"/>
  <c r="E3" i="83"/>
  <c r="B3" i="83"/>
  <c r="C3" i="83" s="1"/>
  <c r="G50" i="82"/>
  <c r="G49" i="82"/>
  <c r="H48" i="82"/>
  <c r="R48" i="82" s="1"/>
  <c r="G48" i="82"/>
  <c r="G47" i="82"/>
  <c r="H46" i="82"/>
  <c r="R46" i="82" s="1"/>
  <c r="G46" i="82"/>
  <c r="H45" i="82"/>
  <c r="R45" i="82" s="1"/>
  <c r="G45" i="82"/>
  <c r="H44" i="82"/>
  <c r="R44" i="82" s="1"/>
  <c r="G44" i="82"/>
  <c r="H43" i="82"/>
  <c r="R43" i="82" s="1"/>
  <c r="G43" i="82"/>
  <c r="R42" i="82"/>
  <c r="L42" i="82"/>
  <c r="K42" i="82"/>
  <c r="J42" i="82"/>
  <c r="I42" i="82"/>
  <c r="H42" i="82"/>
  <c r="G42" i="82"/>
  <c r="D42" i="82" s="1"/>
  <c r="H41" i="82"/>
  <c r="R41" i="82" s="1"/>
  <c r="G41" i="82"/>
  <c r="D41" i="82" s="1"/>
  <c r="R40" i="82"/>
  <c r="H40" i="82"/>
  <c r="G40" i="82"/>
  <c r="D40" i="82" s="1"/>
  <c r="H39" i="82"/>
  <c r="R39" i="82" s="1"/>
  <c r="G39" i="82"/>
  <c r="G38" i="82"/>
  <c r="G37" i="82"/>
  <c r="G36" i="82"/>
  <c r="H35" i="82"/>
  <c r="R35" i="82" s="1"/>
  <c r="G35" i="82"/>
  <c r="H34" i="82"/>
  <c r="R34" i="82" s="1"/>
  <c r="G34" i="82"/>
  <c r="H33" i="82"/>
  <c r="R33" i="82" s="1"/>
  <c r="G33" i="82"/>
  <c r="H32" i="82"/>
  <c r="R32" i="82" s="1"/>
  <c r="G32" i="82"/>
  <c r="H31" i="82"/>
  <c r="R31" i="82" s="1"/>
  <c r="G31" i="82"/>
  <c r="H30" i="82"/>
  <c r="R30" i="82" s="1"/>
  <c r="G30" i="82"/>
  <c r="H29" i="82"/>
  <c r="R29" i="82" s="1"/>
  <c r="G29" i="82"/>
  <c r="R28" i="82"/>
  <c r="H28" i="82"/>
  <c r="G28" i="82"/>
  <c r="G27" i="82"/>
  <c r="L26" i="82"/>
  <c r="K26" i="82"/>
  <c r="J26" i="82"/>
  <c r="I26" i="82"/>
  <c r="H26" i="82"/>
  <c r="T26" i="82" s="1"/>
  <c r="R26" i="82" s="1"/>
  <c r="G26" i="82"/>
  <c r="K25" i="82"/>
  <c r="J25" i="82"/>
  <c r="I25" i="82"/>
  <c r="H25" i="82"/>
  <c r="G25" i="82"/>
  <c r="M24" i="82"/>
  <c r="L24" i="82"/>
  <c r="V24" i="82" s="1"/>
  <c r="K24" i="82"/>
  <c r="J24" i="82"/>
  <c r="I24" i="82"/>
  <c r="H24" i="82"/>
  <c r="G24" i="82"/>
  <c r="H23" i="82"/>
  <c r="R23" i="82" s="1"/>
  <c r="G23" i="82"/>
  <c r="I22" i="82"/>
  <c r="R22" i="82" s="1"/>
  <c r="H22" i="82"/>
  <c r="G22" i="82"/>
  <c r="I21" i="82"/>
  <c r="H21" i="82"/>
  <c r="G21" i="82"/>
  <c r="I20" i="82"/>
  <c r="R20" i="82" s="1"/>
  <c r="H20" i="82"/>
  <c r="G20" i="82"/>
  <c r="I19" i="82"/>
  <c r="R19" i="82" s="1"/>
  <c r="H19" i="82"/>
  <c r="G19" i="82"/>
  <c r="Q18" i="82"/>
  <c r="O18" i="82"/>
  <c r="N18" i="82"/>
  <c r="M18" i="82"/>
  <c r="L18" i="82"/>
  <c r="K18" i="82"/>
  <c r="J18" i="82"/>
  <c r="I18" i="82"/>
  <c r="H18" i="82"/>
  <c r="G18" i="82"/>
  <c r="I17" i="82"/>
  <c r="H17" i="82"/>
  <c r="G17" i="82"/>
  <c r="R16" i="82"/>
  <c r="I16" i="82"/>
  <c r="H16" i="82"/>
  <c r="G16" i="82"/>
  <c r="I15" i="82"/>
  <c r="H15" i="82"/>
  <c r="G15" i="82"/>
  <c r="I14" i="82"/>
  <c r="R14" i="82" s="1"/>
  <c r="H14" i="82"/>
  <c r="G14" i="82"/>
  <c r="I13" i="82"/>
  <c r="H13" i="82"/>
  <c r="G13" i="82"/>
  <c r="O12" i="82"/>
  <c r="N12" i="82"/>
  <c r="M12" i="82"/>
  <c r="L12" i="82"/>
  <c r="K12" i="82"/>
  <c r="J12" i="82"/>
  <c r="I12" i="82"/>
  <c r="H12" i="82"/>
  <c r="G12" i="82"/>
  <c r="I11" i="82"/>
  <c r="H11" i="82"/>
  <c r="R11" i="82" s="1"/>
  <c r="G11" i="82"/>
  <c r="H10" i="82"/>
  <c r="R10" i="82" s="1"/>
  <c r="G10" i="82"/>
  <c r="K9" i="82"/>
  <c r="J9" i="82"/>
  <c r="G9" i="82"/>
  <c r="H8" i="82"/>
  <c r="R8" i="82" s="1"/>
  <c r="G8" i="82"/>
  <c r="K7" i="82"/>
  <c r="J7" i="82"/>
  <c r="H7" i="82"/>
  <c r="G7" i="82"/>
  <c r="G6" i="82"/>
  <c r="H5" i="82"/>
  <c r="R5" i="82" s="1"/>
  <c r="G5" i="82"/>
  <c r="G4" i="82"/>
  <c r="H3" i="82"/>
  <c r="R3" i="82" s="1"/>
  <c r="G3" i="82"/>
  <c r="H2" i="82"/>
  <c r="L149" i="77"/>
  <c r="A149"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A81" i="77"/>
  <c r="A80" i="77"/>
  <c r="A79" i="77"/>
  <c r="A78" i="77"/>
  <c r="A77" i="77"/>
  <c r="C76" i="77"/>
  <c r="C75" i="77"/>
  <c r="C74" i="77"/>
  <c r="C73" i="77"/>
  <c r="N73" i="77" s="1"/>
  <c r="C72" i="77"/>
  <c r="C71" i="77"/>
  <c r="C70" i="77"/>
  <c r="C69" i="77"/>
  <c r="C68" i="77"/>
  <c r="N68" i="77" s="1"/>
  <c r="C67" i="77"/>
  <c r="N67" i="77" s="1"/>
  <c r="C66" i="77"/>
  <c r="N66" i="77" s="1"/>
  <c r="C65" i="77"/>
  <c r="N65" i="77" s="1"/>
  <c r="C64" i="77"/>
  <c r="N64" i="77" s="1"/>
  <c r="C63" i="77"/>
  <c r="N63" i="77" s="1"/>
  <c r="C62" i="77"/>
  <c r="N62" i="77" s="1"/>
  <c r="C61" i="77"/>
  <c r="N61" i="77" s="1"/>
  <c r="C60" i="77"/>
  <c r="N60" i="77" s="1"/>
  <c r="C59" i="77"/>
  <c r="N59" i="77" s="1"/>
  <c r="C58" i="77"/>
  <c r="N58" i="77" s="1"/>
  <c r="C57" i="77"/>
  <c r="N57" i="77" s="1"/>
  <c r="C56" i="77"/>
  <c r="N56" i="77" s="1"/>
  <c r="C55" i="77"/>
  <c r="C54" i="77"/>
  <c r="C53" i="77"/>
  <c r="N53" i="77" s="1"/>
  <c r="C52" i="77"/>
  <c r="N52" i="77" s="1"/>
  <c r="C51" i="77"/>
  <c r="N51" i="77" s="1"/>
  <c r="C50" i="77"/>
  <c r="N50" i="77" s="1"/>
  <c r="C49" i="77"/>
  <c r="N49" i="77" s="1"/>
  <c r="C48" i="77"/>
  <c r="N48" i="77" s="1"/>
  <c r="C47" i="77"/>
  <c r="N47" i="77" s="1"/>
  <c r="C46" i="77"/>
  <c r="N46" i="77" s="1"/>
  <c r="C45" i="77"/>
  <c r="N45" i="77" s="1"/>
  <c r="C44" i="77"/>
  <c r="N44" i="77" s="1"/>
  <c r="C43" i="77"/>
  <c r="C42" i="77"/>
  <c r="C41" i="77"/>
  <c r="C40" i="77"/>
  <c r="C39" i="77"/>
  <c r="C38" i="77"/>
  <c r="C37" i="77"/>
  <c r="N37" i="77" s="1"/>
  <c r="C36" i="77"/>
  <c r="C35" i="77"/>
  <c r="C34" i="77"/>
  <c r="L33" i="77"/>
  <c r="C33" i="77"/>
  <c r="N33" i="77" s="1"/>
  <c r="L32" i="77"/>
  <c r="C32" i="77"/>
  <c r="L31" i="77"/>
  <c r="C31" i="77"/>
  <c r="L30" i="77"/>
  <c r="C30" i="77"/>
  <c r="N30" i="77" s="1"/>
  <c r="L29" i="77"/>
  <c r="C29" i="77"/>
  <c r="L28" i="77"/>
  <c r="C28" i="77"/>
  <c r="L27" i="77"/>
  <c r="C27" i="77"/>
  <c r="L26" i="77"/>
  <c r="C26" i="77"/>
  <c r="N26" i="77" s="1"/>
  <c r="L25" i="77"/>
  <c r="C25" i="77"/>
  <c r="N25" i="77" s="1"/>
  <c r="L24" i="77"/>
  <c r="C24" i="77"/>
  <c r="N24" i="77" s="1"/>
  <c r="L23" i="77"/>
  <c r="C23" i="77"/>
  <c r="N23" i="77" s="1"/>
  <c r="L22" i="77"/>
  <c r="C22" i="77"/>
  <c r="N22" i="77" s="1"/>
  <c r="L21" i="77"/>
  <c r="C21" i="77"/>
  <c r="N21" i="77" s="1"/>
  <c r="L20" i="77"/>
  <c r="C20" i="77"/>
  <c r="N20" i="77" s="1"/>
  <c r="L19" i="77"/>
  <c r="C19" i="77"/>
  <c r="L18" i="77"/>
  <c r="C18" i="77"/>
  <c r="N18" i="77" s="1"/>
  <c r="L17" i="77"/>
  <c r="C17" i="77"/>
  <c r="N17" i="77" s="1"/>
  <c r="L16" i="77"/>
  <c r="C16" i="77"/>
  <c r="N16" i="77" s="1"/>
  <c r="L15" i="77"/>
  <c r="C15" i="77"/>
  <c r="N15" i="77" s="1"/>
  <c r="L14" i="77"/>
  <c r="C14" i="77"/>
  <c r="N14" i="77" s="1"/>
  <c r="L13" i="77"/>
  <c r="C13" i="77"/>
  <c r="N13" i="77" s="1"/>
  <c r="L12" i="77"/>
  <c r="C12" i="77"/>
  <c r="L11" i="77"/>
  <c r="C11" i="77"/>
  <c r="N11" i="77" s="1"/>
  <c r="L10" i="77"/>
  <c r="C10" i="77"/>
  <c r="N10" i="77" s="1"/>
  <c r="L9" i="77"/>
  <c r="C9" i="77"/>
  <c r="N9" i="77" s="1"/>
  <c r="L8" i="77"/>
  <c r="C8" i="77"/>
  <c r="N8" i="77" s="1"/>
  <c r="C7" i="77"/>
  <c r="N7" i="77" s="1"/>
  <c r="C6" i="77"/>
  <c r="N6" i="77" s="1"/>
  <c r="C5" i="77"/>
  <c r="N5" i="77" s="1"/>
  <c r="C4" i="77"/>
  <c r="N4" i="77" s="1"/>
  <c r="C3" i="77"/>
  <c r="K83" i="85"/>
  <c r="J83" i="85"/>
  <c r="K75" i="85"/>
  <c r="J75" i="85"/>
  <c r="K70" i="85"/>
  <c r="J70" i="85"/>
  <c r="K66" i="85"/>
  <c r="K76" i="85" s="1"/>
  <c r="K84" i="85" s="1"/>
  <c r="K87" i="85" s="1"/>
  <c r="J66" i="85"/>
  <c r="K60" i="85"/>
  <c r="J60" i="85"/>
  <c r="K56" i="85"/>
  <c r="J56" i="85"/>
  <c r="K51" i="85"/>
  <c r="J51" i="85"/>
  <c r="K39" i="85"/>
  <c r="K58" i="85" s="1"/>
  <c r="J39" i="85"/>
  <c r="K8" i="85"/>
  <c r="J8" i="85"/>
  <c r="G7" i="85"/>
  <c r="H5" i="85"/>
  <c r="K1" i="85"/>
  <c r="B1" i="85"/>
  <c r="AG337" i="80"/>
  <c r="AF337" i="80"/>
  <c r="AE337" i="80"/>
  <c r="AD337" i="80"/>
  <c r="AC337" i="80"/>
  <c r="AB337" i="80"/>
  <c r="AA337" i="80"/>
  <c r="Z337" i="80"/>
  <c r="Y337" i="80"/>
  <c r="X337" i="80"/>
  <c r="W337" i="80"/>
  <c r="V337" i="80"/>
  <c r="U337" i="80"/>
  <c r="T337" i="80"/>
  <c r="S337" i="80"/>
  <c r="R337" i="80"/>
  <c r="Q337" i="80"/>
  <c r="P337" i="80"/>
  <c r="O337" i="80"/>
  <c r="N337" i="80"/>
  <c r="M337" i="80"/>
  <c r="L337" i="80"/>
  <c r="K337" i="80"/>
  <c r="J337" i="80"/>
  <c r="I337" i="80"/>
  <c r="H337" i="80"/>
  <c r="G337" i="80"/>
  <c r="F337" i="80"/>
  <c r="E337" i="80"/>
  <c r="AG336" i="80"/>
  <c r="AF336" i="80"/>
  <c r="AE336" i="80"/>
  <c r="AD336" i="80"/>
  <c r="AC336" i="80"/>
  <c r="AB336" i="80"/>
  <c r="AA336" i="80"/>
  <c r="Z336" i="80"/>
  <c r="Y336" i="80"/>
  <c r="X336" i="80"/>
  <c r="W336" i="80"/>
  <c r="V336" i="80"/>
  <c r="U336" i="80"/>
  <c r="T336" i="80"/>
  <c r="S336" i="80"/>
  <c r="R336" i="80"/>
  <c r="Q336" i="80"/>
  <c r="P336" i="80"/>
  <c r="O336" i="80"/>
  <c r="N336" i="80"/>
  <c r="M336" i="80"/>
  <c r="L336" i="80"/>
  <c r="K336" i="80"/>
  <c r="J336" i="80"/>
  <c r="I336" i="80"/>
  <c r="H336" i="80"/>
  <c r="G336" i="80"/>
  <c r="F336" i="80"/>
  <c r="E336" i="80"/>
  <c r="AG335" i="80"/>
  <c r="AF335" i="80"/>
  <c r="AE335" i="80"/>
  <c r="AD335" i="80"/>
  <c r="AC335" i="80"/>
  <c r="AB335" i="80"/>
  <c r="AA335" i="80"/>
  <c r="Z335" i="80"/>
  <c r="Y335" i="80"/>
  <c r="X335" i="80"/>
  <c r="W335" i="80"/>
  <c r="V335" i="80"/>
  <c r="U335" i="80"/>
  <c r="T335" i="80"/>
  <c r="S335" i="80"/>
  <c r="R335" i="80"/>
  <c r="Q335" i="80"/>
  <c r="P335" i="80"/>
  <c r="O335" i="80"/>
  <c r="N335" i="80"/>
  <c r="M335" i="80"/>
  <c r="L335" i="80"/>
  <c r="K335" i="80"/>
  <c r="J335" i="80"/>
  <c r="I335" i="80"/>
  <c r="H335" i="80"/>
  <c r="G335" i="80"/>
  <c r="F335" i="80"/>
  <c r="E335" i="80"/>
  <c r="AG334" i="80"/>
  <c r="AF334" i="80"/>
  <c r="AE334" i="80"/>
  <c r="AD334" i="80"/>
  <c r="AC334" i="80"/>
  <c r="AB334" i="80"/>
  <c r="AA334" i="80"/>
  <c r="Z334" i="80"/>
  <c r="Y334" i="80"/>
  <c r="X334" i="80"/>
  <c r="W334" i="80"/>
  <c r="V334" i="80"/>
  <c r="U334" i="80"/>
  <c r="T334" i="80"/>
  <c r="S334" i="80"/>
  <c r="R334" i="80"/>
  <c r="Q334" i="80"/>
  <c r="P334" i="80"/>
  <c r="O334" i="80"/>
  <c r="N334" i="80"/>
  <c r="M334" i="80"/>
  <c r="L334" i="80"/>
  <c r="K334" i="80"/>
  <c r="J334" i="80"/>
  <c r="I334" i="80"/>
  <c r="H334" i="80"/>
  <c r="G334" i="80"/>
  <c r="F334" i="80"/>
  <c r="E334" i="80"/>
  <c r="AG333" i="80"/>
  <c r="AF333" i="80"/>
  <c r="AE333" i="80"/>
  <c r="AD333" i="80"/>
  <c r="AC333" i="80"/>
  <c r="AB333" i="80"/>
  <c r="AA333" i="80"/>
  <c r="Z333" i="80"/>
  <c r="Y333" i="80"/>
  <c r="X333" i="80"/>
  <c r="W333" i="80"/>
  <c r="V333" i="80"/>
  <c r="U333" i="80"/>
  <c r="T333" i="80"/>
  <c r="S333" i="80"/>
  <c r="R333" i="80"/>
  <c r="Q333" i="80"/>
  <c r="P333" i="80"/>
  <c r="O333" i="80"/>
  <c r="N333" i="80"/>
  <c r="M333" i="80"/>
  <c r="L333" i="80"/>
  <c r="K333" i="80"/>
  <c r="J333" i="80"/>
  <c r="I333" i="80"/>
  <c r="H333" i="80"/>
  <c r="G333" i="80"/>
  <c r="F333" i="80"/>
  <c r="E333" i="80"/>
  <c r="AG332" i="80"/>
  <c r="AF332" i="80"/>
  <c r="AE332" i="80"/>
  <c r="AD332" i="80"/>
  <c r="AC332" i="80"/>
  <c r="AB332" i="80"/>
  <c r="AA332" i="80"/>
  <c r="Z332" i="80"/>
  <c r="Y332" i="80"/>
  <c r="X332" i="80"/>
  <c r="W332" i="80"/>
  <c r="V332" i="80"/>
  <c r="U332" i="80"/>
  <c r="T332" i="80"/>
  <c r="S332" i="80"/>
  <c r="R332" i="80"/>
  <c r="Q332" i="80"/>
  <c r="P332" i="80"/>
  <c r="O332" i="80"/>
  <c r="N332" i="80"/>
  <c r="M332" i="80"/>
  <c r="L332" i="80"/>
  <c r="K332" i="80"/>
  <c r="J332" i="80"/>
  <c r="I332" i="80"/>
  <c r="H332" i="80"/>
  <c r="G332" i="80"/>
  <c r="F332" i="80"/>
  <c r="E332" i="80"/>
  <c r="AG331" i="80"/>
  <c r="AF331" i="80"/>
  <c r="AE331" i="80"/>
  <c r="AD331" i="80"/>
  <c r="AC331" i="80"/>
  <c r="AB331" i="80"/>
  <c r="AA331" i="80"/>
  <c r="Z331" i="80"/>
  <c r="Y331" i="80"/>
  <c r="X331" i="80"/>
  <c r="W331" i="80"/>
  <c r="V331" i="80"/>
  <c r="U331" i="80"/>
  <c r="T331" i="80"/>
  <c r="S331" i="80"/>
  <c r="R331" i="80"/>
  <c r="Q331" i="80"/>
  <c r="P331" i="80"/>
  <c r="O331" i="80"/>
  <c r="N331" i="80"/>
  <c r="M331" i="80"/>
  <c r="L331" i="80"/>
  <c r="K331" i="80"/>
  <c r="J331" i="80"/>
  <c r="I331" i="80"/>
  <c r="H331" i="80"/>
  <c r="G331" i="80"/>
  <c r="F331" i="80"/>
  <c r="E331" i="80"/>
  <c r="AG330" i="80"/>
  <c r="AF330" i="80"/>
  <c r="AE330" i="80"/>
  <c r="AD330" i="80"/>
  <c r="AC330" i="80"/>
  <c r="AB330" i="80"/>
  <c r="AA330" i="80"/>
  <c r="Z330" i="80"/>
  <c r="Y330" i="80"/>
  <c r="X330" i="80"/>
  <c r="W330" i="80"/>
  <c r="V330" i="80"/>
  <c r="U330" i="80"/>
  <c r="T330" i="80"/>
  <c r="S330" i="80"/>
  <c r="R330" i="80"/>
  <c r="Q330" i="80"/>
  <c r="P330" i="80"/>
  <c r="O330" i="80"/>
  <c r="N330" i="80"/>
  <c r="M330" i="80"/>
  <c r="L330" i="80"/>
  <c r="K330" i="80"/>
  <c r="J330" i="80"/>
  <c r="I330" i="80"/>
  <c r="H330" i="80"/>
  <c r="G330" i="80"/>
  <c r="F330" i="80"/>
  <c r="E330" i="80"/>
  <c r="AG328" i="80"/>
  <c r="AF328" i="80"/>
  <c r="AE328" i="80"/>
  <c r="AD328" i="80"/>
  <c r="AC328" i="80"/>
  <c r="AB328" i="80"/>
  <c r="AA328" i="80"/>
  <c r="Z328" i="80"/>
  <c r="Y328" i="80"/>
  <c r="X328" i="80"/>
  <c r="W328" i="80"/>
  <c r="V328" i="80"/>
  <c r="U328" i="80"/>
  <c r="T328" i="80"/>
  <c r="S328" i="80"/>
  <c r="R328" i="80"/>
  <c r="Q328" i="80"/>
  <c r="P328" i="80"/>
  <c r="O328" i="80"/>
  <c r="N328" i="80"/>
  <c r="M328" i="80"/>
  <c r="L328" i="80"/>
  <c r="K328" i="80"/>
  <c r="J328" i="80"/>
  <c r="I328" i="80"/>
  <c r="H328" i="80"/>
  <c r="G328" i="80"/>
  <c r="F328" i="80"/>
  <c r="E328" i="80"/>
  <c r="AG327" i="80"/>
  <c r="AF327" i="80"/>
  <c r="AE327" i="80"/>
  <c r="AD327" i="80"/>
  <c r="AC327" i="80"/>
  <c r="AB327" i="80"/>
  <c r="AA327" i="80"/>
  <c r="Z327" i="80"/>
  <c r="Y327" i="80"/>
  <c r="X327" i="80"/>
  <c r="W327" i="80"/>
  <c r="V327" i="80"/>
  <c r="U327" i="80"/>
  <c r="T327" i="80"/>
  <c r="S327" i="80"/>
  <c r="R327" i="80"/>
  <c r="Q327" i="80"/>
  <c r="P327" i="80"/>
  <c r="O327" i="80"/>
  <c r="N327" i="80"/>
  <c r="M327" i="80"/>
  <c r="L327" i="80"/>
  <c r="K327" i="80"/>
  <c r="J327" i="80"/>
  <c r="I327" i="80"/>
  <c r="H327" i="80"/>
  <c r="G327" i="80"/>
  <c r="F327" i="80"/>
  <c r="E327" i="80"/>
  <c r="AG326" i="80"/>
  <c r="AF326" i="80"/>
  <c r="AE326" i="80"/>
  <c r="AD326" i="80"/>
  <c r="AC326" i="80"/>
  <c r="AB326" i="80"/>
  <c r="AA326" i="80"/>
  <c r="Z326" i="80"/>
  <c r="Y326" i="80"/>
  <c r="X326" i="80"/>
  <c r="W326" i="80"/>
  <c r="V326" i="80"/>
  <c r="U326" i="80"/>
  <c r="T326" i="80"/>
  <c r="S326" i="80"/>
  <c r="R326" i="80"/>
  <c r="Q326" i="80"/>
  <c r="P326" i="80"/>
  <c r="O326" i="80"/>
  <c r="N326" i="80"/>
  <c r="M326" i="80"/>
  <c r="L326" i="80"/>
  <c r="K326" i="80"/>
  <c r="J326" i="80"/>
  <c r="I326" i="80"/>
  <c r="H326" i="80"/>
  <c r="G326" i="80"/>
  <c r="F326" i="80"/>
  <c r="E326" i="80"/>
  <c r="AG325" i="80"/>
  <c r="AF325" i="80"/>
  <c r="AE325" i="80"/>
  <c r="AD325" i="80"/>
  <c r="AC325" i="80"/>
  <c r="AB325" i="80"/>
  <c r="AA325" i="80"/>
  <c r="X325" i="80"/>
  <c r="W325" i="80"/>
  <c r="T325" i="80"/>
  <c r="S325" i="80"/>
  <c r="O325" i="80"/>
  <c r="N325" i="80"/>
  <c r="M325" i="80"/>
  <c r="L325" i="80"/>
  <c r="K325" i="80"/>
  <c r="J325" i="80"/>
  <c r="I325" i="80"/>
  <c r="H325" i="80"/>
  <c r="G325" i="80"/>
  <c r="F325" i="80"/>
  <c r="E325" i="80"/>
  <c r="AG324" i="80"/>
  <c r="AF324" i="80"/>
  <c r="AE324" i="80"/>
  <c r="AD324" i="80"/>
  <c r="AC324" i="80"/>
  <c r="AB324" i="80"/>
  <c r="AA324" i="80"/>
  <c r="Z324" i="80"/>
  <c r="Y324" i="80"/>
  <c r="X324" i="80"/>
  <c r="W324" i="80"/>
  <c r="V324" i="80"/>
  <c r="U324" i="80"/>
  <c r="T324" i="80"/>
  <c r="S324" i="80"/>
  <c r="R324" i="80"/>
  <c r="Q324" i="80"/>
  <c r="P324" i="80"/>
  <c r="O324" i="80"/>
  <c r="N324" i="80"/>
  <c r="M324" i="80"/>
  <c r="L324" i="80"/>
  <c r="K324" i="80"/>
  <c r="J324" i="80"/>
  <c r="I324" i="80"/>
  <c r="H324" i="80"/>
  <c r="G324" i="80"/>
  <c r="F324" i="80"/>
  <c r="E324" i="80"/>
  <c r="AG318" i="80"/>
  <c r="AG319" i="80" s="1"/>
  <c r="AF318" i="80"/>
  <c r="AF319" i="80" s="1"/>
  <c r="AE318" i="80"/>
  <c r="AE319" i="80" s="1"/>
  <c r="AD318" i="80"/>
  <c r="AD319" i="80" s="1"/>
  <c r="AC318" i="80"/>
  <c r="AC319" i="80" s="1"/>
  <c r="AB318" i="80"/>
  <c r="AB319" i="80" s="1"/>
  <c r="AA318" i="80"/>
  <c r="AA319" i="80" s="1"/>
  <c r="Z318" i="80"/>
  <c r="Z319" i="80" s="1"/>
  <c r="Y318" i="80"/>
  <c r="Y319" i="80" s="1"/>
  <c r="X318" i="80"/>
  <c r="X319" i="80" s="1"/>
  <c r="W318" i="80"/>
  <c r="W319" i="80" s="1"/>
  <c r="V318" i="80"/>
  <c r="V319" i="80" s="1"/>
  <c r="U318" i="80"/>
  <c r="U319" i="80" s="1"/>
  <c r="T318" i="80"/>
  <c r="T319" i="80" s="1"/>
  <c r="S318" i="80"/>
  <c r="S319" i="80" s="1"/>
  <c r="R318" i="80"/>
  <c r="R319" i="80" s="1"/>
  <c r="Q318" i="80"/>
  <c r="Q319" i="80" s="1"/>
  <c r="P318" i="80"/>
  <c r="P319" i="80" s="1"/>
  <c r="O318" i="80"/>
  <c r="O319" i="80" s="1"/>
  <c r="N318" i="80"/>
  <c r="N319" i="80" s="1"/>
  <c r="M318" i="80"/>
  <c r="M319" i="80" s="1"/>
  <c r="L318" i="80"/>
  <c r="L319" i="80" s="1"/>
  <c r="K318" i="80"/>
  <c r="K319" i="80" s="1"/>
  <c r="J318" i="80"/>
  <c r="J319" i="80" s="1"/>
  <c r="I318" i="80"/>
  <c r="I319" i="80" s="1"/>
  <c r="H318" i="80"/>
  <c r="H319" i="80" s="1"/>
  <c r="G318" i="80"/>
  <c r="G319" i="80" s="1"/>
  <c r="F318" i="80"/>
  <c r="F319" i="80" s="1"/>
  <c r="E318" i="80"/>
  <c r="D317" i="80"/>
  <c r="D316" i="80"/>
  <c r="D315" i="80"/>
  <c r="D314" i="80"/>
  <c r="D313" i="80"/>
  <c r="AG310" i="80"/>
  <c r="AF310" i="80"/>
  <c r="AE310" i="80"/>
  <c r="AD310" i="80"/>
  <c r="AC310" i="80"/>
  <c r="AB310" i="80"/>
  <c r="AA310" i="80"/>
  <c r="Z310" i="80"/>
  <c r="Y310" i="80"/>
  <c r="X310" i="80"/>
  <c r="W310" i="80"/>
  <c r="V310" i="80"/>
  <c r="U310" i="80"/>
  <c r="T310" i="80"/>
  <c r="S310" i="80"/>
  <c r="R310" i="80"/>
  <c r="Q310" i="80"/>
  <c r="P310" i="80"/>
  <c r="O310" i="80"/>
  <c r="N310" i="80"/>
  <c r="M310" i="80"/>
  <c r="L310" i="80"/>
  <c r="K310" i="80"/>
  <c r="J310" i="80"/>
  <c r="I310" i="80"/>
  <c r="H310" i="80"/>
  <c r="G310" i="80"/>
  <c r="F310" i="80"/>
  <c r="E310" i="80"/>
  <c r="AG309" i="80"/>
  <c r="AF309" i="80"/>
  <c r="AE309" i="80"/>
  <c r="AD309" i="80"/>
  <c r="AC309" i="80"/>
  <c r="AB309" i="80"/>
  <c r="AA309" i="80"/>
  <c r="Z309" i="80"/>
  <c r="Y309" i="80"/>
  <c r="X309" i="80"/>
  <c r="W309" i="80"/>
  <c r="V309" i="80"/>
  <c r="U309" i="80"/>
  <c r="T309" i="80"/>
  <c r="S309" i="80"/>
  <c r="R309" i="80"/>
  <c r="Q309" i="80"/>
  <c r="P309" i="80"/>
  <c r="O309" i="80"/>
  <c r="N309" i="80"/>
  <c r="M309" i="80"/>
  <c r="L309" i="80"/>
  <c r="K309" i="80"/>
  <c r="J309" i="80"/>
  <c r="I309" i="80"/>
  <c r="H309" i="80"/>
  <c r="G309" i="80"/>
  <c r="F309" i="80"/>
  <c r="E309" i="80"/>
  <c r="AG306" i="80"/>
  <c r="AF306" i="80"/>
  <c r="AE306" i="80"/>
  <c r="AD306" i="80"/>
  <c r="AC306" i="80"/>
  <c r="AB306" i="80"/>
  <c r="AA306" i="80"/>
  <c r="Z306" i="80"/>
  <c r="Y306" i="80"/>
  <c r="X306" i="80"/>
  <c r="W306" i="80"/>
  <c r="V306" i="80"/>
  <c r="U306" i="80"/>
  <c r="T306" i="80"/>
  <c r="S306" i="80"/>
  <c r="R306" i="80"/>
  <c r="Q306" i="80"/>
  <c r="P306" i="80"/>
  <c r="O306" i="80"/>
  <c r="N306" i="80"/>
  <c r="M306" i="80"/>
  <c r="L306" i="80"/>
  <c r="K306" i="80"/>
  <c r="J306" i="80"/>
  <c r="I306" i="80"/>
  <c r="H306" i="80"/>
  <c r="G306" i="80"/>
  <c r="F306" i="80"/>
  <c r="E306" i="80"/>
  <c r="D305" i="80"/>
  <c r="D304" i="80"/>
  <c r="D303" i="80"/>
  <c r="D302" i="80"/>
  <c r="D301" i="80"/>
  <c r="D300" i="80"/>
  <c r="D299" i="80"/>
  <c r="D298" i="80"/>
  <c r="D297" i="80"/>
  <c r="D296" i="80"/>
  <c r="D295" i="80"/>
  <c r="D294" i="80"/>
  <c r="D293" i="80"/>
  <c r="D292" i="80"/>
  <c r="D291" i="80"/>
  <c r="D290" i="80"/>
  <c r="D289" i="80"/>
  <c r="D288" i="80"/>
  <c r="D287" i="80"/>
  <c r="AG286" i="80"/>
  <c r="AF286" i="80"/>
  <c r="AE286" i="80"/>
  <c r="AD286" i="80"/>
  <c r="AC286" i="80"/>
  <c r="AB286" i="80"/>
  <c r="AA286" i="80"/>
  <c r="Z286" i="80"/>
  <c r="Y286" i="80"/>
  <c r="X286" i="80"/>
  <c r="W286" i="80"/>
  <c r="V286" i="80"/>
  <c r="U286" i="80"/>
  <c r="T286" i="80"/>
  <c r="S286" i="80"/>
  <c r="R286" i="80"/>
  <c r="Q286" i="80"/>
  <c r="P286" i="80"/>
  <c r="O286" i="80"/>
  <c r="N286" i="80"/>
  <c r="M286" i="80"/>
  <c r="L286" i="80"/>
  <c r="K286" i="80"/>
  <c r="J286" i="80"/>
  <c r="I286" i="80"/>
  <c r="H286" i="80"/>
  <c r="G286" i="80"/>
  <c r="F286" i="80"/>
  <c r="E286" i="80"/>
  <c r="AG276" i="80"/>
  <c r="AG278" i="80" s="1"/>
  <c r="AF276" i="80"/>
  <c r="AF278" i="80" s="1"/>
  <c r="AE276" i="80"/>
  <c r="AE278" i="80" s="1"/>
  <c r="AD276" i="80"/>
  <c r="AD278" i="80" s="1"/>
  <c r="AC276" i="80"/>
  <c r="AC278" i="80" s="1"/>
  <c r="AB276" i="80"/>
  <c r="AB278" i="80" s="1"/>
  <c r="AA276" i="80"/>
  <c r="AA278" i="80" s="1"/>
  <c r="Z276" i="80"/>
  <c r="Z278" i="80" s="1"/>
  <c r="Y276" i="80"/>
  <c r="Y278" i="80" s="1"/>
  <c r="X276" i="80"/>
  <c r="X278" i="80" s="1"/>
  <c r="W276" i="80"/>
  <c r="W278" i="80" s="1"/>
  <c r="V276" i="80"/>
  <c r="V278" i="80" s="1"/>
  <c r="U276" i="80"/>
  <c r="U278" i="80" s="1"/>
  <c r="T276" i="80"/>
  <c r="T278" i="80" s="1"/>
  <c r="S276" i="80"/>
  <c r="S278" i="80" s="1"/>
  <c r="R276" i="80"/>
  <c r="R278" i="80" s="1"/>
  <c r="Q276" i="80"/>
  <c r="Q278" i="80" s="1"/>
  <c r="P276" i="80"/>
  <c r="P278" i="80" s="1"/>
  <c r="O276" i="80"/>
  <c r="O278" i="80" s="1"/>
  <c r="N276" i="80"/>
  <c r="N278" i="80" s="1"/>
  <c r="M276" i="80"/>
  <c r="M278" i="80" s="1"/>
  <c r="L276" i="80"/>
  <c r="L278" i="80" s="1"/>
  <c r="K276" i="80"/>
  <c r="K278" i="80" s="1"/>
  <c r="J276" i="80"/>
  <c r="J278" i="80" s="1"/>
  <c r="I276" i="80"/>
  <c r="I278" i="80" s="1"/>
  <c r="H276" i="80"/>
  <c r="H278" i="80" s="1"/>
  <c r="G276" i="80"/>
  <c r="G278" i="80" s="1"/>
  <c r="F278" i="80"/>
  <c r="E276" i="80"/>
  <c r="D275" i="80"/>
  <c r="D274" i="80"/>
  <c r="D273" i="80"/>
  <c r="D272" i="80"/>
  <c r="D271" i="80"/>
  <c r="D266" i="80"/>
  <c r="D265" i="80"/>
  <c r="D264" i="80"/>
  <c r="D263" i="80"/>
  <c r="AG262" i="80"/>
  <c r="AF262" i="80"/>
  <c r="AE262" i="80"/>
  <c r="AD262" i="80"/>
  <c r="AC262" i="80"/>
  <c r="AB262" i="80"/>
  <c r="AA262" i="80"/>
  <c r="Z262" i="80"/>
  <c r="Y262" i="80"/>
  <c r="X262" i="80"/>
  <c r="W262" i="80"/>
  <c r="V262" i="80"/>
  <c r="U262" i="80"/>
  <c r="T262" i="80"/>
  <c r="S262" i="80"/>
  <c r="R262" i="80"/>
  <c r="Q262" i="80"/>
  <c r="P262" i="80"/>
  <c r="O262" i="80"/>
  <c r="N262" i="80"/>
  <c r="M262" i="80"/>
  <c r="L262" i="80"/>
  <c r="K262" i="80"/>
  <c r="J262" i="80"/>
  <c r="I262" i="80"/>
  <c r="H262" i="80"/>
  <c r="G262" i="80"/>
  <c r="F262" i="80"/>
  <c r="E262" i="80"/>
  <c r="AI252" i="80"/>
  <c r="D252" i="80"/>
  <c r="AI251" i="80"/>
  <c r="D251" i="80"/>
  <c r="AI249" i="80"/>
  <c r="D249" i="80"/>
  <c r="AI248" i="80"/>
  <c r="D248" i="80"/>
  <c r="AI247" i="80"/>
  <c r="D247" i="80"/>
  <c r="AI246" i="80"/>
  <c r="D246" i="80"/>
  <c r="AI245" i="80"/>
  <c r="D245" i="80"/>
  <c r="AI244" i="80"/>
  <c r="D244" i="80"/>
  <c r="AI243" i="80"/>
  <c r="D243" i="80"/>
  <c r="AG241" i="80"/>
  <c r="AF241" i="80"/>
  <c r="AE241" i="80"/>
  <c r="AD241" i="80"/>
  <c r="AC241" i="80"/>
  <c r="AB241" i="80"/>
  <c r="AA241" i="80"/>
  <c r="Z241" i="80"/>
  <c r="Y241" i="80"/>
  <c r="X241" i="80"/>
  <c r="W241" i="80"/>
  <c r="V241" i="80"/>
  <c r="U241" i="80"/>
  <c r="T241" i="80"/>
  <c r="S241" i="80"/>
  <c r="R241" i="80"/>
  <c r="Q241" i="80"/>
  <c r="P241" i="80"/>
  <c r="O241" i="80"/>
  <c r="N241" i="80"/>
  <c r="M241" i="80"/>
  <c r="L241" i="80"/>
  <c r="K241" i="80"/>
  <c r="J241" i="80"/>
  <c r="I241" i="80"/>
  <c r="H241" i="80"/>
  <c r="G241" i="80"/>
  <c r="F241" i="80"/>
  <c r="AI240" i="80"/>
  <c r="D240" i="80"/>
  <c r="AI239" i="80"/>
  <c r="D239" i="80"/>
  <c r="AI237" i="80"/>
  <c r="D237" i="80"/>
  <c r="AI236" i="80"/>
  <c r="D236" i="80"/>
  <c r="AI235" i="80"/>
  <c r="D235" i="80"/>
  <c r="AI234" i="80"/>
  <c r="D234" i="80"/>
  <c r="AI233" i="80"/>
  <c r="D233" i="80"/>
  <c r="AI232" i="80"/>
  <c r="D232" i="80"/>
  <c r="AI231" i="80"/>
  <c r="D231" i="80"/>
  <c r="AI230" i="80"/>
  <c r="D230" i="80"/>
  <c r="AI228" i="80"/>
  <c r="D228" i="80"/>
  <c r="AI227" i="80"/>
  <c r="D227" i="80"/>
  <c r="AI226" i="80"/>
  <c r="D226" i="80"/>
  <c r="AI225" i="80"/>
  <c r="D225" i="80"/>
  <c r="AI224" i="80"/>
  <c r="D224" i="80"/>
  <c r="AI223" i="80"/>
  <c r="D223" i="80"/>
  <c r="AI222" i="80"/>
  <c r="D222" i="80"/>
  <c r="AI221" i="80"/>
  <c r="AI220" i="80"/>
  <c r="AG218" i="80"/>
  <c r="AF218" i="80"/>
  <c r="AE218" i="80"/>
  <c r="AD218" i="80"/>
  <c r="AC218" i="80"/>
  <c r="AB218" i="80"/>
  <c r="AA218" i="80"/>
  <c r="Z218" i="80"/>
  <c r="Y218" i="80"/>
  <c r="X218" i="80"/>
  <c r="W218" i="80"/>
  <c r="V218" i="80"/>
  <c r="U218" i="80"/>
  <c r="T218" i="80"/>
  <c r="S218" i="80"/>
  <c r="R218" i="80"/>
  <c r="Q218" i="80"/>
  <c r="P218" i="80"/>
  <c r="O218" i="80"/>
  <c r="N218" i="80"/>
  <c r="M218" i="80"/>
  <c r="L218" i="80"/>
  <c r="K218" i="80"/>
  <c r="J218" i="80"/>
  <c r="I218" i="80"/>
  <c r="H218" i="80"/>
  <c r="G218" i="80"/>
  <c r="F218" i="80"/>
  <c r="E218" i="80"/>
  <c r="AI217" i="80"/>
  <c r="D217" i="80"/>
  <c r="AI216" i="80"/>
  <c r="D216" i="80"/>
  <c r="AI215" i="80"/>
  <c r="D215" i="80"/>
  <c r="AI214" i="80"/>
  <c r="AI213" i="80"/>
  <c r="D213" i="80"/>
  <c r="AI212" i="80"/>
  <c r="D212" i="80"/>
  <c r="AI211" i="80"/>
  <c r="D211" i="80"/>
  <c r="AI210" i="80"/>
  <c r="D210" i="80"/>
  <c r="AI209" i="80"/>
  <c r="D209" i="80"/>
  <c r="AI208" i="80"/>
  <c r="D208" i="80"/>
  <c r="AI207" i="80"/>
  <c r="D207" i="80"/>
  <c r="AI206" i="80"/>
  <c r="D206" i="80"/>
  <c r="AI205" i="80"/>
  <c r="AI204" i="80"/>
  <c r="AG203" i="80"/>
  <c r="AF203" i="80"/>
  <c r="AE203" i="80"/>
  <c r="AD203" i="80"/>
  <c r="AC203" i="80"/>
  <c r="AB203" i="80"/>
  <c r="AA203" i="80"/>
  <c r="Z203" i="80"/>
  <c r="Y203" i="80"/>
  <c r="X203" i="80"/>
  <c r="W203" i="80"/>
  <c r="V203" i="80"/>
  <c r="U203" i="80"/>
  <c r="T203" i="80"/>
  <c r="S203" i="80"/>
  <c r="R203" i="80"/>
  <c r="Q203" i="80"/>
  <c r="P203" i="80"/>
  <c r="O203" i="80"/>
  <c r="N203" i="80"/>
  <c r="M203" i="80"/>
  <c r="L203" i="80"/>
  <c r="K203" i="80"/>
  <c r="J203" i="80"/>
  <c r="I203" i="80"/>
  <c r="H203" i="80"/>
  <c r="G203" i="80"/>
  <c r="F203" i="80"/>
  <c r="E203" i="80"/>
  <c r="AI202" i="80"/>
  <c r="D202" i="80"/>
  <c r="AI201" i="80"/>
  <c r="D201" i="80"/>
  <c r="AI200" i="80"/>
  <c r="D200" i="80"/>
  <c r="AI199" i="80"/>
  <c r="D199" i="80"/>
  <c r="AI198" i="80"/>
  <c r="D198" i="80"/>
  <c r="AI197" i="80"/>
  <c r="D197" i="80"/>
  <c r="AI196" i="80"/>
  <c r="D196" i="80"/>
  <c r="AI195" i="80"/>
  <c r="D195" i="80"/>
  <c r="AI194" i="80"/>
  <c r="D194" i="80"/>
  <c r="AI193" i="80"/>
  <c r="D193" i="80"/>
  <c r="AI192" i="80"/>
  <c r="D192" i="80"/>
  <c r="AI191" i="80"/>
  <c r="AG190" i="80"/>
  <c r="AF190" i="80"/>
  <c r="AE190" i="80"/>
  <c r="AD190" i="80"/>
  <c r="AC190" i="80"/>
  <c r="AB190" i="80"/>
  <c r="AA190" i="80"/>
  <c r="Z190" i="80"/>
  <c r="Y190" i="80"/>
  <c r="X190" i="80"/>
  <c r="W190" i="80"/>
  <c r="V190" i="80"/>
  <c r="U190" i="80"/>
  <c r="T190" i="80"/>
  <c r="S190" i="80"/>
  <c r="R190" i="80"/>
  <c r="Q190" i="80"/>
  <c r="P190" i="80"/>
  <c r="O190" i="80"/>
  <c r="N190" i="80"/>
  <c r="M190" i="80"/>
  <c r="L190" i="80"/>
  <c r="K190" i="80"/>
  <c r="J190" i="80"/>
  <c r="I190" i="80"/>
  <c r="H190" i="80"/>
  <c r="G190" i="80"/>
  <c r="F190" i="80"/>
  <c r="E190" i="80"/>
  <c r="AG186" i="80"/>
  <c r="AF186" i="80"/>
  <c r="AE186" i="80"/>
  <c r="AD186" i="80"/>
  <c r="AC186" i="80"/>
  <c r="AB186" i="80"/>
  <c r="AA186" i="80"/>
  <c r="Z186" i="80"/>
  <c r="Y186" i="80"/>
  <c r="X186" i="80"/>
  <c r="W186" i="80"/>
  <c r="V186" i="80"/>
  <c r="U186" i="80"/>
  <c r="T186" i="80"/>
  <c r="S186" i="80"/>
  <c r="R186" i="80"/>
  <c r="Q186" i="80"/>
  <c r="P186" i="80"/>
  <c r="O186" i="80"/>
  <c r="N186" i="80"/>
  <c r="M186" i="80"/>
  <c r="L186" i="80"/>
  <c r="K186" i="80"/>
  <c r="J186" i="80"/>
  <c r="I186" i="80"/>
  <c r="H186" i="80"/>
  <c r="G186" i="80"/>
  <c r="F186" i="80"/>
  <c r="E186" i="80"/>
  <c r="AI185" i="80"/>
  <c r="D185" i="80"/>
  <c r="AI183" i="80"/>
  <c r="D183" i="80"/>
  <c r="AI182" i="80"/>
  <c r="D182" i="80"/>
  <c r="AI181" i="80"/>
  <c r="D181" i="80"/>
  <c r="AI180" i="80"/>
  <c r="AI179" i="80"/>
  <c r="D179" i="80"/>
  <c r="AI178" i="80"/>
  <c r="D178" i="80"/>
  <c r="AI177" i="80"/>
  <c r="D177" i="80"/>
  <c r="AI176" i="80"/>
  <c r="AI175" i="80"/>
  <c r="D175" i="80"/>
  <c r="AI174" i="80"/>
  <c r="AI173" i="80"/>
  <c r="AG172" i="80"/>
  <c r="AF172" i="80"/>
  <c r="AE172" i="80"/>
  <c r="AD172" i="80"/>
  <c r="AC172" i="80"/>
  <c r="AB172" i="80"/>
  <c r="AA172" i="80"/>
  <c r="Z172" i="80"/>
  <c r="Y172" i="80"/>
  <c r="X172" i="80"/>
  <c r="W172" i="80"/>
  <c r="V172" i="80"/>
  <c r="U172" i="80"/>
  <c r="T172" i="80"/>
  <c r="S172" i="80"/>
  <c r="R172" i="80"/>
  <c r="Q172" i="80"/>
  <c r="P172" i="80"/>
  <c r="O172" i="80"/>
  <c r="N172" i="80"/>
  <c r="M172" i="80"/>
  <c r="L172" i="80"/>
  <c r="K172" i="80"/>
  <c r="J172" i="80"/>
  <c r="I172" i="80"/>
  <c r="H172" i="80"/>
  <c r="G172" i="80"/>
  <c r="F172" i="80"/>
  <c r="E172" i="80"/>
  <c r="AI171" i="80"/>
  <c r="D171" i="80"/>
  <c r="AI169" i="80"/>
  <c r="D169" i="80"/>
  <c r="AI168" i="80"/>
  <c r="D168" i="80"/>
  <c r="AI167" i="80"/>
  <c r="D167" i="80"/>
  <c r="AI166" i="80"/>
  <c r="D166" i="80"/>
  <c r="AI165" i="80"/>
  <c r="D165" i="80"/>
  <c r="AI164" i="80"/>
  <c r="D164" i="80"/>
  <c r="AI163" i="80"/>
  <c r="D163" i="80"/>
  <c r="AI162" i="80"/>
  <c r="D162" i="80"/>
  <c r="AI161" i="80"/>
  <c r="AI160" i="80"/>
  <c r="AI158" i="80"/>
  <c r="AG157" i="80"/>
  <c r="AF157" i="80"/>
  <c r="AE157" i="80"/>
  <c r="AD157" i="80"/>
  <c r="AC157" i="80"/>
  <c r="AB157" i="80"/>
  <c r="AA157" i="80"/>
  <c r="Z157" i="80"/>
  <c r="Y157" i="80"/>
  <c r="X157" i="80"/>
  <c r="W157" i="80"/>
  <c r="V157" i="80"/>
  <c r="U157" i="80"/>
  <c r="T157" i="80"/>
  <c r="S157" i="80"/>
  <c r="R157" i="80"/>
  <c r="Q157" i="80"/>
  <c r="P157" i="80"/>
  <c r="O157" i="80"/>
  <c r="N157" i="80"/>
  <c r="M157" i="80"/>
  <c r="L157" i="80"/>
  <c r="K157" i="80"/>
  <c r="J157" i="80"/>
  <c r="I157" i="80"/>
  <c r="H157" i="80"/>
  <c r="G157" i="80"/>
  <c r="F157" i="80"/>
  <c r="E157" i="80"/>
  <c r="AI156" i="80"/>
  <c r="D156" i="80"/>
  <c r="AI155" i="80"/>
  <c r="D155" i="80"/>
  <c r="AI154" i="80"/>
  <c r="D154" i="80"/>
  <c r="AI153" i="80"/>
  <c r="D153" i="80"/>
  <c r="AI152" i="80"/>
  <c r="D152" i="80"/>
  <c r="AI151" i="80"/>
  <c r="D151" i="80"/>
  <c r="AI150" i="80"/>
  <c r="D150" i="80"/>
  <c r="AI149" i="80"/>
  <c r="D149" i="80"/>
  <c r="AI148" i="80"/>
  <c r="D148" i="80"/>
  <c r="AI147" i="80"/>
  <c r="D147" i="80"/>
  <c r="AI146" i="80"/>
  <c r="D146" i="80"/>
  <c r="AI145" i="80"/>
  <c r="D145" i="80"/>
  <c r="AI144" i="80"/>
  <c r="D144" i="80"/>
  <c r="AI143" i="80"/>
  <c r="D143" i="80"/>
  <c r="AI142" i="80"/>
  <c r="D142" i="80"/>
  <c r="AI141" i="80"/>
  <c r="D141" i="80"/>
  <c r="AI140" i="80"/>
  <c r="D140" i="80"/>
  <c r="AI139" i="80"/>
  <c r="D139" i="80"/>
  <c r="AI138" i="80"/>
  <c r="D138" i="80"/>
  <c r="AI137" i="80"/>
  <c r="D137" i="80"/>
  <c r="AI136" i="80"/>
  <c r="D136" i="80"/>
  <c r="AI135" i="80"/>
  <c r="AI134" i="80"/>
  <c r="AI133" i="80"/>
  <c r="AG132" i="80"/>
  <c r="AF132" i="80"/>
  <c r="AE132" i="80"/>
  <c r="AD132" i="80"/>
  <c r="AC132" i="80"/>
  <c r="AB132" i="80"/>
  <c r="AA132" i="80"/>
  <c r="Z132" i="80"/>
  <c r="Y132" i="80"/>
  <c r="X132" i="80"/>
  <c r="W132" i="80"/>
  <c r="V132" i="80"/>
  <c r="U132" i="80"/>
  <c r="T132" i="80"/>
  <c r="S132" i="80"/>
  <c r="R132" i="80"/>
  <c r="Q132" i="80"/>
  <c r="P132" i="80"/>
  <c r="O132" i="80"/>
  <c r="N132" i="80"/>
  <c r="M132" i="80"/>
  <c r="L132" i="80"/>
  <c r="K132" i="80"/>
  <c r="J132" i="80"/>
  <c r="I132" i="80"/>
  <c r="H132" i="80"/>
  <c r="G132" i="80"/>
  <c r="F132" i="80"/>
  <c r="E132" i="80"/>
  <c r="AI131" i="80"/>
  <c r="D131" i="80"/>
  <c r="AI130" i="80"/>
  <c r="D130" i="80"/>
  <c r="AI129" i="80"/>
  <c r="D129" i="80"/>
  <c r="AI128" i="80"/>
  <c r="D128" i="80"/>
  <c r="AI127" i="80"/>
  <c r="D127" i="80"/>
  <c r="AI126" i="80"/>
  <c r="D126" i="80"/>
  <c r="AI125" i="80"/>
  <c r="D125" i="80"/>
  <c r="AI124" i="80"/>
  <c r="D124" i="80"/>
  <c r="AI123" i="80"/>
  <c r="D123" i="80"/>
  <c r="AI122" i="80"/>
  <c r="D122" i="80"/>
  <c r="AI121" i="80"/>
  <c r="D121" i="80"/>
  <c r="AI120" i="80"/>
  <c r="D120" i="80"/>
  <c r="AI119" i="80"/>
  <c r="D119" i="80"/>
  <c r="AI118" i="80"/>
  <c r="D118" i="80"/>
  <c r="AI117" i="80"/>
  <c r="D117" i="80"/>
  <c r="AI116" i="80"/>
  <c r="D116" i="80"/>
  <c r="AI115" i="80"/>
  <c r="D115" i="80"/>
  <c r="AI114" i="80"/>
  <c r="D114" i="80"/>
  <c r="AI113" i="80"/>
  <c r="D113" i="80"/>
  <c r="AI112" i="80"/>
  <c r="D112" i="80"/>
  <c r="AI111" i="80"/>
  <c r="D111" i="80"/>
  <c r="AI110" i="80"/>
  <c r="D110" i="80"/>
  <c r="AI109" i="80"/>
  <c r="D109" i="80"/>
  <c r="AI108" i="80"/>
  <c r="D108" i="80"/>
  <c r="AI107" i="80"/>
  <c r="D107" i="80"/>
  <c r="AI106" i="80"/>
  <c r="D106" i="80"/>
  <c r="AI105" i="80"/>
  <c r="D105" i="80"/>
  <c r="AI104" i="80"/>
  <c r="AI103" i="80"/>
  <c r="D103" i="80"/>
  <c r="AI102" i="80"/>
  <c r="D102" i="80"/>
  <c r="AI101" i="80"/>
  <c r="D101" i="80"/>
  <c r="AI100" i="80"/>
  <c r="D100" i="80"/>
  <c r="AI99" i="80"/>
  <c r="D99" i="80"/>
  <c r="AG94" i="80"/>
  <c r="AF94" i="80"/>
  <c r="AE94" i="80"/>
  <c r="AD94" i="80"/>
  <c r="AC94" i="80"/>
  <c r="AB94" i="80"/>
  <c r="AA94" i="80"/>
  <c r="Z94" i="80"/>
  <c r="Y94" i="80"/>
  <c r="X94" i="80"/>
  <c r="W94" i="80"/>
  <c r="V94" i="80"/>
  <c r="U94" i="80"/>
  <c r="T94" i="80"/>
  <c r="S94" i="80"/>
  <c r="R94" i="80"/>
  <c r="Q94" i="80"/>
  <c r="P94" i="80"/>
  <c r="O94" i="80"/>
  <c r="N94" i="80"/>
  <c r="M94" i="80"/>
  <c r="L94" i="80"/>
  <c r="K94" i="80"/>
  <c r="J94" i="80"/>
  <c r="I94" i="80"/>
  <c r="H94" i="80"/>
  <c r="G94" i="80"/>
  <c r="F94" i="80"/>
  <c r="E94" i="80"/>
  <c r="AI93" i="80"/>
  <c r="D93" i="80"/>
  <c r="AI92" i="80"/>
  <c r="D92" i="80"/>
  <c r="AI91" i="80"/>
  <c r="D91" i="80"/>
  <c r="AI90" i="80"/>
  <c r="D90" i="80"/>
  <c r="AI89" i="80"/>
  <c r="D89" i="80"/>
  <c r="AI88" i="80"/>
  <c r="D88" i="80"/>
  <c r="AI87" i="80"/>
  <c r="D87" i="80"/>
  <c r="AG81" i="80"/>
  <c r="AF81" i="80"/>
  <c r="AE81" i="80"/>
  <c r="AD81" i="80"/>
  <c r="AC81" i="80"/>
  <c r="AB81" i="80"/>
  <c r="AA81" i="80"/>
  <c r="Z81" i="80"/>
  <c r="Y81" i="80"/>
  <c r="X81" i="80"/>
  <c r="W81" i="80"/>
  <c r="V81" i="80"/>
  <c r="U81" i="80"/>
  <c r="T81" i="80"/>
  <c r="S81" i="80"/>
  <c r="R81" i="80"/>
  <c r="Q81" i="80"/>
  <c r="P81" i="80"/>
  <c r="O81" i="80"/>
  <c r="N81" i="80"/>
  <c r="M81" i="80"/>
  <c r="L81" i="80"/>
  <c r="K81" i="80"/>
  <c r="J81" i="80"/>
  <c r="I81" i="80"/>
  <c r="H81" i="80"/>
  <c r="G81" i="80"/>
  <c r="F81" i="80"/>
  <c r="E81" i="80"/>
  <c r="AI80" i="80"/>
  <c r="D80" i="80"/>
  <c r="AI79" i="80"/>
  <c r="D79" i="80"/>
  <c r="AI78" i="80"/>
  <c r="D78" i="80"/>
  <c r="AI77" i="80"/>
  <c r="D77" i="80"/>
  <c r="AI72" i="80"/>
  <c r="D72" i="80"/>
  <c r="AI71" i="80"/>
  <c r="D71" i="80"/>
  <c r="AI70" i="80"/>
  <c r="D70" i="80"/>
  <c r="AI69" i="80"/>
  <c r="D69" i="80"/>
  <c r="AG67" i="80"/>
  <c r="AF67" i="80"/>
  <c r="AE67" i="80"/>
  <c r="AD67" i="80"/>
  <c r="AC67" i="80"/>
  <c r="AB67" i="80"/>
  <c r="AA67" i="80"/>
  <c r="Z67" i="80"/>
  <c r="Y67" i="80"/>
  <c r="X67" i="80"/>
  <c r="W67" i="80"/>
  <c r="V67" i="80"/>
  <c r="U67" i="80"/>
  <c r="T67" i="80"/>
  <c r="S67" i="80"/>
  <c r="R67" i="80"/>
  <c r="Q67" i="80"/>
  <c r="P67" i="80"/>
  <c r="O67" i="80"/>
  <c r="N67" i="80"/>
  <c r="M67" i="80"/>
  <c r="L67" i="80"/>
  <c r="K67" i="80"/>
  <c r="J67" i="80"/>
  <c r="I67" i="80"/>
  <c r="H67" i="80"/>
  <c r="G67" i="80"/>
  <c r="F67" i="80"/>
  <c r="E67" i="80"/>
  <c r="AI66" i="80"/>
  <c r="D66" i="80"/>
  <c r="AI65" i="80"/>
  <c r="D65" i="80"/>
  <c r="AI64" i="80"/>
  <c r="D64" i="80"/>
  <c r="AI63" i="80"/>
  <c r="D63" i="80"/>
  <c r="AI62" i="80"/>
  <c r="D62" i="80"/>
  <c r="AI61" i="80"/>
  <c r="D61" i="80"/>
  <c r="AI60" i="80"/>
  <c r="AI59" i="80"/>
  <c r="D59" i="80"/>
  <c r="AI58" i="80"/>
  <c r="D58" i="80"/>
  <c r="AI57" i="80"/>
  <c r="D57" i="80"/>
  <c r="AI56" i="80"/>
  <c r="D56" i="80"/>
  <c r="AI55" i="80"/>
  <c r="D55" i="80"/>
  <c r="AI54" i="80"/>
  <c r="D54" i="80"/>
  <c r="AI53" i="80"/>
  <c r="D53" i="80"/>
  <c r="AI52" i="80"/>
  <c r="D52" i="80"/>
  <c r="AI51" i="80"/>
  <c r="D51" i="80"/>
  <c r="AI50" i="80"/>
  <c r="D50" i="80"/>
  <c r="AI49" i="80"/>
  <c r="D49" i="80"/>
  <c r="AI47" i="80"/>
  <c r="D47" i="80"/>
  <c r="AI46" i="80"/>
  <c r="D46" i="80"/>
  <c r="AI45" i="80"/>
  <c r="D45" i="80"/>
  <c r="AI44" i="80"/>
  <c r="D44" i="80"/>
  <c r="AI43" i="80"/>
  <c r="D43" i="80"/>
  <c r="AI42" i="80"/>
  <c r="AI41" i="80"/>
  <c r="D41" i="80"/>
  <c r="AI40" i="80"/>
  <c r="D40" i="80"/>
  <c r="AG37" i="80"/>
  <c r="AF37" i="80"/>
  <c r="AE37" i="80"/>
  <c r="AD37" i="80"/>
  <c r="AC37" i="80"/>
  <c r="AB37" i="80"/>
  <c r="AA37" i="80"/>
  <c r="Z37" i="80"/>
  <c r="Y37" i="80"/>
  <c r="X37" i="80"/>
  <c r="W37" i="80"/>
  <c r="V37" i="80"/>
  <c r="U37" i="80"/>
  <c r="T37" i="80"/>
  <c r="S37" i="80"/>
  <c r="R37" i="80"/>
  <c r="Q37" i="80"/>
  <c r="P37" i="80"/>
  <c r="O37" i="80"/>
  <c r="N37" i="80"/>
  <c r="M37" i="80"/>
  <c r="L37" i="80"/>
  <c r="K37" i="80"/>
  <c r="J37" i="80"/>
  <c r="I37" i="80"/>
  <c r="H37" i="80"/>
  <c r="G37" i="80"/>
  <c r="F37" i="80"/>
  <c r="E37" i="80"/>
  <c r="D36" i="80"/>
  <c r="D35" i="80"/>
  <c r="AH34" i="80"/>
  <c r="D34" i="80"/>
  <c r="D33" i="80"/>
  <c r="D32" i="80"/>
  <c r="D31" i="80"/>
  <c r="D29" i="80"/>
  <c r="D28" i="80"/>
  <c r="D27" i="80"/>
  <c r="D26" i="80"/>
  <c r="D25" i="80"/>
  <c r="D24" i="80"/>
  <c r="D23" i="80"/>
  <c r="D22" i="80"/>
  <c r="D21" i="80"/>
  <c r="D20" i="80"/>
  <c r="D19" i="80"/>
  <c r="D17" i="80"/>
  <c r="D16" i="80"/>
  <c r="D15" i="80"/>
  <c r="D14" i="80"/>
  <c r="D13" i="80"/>
  <c r="AG11" i="80"/>
  <c r="AF11" i="80"/>
  <c r="AE11" i="80"/>
  <c r="AD11"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G6" i="80"/>
  <c r="F5" i="80"/>
  <c r="B1" i="80"/>
  <c r="A1" i="78"/>
  <c r="A65" i="96"/>
  <c r="A64" i="96"/>
  <c r="A63" i="96"/>
  <c r="A62" i="96"/>
  <c r="A61" i="96"/>
  <c r="A60" i="96"/>
  <c r="A59" i="96"/>
  <c r="A58" i="96"/>
  <c r="A57" i="96"/>
  <c r="A56" i="96"/>
  <c r="A55" i="96"/>
  <c r="A54" i="96"/>
  <c r="A53" i="96"/>
  <c r="A52" i="96"/>
  <c r="A51" i="96"/>
  <c r="A50" i="96"/>
  <c r="A49" i="96"/>
  <c r="A48" i="96"/>
  <c r="A47" i="96"/>
  <c r="A46" i="96"/>
  <c r="A45" i="96"/>
  <c r="A44" i="96"/>
  <c r="A43" i="96"/>
  <c r="A42" i="96"/>
  <c r="A41" i="96"/>
  <c r="A40" i="96"/>
  <c r="A39" i="96"/>
  <c r="A38" i="96"/>
  <c r="A37" i="96"/>
  <c r="A36" i="96"/>
  <c r="A35" i="96"/>
  <c r="A34" i="96"/>
  <c r="A33" i="96"/>
  <c r="A32" i="96"/>
  <c r="A31" i="96"/>
  <c r="A30" i="96"/>
  <c r="A29" i="96"/>
  <c r="A28" i="96"/>
  <c r="A27" i="96"/>
  <c r="A26" i="96"/>
  <c r="A25" i="96"/>
  <c r="A24" i="96"/>
  <c r="A23" i="96"/>
  <c r="A22" i="96"/>
  <c r="A21" i="96"/>
  <c r="A20" i="96"/>
  <c r="A19" i="96"/>
  <c r="A18" i="96"/>
  <c r="A17" i="96"/>
  <c r="A16" i="96"/>
  <c r="A15" i="96"/>
  <c r="A14" i="96"/>
  <c r="A13" i="96"/>
  <c r="A12" i="96"/>
  <c r="A11" i="96"/>
  <c r="A10" i="96"/>
  <c r="A9" i="96"/>
  <c r="A8" i="96"/>
  <c r="A7" i="96"/>
  <c r="A6" i="96"/>
  <c r="A5" i="96"/>
  <c r="A4" i="96"/>
  <c r="A3" i="96"/>
  <c r="J7" i="76"/>
  <c r="N1" i="76"/>
  <c r="A1" i="76"/>
  <c r="J7" i="75"/>
  <c r="N1" i="75"/>
  <c r="A1" i="75"/>
  <c r="F88" i="92"/>
  <c r="J88" i="92" s="1"/>
  <c r="D88" i="92"/>
  <c r="F87" i="92"/>
  <c r="F84" i="92"/>
  <c r="J84" i="92" s="1"/>
  <c r="D84" i="92"/>
  <c r="F83" i="92"/>
  <c r="D83" i="92"/>
  <c r="F82" i="92"/>
  <c r="J82" i="92" s="1"/>
  <c r="D82" i="92"/>
  <c r="F81" i="92"/>
  <c r="D81" i="92"/>
  <c r="D85" i="92" s="1"/>
  <c r="F76" i="92"/>
  <c r="D76" i="92"/>
  <c r="F75" i="92"/>
  <c r="D75" i="92"/>
  <c r="D77" i="92" s="1"/>
  <c r="F74" i="92"/>
  <c r="J74" i="92" s="1"/>
  <c r="D74" i="92"/>
  <c r="F71" i="92"/>
  <c r="J71" i="92" s="1"/>
  <c r="D71" i="92"/>
  <c r="F70" i="92"/>
  <c r="D70" i="92"/>
  <c r="F67" i="92"/>
  <c r="J67" i="92" s="1"/>
  <c r="D67" i="92"/>
  <c r="F66" i="92"/>
  <c r="J66" i="92" s="1"/>
  <c r="D66" i="92"/>
  <c r="F65" i="92"/>
  <c r="H65" i="92" s="1"/>
  <c r="D65" i="92"/>
  <c r="F64" i="92"/>
  <c r="D64" i="92"/>
  <c r="F62" i="92"/>
  <c r="D62" i="92"/>
  <c r="F57" i="92"/>
  <c r="D57" i="92"/>
  <c r="D58" i="92" s="1"/>
  <c r="F52" i="92"/>
  <c r="J52" i="92" s="1"/>
  <c r="D52" i="92"/>
  <c r="F51" i="92"/>
  <c r="J51" i="92" s="1"/>
  <c r="D51" i="92"/>
  <c r="F50" i="92"/>
  <c r="J50" i="92" s="1"/>
  <c r="D50" i="92"/>
  <c r="F49" i="92"/>
  <c r="J49" i="92" s="1"/>
  <c r="D49" i="92"/>
  <c r="F48" i="92"/>
  <c r="J48" i="92" s="1"/>
  <c r="D48" i="92"/>
  <c r="F47" i="92"/>
  <c r="J47" i="92" s="1"/>
  <c r="D47" i="92"/>
  <c r="F46" i="92"/>
  <c r="J46" i="92" s="1"/>
  <c r="D46" i="92"/>
  <c r="F45" i="92"/>
  <c r="D45" i="92"/>
  <c r="D53" i="92" s="1"/>
  <c r="F40" i="92"/>
  <c r="J40" i="92" s="1"/>
  <c r="D40" i="92"/>
  <c r="F39" i="92"/>
  <c r="J39" i="92" s="1"/>
  <c r="D39" i="92"/>
  <c r="F38" i="92"/>
  <c r="J38" i="92" s="1"/>
  <c r="D38" i="92"/>
  <c r="F37" i="92"/>
  <c r="J37" i="92" s="1"/>
  <c r="D37" i="92"/>
  <c r="F36" i="92"/>
  <c r="D36" i="92"/>
  <c r="F35" i="92"/>
  <c r="D35" i="92"/>
  <c r="F34" i="92"/>
  <c r="J34" i="92" s="1"/>
  <c r="D34" i="92"/>
  <c r="F33" i="92"/>
  <c r="D33" i="92"/>
  <c r="F32" i="92"/>
  <c r="F31" i="92"/>
  <c r="J31" i="92" s="1"/>
  <c r="D31" i="92"/>
  <c r="F30" i="92"/>
  <c r="D30" i="92"/>
  <c r="F29" i="92"/>
  <c r="D29" i="92"/>
  <c r="F28" i="92"/>
  <c r="D28" i="92"/>
  <c r="F27" i="92"/>
  <c r="J27" i="92" s="1"/>
  <c r="D27" i="92"/>
  <c r="F26" i="92"/>
  <c r="D26" i="92"/>
  <c r="F25" i="92"/>
  <c r="J25" i="92" s="1"/>
  <c r="D25" i="92"/>
  <c r="F24" i="92"/>
  <c r="J24" i="92" s="1"/>
  <c r="D24" i="92"/>
  <c r="F23" i="92"/>
  <c r="J23" i="92" s="1"/>
  <c r="D23" i="92"/>
  <c r="F22" i="92"/>
  <c r="J22" i="92" s="1"/>
  <c r="D22" i="92"/>
  <c r="F21" i="92"/>
  <c r="J21" i="92" s="1"/>
  <c r="D21" i="92"/>
  <c r="F20" i="92"/>
  <c r="J20" i="92" s="1"/>
  <c r="D20" i="92"/>
  <c r="F19" i="92"/>
  <c r="J19" i="92" s="1"/>
  <c r="D19" i="92"/>
  <c r="F18" i="92"/>
  <c r="J18" i="92" s="1"/>
  <c r="D18" i="92"/>
  <c r="F17" i="92"/>
  <c r="J17" i="92" s="1"/>
  <c r="D17" i="92"/>
  <c r="F16" i="92"/>
  <c r="J16" i="92" s="1"/>
  <c r="D16" i="92"/>
  <c r="F15" i="92"/>
  <c r="J15" i="92" s="1"/>
  <c r="D15" i="92"/>
  <c r="D41" i="92" s="1"/>
  <c r="D60" i="92" s="1"/>
  <c r="F13" i="92"/>
  <c r="J13" i="92" s="1"/>
  <c r="D13" i="92"/>
  <c r="F10" i="92"/>
  <c r="D10" i="92"/>
  <c r="H7" i="92"/>
  <c r="G5" i="92"/>
  <c r="B2" i="92"/>
  <c r="L1" i="92"/>
  <c r="B1" i="92"/>
  <c r="F88" i="74"/>
  <c r="J88" i="74" s="1"/>
  <c r="D88" i="74"/>
  <c r="F87" i="74"/>
  <c r="F84" i="74"/>
  <c r="J84" i="74" s="1"/>
  <c r="D84" i="74"/>
  <c r="F83" i="74"/>
  <c r="D83" i="74"/>
  <c r="D85" i="74" s="1"/>
  <c r="F82" i="74"/>
  <c r="J82" i="74" s="1"/>
  <c r="D82" i="74"/>
  <c r="F81" i="74"/>
  <c r="D81" i="74"/>
  <c r="D77" i="74"/>
  <c r="F76" i="74"/>
  <c r="D76" i="74"/>
  <c r="F75" i="74"/>
  <c r="D75" i="74"/>
  <c r="F74" i="74"/>
  <c r="J74" i="74" s="1"/>
  <c r="D74" i="74"/>
  <c r="F71" i="74"/>
  <c r="J71" i="74" s="1"/>
  <c r="D71" i="74"/>
  <c r="D72" i="74" s="1"/>
  <c r="F70" i="74"/>
  <c r="D70" i="74"/>
  <c r="F67" i="74"/>
  <c r="J67" i="74" s="1"/>
  <c r="D67" i="74"/>
  <c r="F66" i="74"/>
  <c r="J66" i="74" s="1"/>
  <c r="D66" i="74"/>
  <c r="F65" i="74"/>
  <c r="D65" i="74"/>
  <c r="F64" i="74"/>
  <c r="D64" i="74"/>
  <c r="D68" i="74" s="1"/>
  <c r="D78" i="74" s="1"/>
  <c r="D86" i="74" s="1"/>
  <c r="F62" i="74"/>
  <c r="D62" i="74"/>
  <c r="D58" i="74"/>
  <c r="F57" i="74"/>
  <c r="F58" i="74" s="1"/>
  <c r="D57" i="74"/>
  <c r="D53" i="74"/>
  <c r="F52" i="74"/>
  <c r="J52" i="74" s="1"/>
  <c r="D52" i="74"/>
  <c r="F51" i="74"/>
  <c r="J51" i="74" s="1"/>
  <c r="D51" i="74"/>
  <c r="F50" i="74"/>
  <c r="J50" i="74" s="1"/>
  <c r="D50" i="74"/>
  <c r="F49" i="74"/>
  <c r="J49" i="74" s="1"/>
  <c r="D49" i="74"/>
  <c r="J48" i="74"/>
  <c r="F48" i="74"/>
  <c r="D48" i="74"/>
  <c r="F47" i="74"/>
  <c r="J47" i="74" s="1"/>
  <c r="D47" i="74"/>
  <c r="F46" i="74"/>
  <c r="J46" i="74" s="1"/>
  <c r="D46" i="74"/>
  <c r="F45" i="74"/>
  <c r="D45" i="74"/>
  <c r="F40" i="74"/>
  <c r="J40" i="74" s="1"/>
  <c r="D40" i="74"/>
  <c r="F39" i="74"/>
  <c r="J39" i="74" s="1"/>
  <c r="D39" i="74"/>
  <c r="F38" i="74"/>
  <c r="J38" i="74" s="1"/>
  <c r="D38" i="74"/>
  <c r="F37" i="74"/>
  <c r="J37" i="74" s="1"/>
  <c r="D37" i="74"/>
  <c r="F36" i="74"/>
  <c r="D36" i="74"/>
  <c r="F35" i="74"/>
  <c r="D35" i="74"/>
  <c r="F34" i="74"/>
  <c r="J34" i="74" s="1"/>
  <c r="D34" i="74"/>
  <c r="F33" i="74"/>
  <c r="D33" i="74"/>
  <c r="F32" i="74"/>
  <c r="F31" i="74"/>
  <c r="J31" i="74" s="1"/>
  <c r="D31" i="74"/>
  <c r="F30" i="74"/>
  <c r="D30" i="74"/>
  <c r="F29" i="74"/>
  <c r="D29" i="74"/>
  <c r="F28" i="74"/>
  <c r="D28" i="74"/>
  <c r="F27" i="74"/>
  <c r="J27" i="74" s="1"/>
  <c r="D27" i="74"/>
  <c r="F26" i="74"/>
  <c r="H26" i="74" s="1"/>
  <c r="J26" i="74" s="1"/>
  <c r="D26" i="74"/>
  <c r="F25" i="74"/>
  <c r="J25" i="74" s="1"/>
  <c r="D25" i="74"/>
  <c r="F24" i="74"/>
  <c r="J24" i="74" s="1"/>
  <c r="D24" i="74"/>
  <c r="F23" i="74"/>
  <c r="J23" i="74" s="1"/>
  <c r="D23" i="74"/>
  <c r="F22" i="74"/>
  <c r="H22" i="74" s="1"/>
  <c r="D22" i="74"/>
  <c r="F21" i="74"/>
  <c r="D21" i="74"/>
  <c r="J20" i="74"/>
  <c r="F20" i="74"/>
  <c r="H20" i="74" s="1"/>
  <c r="D20" i="74"/>
  <c r="F19" i="74"/>
  <c r="J19" i="74" s="1"/>
  <c r="D19" i="74"/>
  <c r="F18" i="74"/>
  <c r="H18" i="74" s="1"/>
  <c r="D18" i="74"/>
  <c r="F17" i="74"/>
  <c r="J17" i="74" s="1"/>
  <c r="D17" i="74"/>
  <c r="F16" i="74"/>
  <c r="J16" i="74" s="1"/>
  <c r="D16" i="74"/>
  <c r="F15" i="74"/>
  <c r="J15" i="74" s="1"/>
  <c r="D15" i="74"/>
  <c r="F13" i="74"/>
  <c r="J13" i="74" s="1"/>
  <c r="D13" i="74"/>
  <c r="F10" i="74"/>
  <c r="D10" i="74"/>
  <c r="H7" i="74"/>
  <c r="G5" i="74"/>
  <c r="L1" i="74"/>
  <c r="B1" i="74"/>
  <c r="H190" i="90"/>
  <c r="F190" i="90"/>
  <c r="L54" i="90"/>
  <c r="H10" i="90"/>
  <c r="F10" i="90"/>
  <c r="J6" i="90"/>
  <c r="I5" i="90"/>
  <c r="A2" i="90"/>
  <c r="N1" i="90"/>
  <c r="A1" i="90"/>
  <c r="F252" i="72"/>
  <c r="F249" i="72"/>
  <c r="F248" i="72"/>
  <c r="F246" i="72"/>
  <c r="F245" i="72"/>
  <c r="F244" i="72"/>
  <c r="F243" i="72"/>
  <c r="F240" i="72"/>
  <c r="F239" i="72"/>
  <c r="F237" i="72"/>
  <c r="F236" i="72"/>
  <c r="F235" i="72"/>
  <c r="F234" i="72"/>
  <c r="F233" i="72"/>
  <c r="F232" i="72"/>
  <c r="F231" i="72"/>
  <c r="F230" i="72"/>
  <c r="F228" i="72"/>
  <c r="F227" i="72"/>
  <c r="F226" i="72"/>
  <c r="F225" i="72"/>
  <c r="F224" i="72"/>
  <c r="F223" i="72"/>
  <c r="F222" i="72"/>
  <c r="F217" i="72"/>
  <c r="F216" i="72"/>
  <c r="F215" i="72"/>
  <c r="F213" i="72"/>
  <c r="F212" i="72"/>
  <c r="F211" i="72"/>
  <c r="F210" i="72"/>
  <c r="F209" i="72"/>
  <c r="F208" i="72"/>
  <c r="F207" i="72"/>
  <c r="F206" i="72"/>
  <c r="F202" i="72"/>
  <c r="F201" i="72"/>
  <c r="F200" i="72"/>
  <c r="F199" i="72"/>
  <c r="F198" i="72"/>
  <c r="F197" i="72"/>
  <c r="F196" i="72"/>
  <c r="F195" i="72"/>
  <c r="F194" i="72"/>
  <c r="F193" i="72"/>
  <c r="F192" i="72"/>
  <c r="H191" i="72"/>
  <c r="F191" i="72"/>
  <c r="F185" i="72"/>
  <c r="F183" i="72"/>
  <c r="F182" i="72"/>
  <c r="F181" i="72"/>
  <c r="F179" i="72"/>
  <c r="F178" i="72"/>
  <c r="F177" i="72"/>
  <c r="F175" i="72"/>
  <c r="F171" i="72"/>
  <c r="F169" i="72"/>
  <c r="F168" i="72"/>
  <c r="F167" i="72"/>
  <c r="F166" i="72"/>
  <c r="F165" i="72"/>
  <c r="F164" i="72"/>
  <c r="F163" i="72"/>
  <c r="F162" i="72"/>
  <c r="F143" i="72"/>
  <c r="F142" i="72"/>
  <c r="F141" i="72"/>
  <c r="F140" i="72"/>
  <c r="F138" i="72"/>
  <c r="F137" i="72"/>
  <c r="F136" i="72"/>
  <c r="F118" i="72"/>
  <c r="F117" i="72"/>
  <c r="F116" i="72"/>
  <c r="F115" i="72"/>
  <c r="F114" i="72"/>
  <c r="F113" i="72"/>
  <c r="F103" i="72"/>
  <c r="F102" i="72"/>
  <c r="F101" i="72"/>
  <c r="F100" i="72"/>
  <c r="F99" i="72"/>
  <c r="F93" i="72"/>
  <c r="F92" i="72"/>
  <c r="F91" i="72"/>
  <c r="F90" i="72"/>
  <c r="F89" i="72"/>
  <c r="F88" i="72"/>
  <c r="F87" i="72"/>
  <c r="F59" i="72"/>
  <c r="F58" i="72"/>
  <c r="F57" i="72"/>
  <c r="L54" i="72"/>
  <c r="F54" i="72"/>
  <c r="J54" i="72" s="1"/>
  <c r="F53" i="72"/>
  <c r="F52" i="72"/>
  <c r="F51" i="72"/>
  <c r="F50" i="72"/>
  <c r="F49" i="72"/>
  <c r="F47" i="72"/>
  <c r="F46" i="72"/>
  <c r="F45" i="72"/>
  <c r="F44" i="72"/>
  <c r="F43" i="72"/>
  <c r="F41" i="72"/>
  <c r="F40" i="72"/>
  <c r="F36" i="72"/>
  <c r="F35" i="72"/>
  <c r="F34" i="72"/>
  <c r="F33" i="72"/>
  <c r="F32" i="72"/>
  <c r="F31" i="72"/>
  <c r="F29" i="72"/>
  <c r="F28" i="72"/>
  <c r="F27" i="72"/>
  <c r="F22" i="72"/>
  <c r="F21" i="72"/>
  <c r="F20" i="72"/>
  <c r="F19" i="72"/>
  <c r="F17" i="72"/>
  <c r="F16" i="72"/>
  <c r="F15" i="72"/>
  <c r="F14" i="72"/>
  <c r="F13" i="72"/>
  <c r="H10" i="72"/>
  <c r="F10" i="72"/>
  <c r="J6" i="72"/>
  <c r="I5" i="72"/>
  <c r="A2" i="72"/>
  <c r="N1" i="72"/>
  <c r="A1" i="72"/>
  <c r="G58" i="70"/>
  <c r="G60" i="70" s="1"/>
  <c r="G57" i="70"/>
  <c r="G50" i="70"/>
  <c r="G51" i="70" s="1"/>
  <c r="G42" i="70"/>
  <c r="G34" i="70"/>
  <c r="I8" i="70"/>
  <c r="H6" i="70"/>
  <c r="A2" i="70"/>
  <c r="L1" i="70"/>
  <c r="A1" i="70"/>
  <c r="M87" i="88"/>
  <c r="J87" i="88" s="1"/>
  <c r="L87" i="88"/>
  <c r="M83" i="88"/>
  <c r="L83" i="88"/>
  <c r="J83" i="88"/>
  <c r="M82" i="88"/>
  <c r="L82" i="88"/>
  <c r="M81" i="88"/>
  <c r="L81" i="88"/>
  <c r="J81" i="88"/>
  <c r="M80" i="88"/>
  <c r="L80" i="88"/>
  <c r="J80" i="88"/>
  <c r="M76" i="88"/>
  <c r="L76" i="88"/>
  <c r="M75" i="88"/>
  <c r="L75" i="88"/>
  <c r="J75" i="88" s="1"/>
  <c r="M74" i="88"/>
  <c r="L74" i="88"/>
  <c r="J74" i="88"/>
  <c r="M73" i="88"/>
  <c r="L73" i="88"/>
  <c r="J73" i="88"/>
  <c r="J76" i="88" s="1"/>
  <c r="M71" i="88"/>
  <c r="M70" i="88"/>
  <c r="L70" i="88"/>
  <c r="J70" i="88" s="1"/>
  <c r="M69" i="88"/>
  <c r="L69" i="88"/>
  <c r="J69" i="88"/>
  <c r="J71" i="88" s="1"/>
  <c r="M66" i="88"/>
  <c r="L66" i="88"/>
  <c r="M65" i="88"/>
  <c r="L65" i="88"/>
  <c r="J65" i="88" s="1"/>
  <c r="M64" i="88"/>
  <c r="L64" i="88"/>
  <c r="J64" i="88"/>
  <c r="M63" i="88"/>
  <c r="L63" i="88"/>
  <c r="L67" i="88" s="1"/>
  <c r="M61" i="88"/>
  <c r="L61" i="88"/>
  <c r="J61" i="88"/>
  <c r="L57" i="88"/>
  <c r="L56" i="88"/>
  <c r="J56" i="88"/>
  <c r="M55" i="88"/>
  <c r="M50" i="88"/>
  <c r="J50" i="88" s="1"/>
  <c r="L50" i="88"/>
  <c r="M49" i="88"/>
  <c r="L49" i="88"/>
  <c r="J49" i="88" s="1"/>
  <c r="M48" i="88"/>
  <c r="L48" i="88"/>
  <c r="J48" i="88"/>
  <c r="M47" i="88"/>
  <c r="L47" i="88"/>
  <c r="J47" i="88" s="1"/>
  <c r="M46" i="88"/>
  <c r="L46" i="88"/>
  <c r="J46" i="88" s="1"/>
  <c r="M45" i="88"/>
  <c r="L45" i="88"/>
  <c r="M44" i="88"/>
  <c r="L44" i="88"/>
  <c r="J44" i="88" s="1"/>
  <c r="M43" i="88"/>
  <c r="L43" i="88"/>
  <c r="J43" i="88"/>
  <c r="M38" i="88"/>
  <c r="J38" i="88" s="1"/>
  <c r="L38" i="88"/>
  <c r="M37" i="88"/>
  <c r="L37" i="88"/>
  <c r="J37" i="88" s="1"/>
  <c r="M36" i="88"/>
  <c r="L36" i="88"/>
  <c r="J36" i="88"/>
  <c r="M35" i="88"/>
  <c r="L35" i="88"/>
  <c r="J35" i="88" s="1"/>
  <c r="M34" i="88"/>
  <c r="L34" i="88"/>
  <c r="J34" i="88" s="1"/>
  <c r="M33" i="88"/>
  <c r="L33" i="88"/>
  <c r="M32" i="88"/>
  <c r="L32" i="88"/>
  <c r="J32" i="88" s="1"/>
  <c r="M31" i="88"/>
  <c r="L31" i="88"/>
  <c r="J31" i="88"/>
  <c r="M30" i="88"/>
  <c r="J30" i="88" s="1"/>
  <c r="L30" i="88"/>
  <c r="M29" i="88"/>
  <c r="L29" i="88"/>
  <c r="J29" i="88" s="1"/>
  <c r="M28" i="88"/>
  <c r="L28" i="88"/>
  <c r="J28" i="88"/>
  <c r="M27" i="88"/>
  <c r="L27" i="88"/>
  <c r="J27" i="88" s="1"/>
  <c r="M26" i="88"/>
  <c r="L26" i="88"/>
  <c r="J26" i="88" s="1"/>
  <c r="M25" i="88"/>
  <c r="L25" i="88"/>
  <c r="M24" i="88"/>
  <c r="L24" i="88"/>
  <c r="J24" i="88" s="1"/>
  <c r="M23" i="88"/>
  <c r="L23" i="88"/>
  <c r="J23" i="88"/>
  <c r="M22" i="88"/>
  <c r="J22" i="88" s="1"/>
  <c r="L22" i="88"/>
  <c r="M21" i="88"/>
  <c r="L21" i="88"/>
  <c r="J21" i="88" s="1"/>
  <c r="M20" i="88"/>
  <c r="L20" i="88"/>
  <c r="J20" i="88"/>
  <c r="M19" i="88"/>
  <c r="L19" i="88"/>
  <c r="J19" i="88" s="1"/>
  <c r="M18" i="88"/>
  <c r="L18" i="88"/>
  <c r="J18" i="88" s="1"/>
  <c r="M17" i="88"/>
  <c r="L17" i="88"/>
  <c r="M16" i="88"/>
  <c r="L16" i="88"/>
  <c r="J16" i="88" s="1"/>
  <c r="M15" i="88"/>
  <c r="L15" i="88"/>
  <c r="J15" i="88"/>
  <c r="M14" i="88"/>
  <c r="J14" i="88" s="1"/>
  <c r="L14" i="88"/>
  <c r="M13" i="88"/>
  <c r="L13" i="88"/>
  <c r="J13" i="88" s="1"/>
  <c r="M11" i="88"/>
  <c r="L11" i="88"/>
  <c r="J11" i="88"/>
  <c r="M10" i="88"/>
  <c r="L10" i="88"/>
  <c r="J10" i="88"/>
  <c r="G7" i="88"/>
  <c r="H5" i="88"/>
  <c r="K1" i="88"/>
  <c r="M100" i="121" s="1"/>
  <c r="B1" i="88"/>
  <c r="M86" i="87"/>
  <c r="M85" i="87"/>
  <c r="J85" i="87"/>
  <c r="D87" i="92" s="1"/>
  <c r="J83" i="87"/>
  <c r="M82" i="87"/>
  <c r="M81" i="87"/>
  <c r="M80" i="87"/>
  <c r="M79" i="87"/>
  <c r="J76" i="87"/>
  <c r="J84" i="87" s="1"/>
  <c r="J75" i="87"/>
  <c r="M74" i="87"/>
  <c r="M73" i="87"/>
  <c r="M72" i="87"/>
  <c r="J70" i="87"/>
  <c r="M69" i="87"/>
  <c r="M68" i="87"/>
  <c r="J66" i="87"/>
  <c r="M65" i="87"/>
  <c r="M64" i="87"/>
  <c r="M63" i="87"/>
  <c r="M62" i="87"/>
  <c r="M60" i="87"/>
  <c r="J60" i="87"/>
  <c r="J56" i="87"/>
  <c r="M55" i="87"/>
  <c r="M56" i="87" s="1"/>
  <c r="J51" i="87"/>
  <c r="M50" i="87"/>
  <c r="M49" i="87"/>
  <c r="M48" i="87"/>
  <c r="M47" i="87"/>
  <c r="M46" i="87"/>
  <c r="M45" i="87"/>
  <c r="M44" i="87"/>
  <c r="M43" i="87"/>
  <c r="M38" i="87"/>
  <c r="M37" i="87"/>
  <c r="M36" i="87"/>
  <c r="M35" i="87"/>
  <c r="M34" i="87"/>
  <c r="M33" i="87"/>
  <c r="M32" i="87"/>
  <c r="M31" i="87"/>
  <c r="M30" i="87"/>
  <c r="M29" i="87"/>
  <c r="M28" i="87"/>
  <c r="M27" i="87"/>
  <c r="M26" i="87"/>
  <c r="M25" i="87"/>
  <c r="M24" i="87"/>
  <c r="M23" i="87"/>
  <c r="M22" i="87"/>
  <c r="M21" i="87"/>
  <c r="M20" i="87"/>
  <c r="M19" i="87"/>
  <c r="M18" i="87"/>
  <c r="M17" i="87"/>
  <c r="M16" i="87"/>
  <c r="M15" i="87"/>
  <c r="M14" i="87"/>
  <c r="M13" i="87"/>
  <c r="M11" i="87"/>
  <c r="M10" i="87"/>
  <c r="J10" i="87"/>
  <c r="J39" i="87" s="1"/>
  <c r="J58" i="87" s="1"/>
  <c r="G7" i="87"/>
  <c r="D7" i="87"/>
  <c r="H5" i="87"/>
  <c r="K1" i="87"/>
  <c r="M99" i="121" s="1"/>
  <c r="B1" i="87"/>
  <c r="M86" i="69"/>
  <c r="M85" i="69"/>
  <c r="J85" i="69"/>
  <c r="D87" i="74" s="1"/>
  <c r="J83" i="69"/>
  <c r="M82" i="69"/>
  <c r="M81" i="69"/>
  <c r="M80" i="69"/>
  <c r="M79" i="69"/>
  <c r="J75" i="69"/>
  <c r="M74" i="69"/>
  <c r="M73" i="69"/>
  <c r="M72" i="69"/>
  <c r="J70" i="69"/>
  <c r="M69" i="69"/>
  <c r="M68" i="69"/>
  <c r="J66" i="69"/>
  <c r="J76" i="69" s="1"/>
  <c r="M65" i="69"/>
  <c r="M64" i="69"/>
  <c r="M63" i="69"/>
  <c r="M62" i="69"/>
  <c r="M60" i="69"/>
  <c r="J60" i="69"/>
  <c r="J56" i="69"/>
  <c r="M55" i="69"/>
  <c r="M56" i="69" s="1"/>
  <c r="J51" i="69"/>
  <c r="M50" i="69"/>
  <c r="M49" i="69"/>
  <c r="M48" i="69"/>
  <c r="M47" i="69"/>
  <c r="M46" i="69"/>
  <c r="M45" i="69"/>
  <c r="M44" i="69"/>
  <c r="M43" i="69"/>
  <c r="M38" i="69"/>
  <c r="M37" i="69"/>
  <c r="M36" i="69"/>
  <c r="M35" i="69"/>
  <c r="M34" i="69"/>
  <c r="M33" i="69"/>
  <c r="M32" i="69"/>
  <c r="M31" i="69"/>
  <c r="M30" i="69"/>
  <c r="M29" i="69"/>
  <c r="M28" i="69"/>
  <c r="M27" i="69"/>
  <c r="M26" i="69"/>
  <c r="M25" i="69"/>
  <c r="M24" i="69"/>
  <c r="M23" i="69"/>
  <c r="M22" i="69"/>
  <c r="M21" i="69"/>
  <c r="M20" i="69"/>
  <c r="M19" i="69"/>
  <c r="M18" i="69"/>
  <c r="M17" i="69"/>
  <c r="M16" i="69"/>
  <c r="M15" i="69"/>
  <c r="M14" i="69"/>
  <c r="M13" i="69"/>
  <c r="M11" i="69"/>
  <c r="M10" i="69"/>
  <c r="J10" i="69"/>
  <c r="J39" i="69" s="1"/>
  <c r="J58" i="69" s="1"/>
  <c r="G7" i="69"/>
  <c r="D7" i="69"/>
  <c r="H5" i="69"/>
  <c r="K1" i="69"/>
  <c r="M98" i="121" s="1"/>
  <c r="B1" i="69"/>
  <c r="F252" i="68"/>
  <c r="F251" i="90" s="1"/>
  <c r="F249" i="68"/>
  <c r="F248" i="90" s="1"/>
  <c r="F248" i="68"/>
  <c r="F247" i="90" s="1"/>
  <c r="F246" i="68"/>
  <c r="F245" i="90" s="1"/>
  <c r="F245" i="68"/>
  <c r="F244" i="90" s="1"/>
  <c r="F244" i="68"/>
  <c r="F243" i="90" s="1"/>
  <c r="F243" i="68"/>
  <c r="F242" i="90" s="1"/>
  <c r="S241" i="68"/>
  <c r="R241" i="68"/>
  <c r="Q241" i="68"/>
  <c r="P241" i="68"/>
  <c r="O241" i="68"/>
  <c r="N241" i="68"/>
  <c r="M241" i="68"/>
  <c r="L241" i="68"/>
  <c r="K241" i="68"/>
  <c r="J241" i="68"/>
  <c r="I241" i="68"/>
  <c r="H241" i="68"/>
  <c r="F240" i="68"/>
  <c r="G240" i="68" s="1"/>
  <c r="F239" i="68"/>
  <c r="F238" i="90" s="1"/>
  <c r="F237" i="68"/>
  <c r="F236" i="90" s="1"/>
  <c r="F236" i="68"/>
  <c r="F235" i="90" s="1"/>
  <c r="F235" i="68"/>
  <c r="F234" i="90" s="1"/>
  <c r="F234" i="68"/>
  <c r="F233" i="90" s="1"/>
  <c r="F233" i="68"/>
  <c r="F232" i="90" s="1"/>
  <c r="F232" i="68"/>
  <c r="F231" i="90" s="1"/>
  <c r="F231" i="68"/>
  <c r="G231" i="68" s="1"/>
  <c r="F230" i="68"/>
  <c r="G230" i="68" s="1"/>
  <c r="F228" i="68"/>
  <c r="F227" i="90" s="1"/>
  <c r="F227" i="68"/>
  <c r="F226" i="90" s="1"/>
  <c r="F226" i="68"/>
  <c r="F225" i="90" s="1"/>
  <c r="F225" i="68"/>
  <c r="F224" i="90" s="1"/>
  <c r="F224" i="68"/>
  <c r="F223" i="90" s="1"/>
  <c r="F223" i="68"/>
  <c r="F222" i="90" s="1"/>
  <c r="F222" i="68"/>
  <c r="F221" i="90" s="1"/>
  <c r="S218" i="68"/>
  <c r="R218" i="68"/>
  <c r="Q218" i="68"/>
  <c r="P218" i="68"/>
  <c r="O218" i="68"/>
  <c r="N218" i="68"/>
  <c r="M218" i="68"/>
  <c r="L218" i="68"/>
  <c r="K218" i="68"/>
  <c r="J218" i="68"/>
  <c r="I218" i="68"/>
  <c r="H218" i="68"/>
  <c r="F217" i="68"/>
  <c r="F216" i="90" s="1"/>
  <c r="F216" i="68"/>
  <c r="F215" i="90" s="1"/>
  <c r="F215" i="68"/>
  <c r="F214" i="90" s="1"/>
  <c r="F213" i="68"/>
  <c r="F212" i="90" s="1"/>
  <c r="F212" i="68"/>
  <c r="F211" i="90" s="1"/>
  <c r="F211" i="68"/>
  <c r="F210" i="68"/>
  <c r="F209" i="90" s="1"/>
  <c r="F209" i="68"/>
  <c r="F208" i="90" s="1"/>
  <c r="F208" i="68"/>
  <c r="F207" i="90" s="1"/>
  <c r="F207" i="68"/>
  <c r="F206" i="90" s="1"/>
  <c r="F206" i="68"/>
  <c r="S203" i="68"/>
  <c r="R203" i="68"/>
  <c r="R219" i="68" s="1"/>
  <c r="Q203" i="68"/>
  <c r="P203" i="68"/>
  <c r="O203" i="68"/>
  <c r="N203" i="68"/>
  <c r="M203" i="68"/>
  <c r="L203" i="68"/>
  <c r="K203" i="68"/>
  <c r="J203" i="68"/>
  <c r="J219" i="68" s="1"/>
  <c r="I203" i="68"/>
  <c r="H203" i="68"/>
  <c r="F202" i="68"/>
  <c r="F201" i="90" s="1"/>
  <c r="F201" i="68"/>
  <c r="F200" i="90" s="1"/>
  <c r="F200" i="68"/>
  <c r="F199" i="90" s="1"/>
  <c r="F199" i="68"/>
  <c r="F198" i="90" s="1"/>
  <c r="F198" i="68"/>
  <c r="F197" i="90" s="1"/>
  <c r="F197" i="68"/>
  <c r="F196" i="90" s="1"/>
  <c r="F196" i="68"/>
  <c r="F195" i="90" s="1"/>
  <c r="F195" i="68"/>
  <c r="F194" i="90" s="1"/>
  <c r="F194" i="68"/>
  <c r="F193" i="90" s="1"/>
  <c r="F193" i="68"/>
  <c r="F192" i="90" s="1"/>
  <c r="F192" i="68"/>
  <c r="F191" i="90" s="1"/>
  <c r="S186" i="68"/>
  <c r="R186" i="68"/>
  <c r="Q186" i="68"/>
  <c r="P186" i="68"/>
  <c r="O186" i="68"/>
  <c r="N186" i="68"/>
  <c r="M186" i="68"/>
  <c r="L186" i="68"/>
  <c r="K186" i="68"/>
  <c r="J186" i="68"/>
  <c r="I186" i="68"/>
  <c r="H186" i="68"/>
  <c r="F185" i="68"/>
  <c r="F184" i="90" s="1"/>
  <c r="F184" i="68"/>
  <c r="F183" i="68"/>
  <c r="F182" i="90" s="1"/>
  <c r="F182" i="68"/>
  <c r="G182" i="68" s="1"/>
  <c r="F180" i="68"/>
  <c r="F179" i="90" s="1"/>
  <c r="F179" i="68"/>
  <c r="F178" i="68"/>
  <c r="F177" i="90" s="1"/>
  <c r="F176" i="68"/>
  <c r="S173" i="68"/>
  <c r="R173" i="68"/>
  <c r="Q173" i="68"/>
  <c r="P173" i="68"/>
  <c r="O173" i="68"/>
  <c r="N173" i="68"/>
  <c r="M173" i="68"/>
  <c r="L173" i="68"/>
  <c r="K173" i="68"/>
  <c r="J173" i="68"/>
  <c r="I173" i="68"/>
  <c r="H173" i="68"/>
  <c r="F172" i="68"/>
  <c r="F171" i="90" s="1"/>
  <c r="F170" i="68"/>
  <c r="F169" i="90" s="1"/>
  <c r="F169" i="68"/>
  <c r="F168" i="90" s="1"/>
  <c r="F168" i="68"/>
  <c r="F167" i="90" s="1"/>
  <c r="F167" i="68"/>
  <c r="F166" i="90" s="1"/>
  <c r="F166" i="68"/>
  <c r="F165" i="90" s="1"/>
  <c r="F165" i="68"/>
  <c r="F164" i="90" s="1"/>
  <c r="F164" i="68"/>
  <c r="F163" i="90" s="1"/>
  <c r="F163" i="68"/>
  <c r="F162" i="90" s="1"/>
  <c r="S158" i="68"/>
  <c r="R158" i="68"/>
  <c r="Q158" i="68"/>
  <c r="P158" i="68"/>
  <c r="O158" i="68"/>
  <c r="N158" i="68"/>
  <c r="M158" i="68"/>
  <c r="L158" i="68"/>
  <c r="K158" i="68"/>
  <c r="J158" i="68"/>
  <c r="I158" i="68"/>
  <c r="H158" i="68"/>
  <c r="F144" i="68"/>
  <c r="F143" i="90" s="1"/>
  <c r="F143" i="68"/>
  <c r="F142" i="90" s="1"/>
  <c r="F142" i="68"/>
  <c r="F141" i="90" s="1"/>
  <c r="F141" i="68"/>
  <c r="F140" i="90" s="1"/>
  <c r="F139" i="68"/>
  <c r="F138" i="90" s="1"/>
  <c r="F138" i="68"/>
  <c r="F137" i="90" s="1"/>
  <c r="F137" i="68"/>
  <c r="F136" i="90" s="1"/>
  <c r="S133" i="68"/>
  <c r="R133" i="68"/>
  <c r="Q133" i="68"/>
  <c r="Q160" i="68" s="1"/>
  <c r="P133" i="68"/>
  <c r="O133" i="68"/>
  <c r="N133" i="68"/>
  <c r="M133" i="68"/>
  <c r="L133" i="68"/>
  <c r="K133" i="68"/>
  <c r="J133" i="68"/>
  <c r="I133" i="68"/>
  <c r="I160" i="68" s="1"/>
  <c r="H133" i="68"/>
  <c r="F132" i="68"/>
  <c r="F131" i="90" s="1"/>
  <c r="F131" i="68"/>
  <c r="T131" i="68" s="1"/>
  <c r="F130" i="68"/>
  <c r="F129" i="68"/>
  <c r="F128" i="90" s="1"/>
  <c r="F128" i="68"/>
  <c r="F127" i="90" s="1"/>
  <c r="F127" i="68"/>
  <c r="F126" i="68"/>
  <c r="F125" i="90" s="1"/>
  <c r="F125" i="68"/>
  <c r="T125" i="68" s="1"/>
  <c r="F124" i="68"/>
  <c r="F123" i="90" s="1"/>
  <c r="F123" i="68"/>
  <c r="F122" i="90" s="1"/>
  <c r="F122" i="68"/>
  <c r="T122" i="68" s="1"/>
  <c r="F121" i="68"/>
  <c r="F120" i="90" s="1"/>
  <c r="F120" i="68"/>
  <c r="F119" i="90" s="1"/>
  <c r="F119" i="68"/>
  <c r="F118" i="90" s="1"/>
  <c r="F118" i="68"/>
  <c r="F117" i="90" s="1"/>
  <c r="F117" i="68"/>
  <c r="F116" i="90" s="1"/>
  <c r="F116" i="68"/>
  <c r="F115" i="90" s="1"/>
  <c r="F115" i="68"/>
  <c r="F114" i="90" s="1"/>
  <c r="F114" i="68"/>
  <c r="F113" i="90" s="1"/>
  <c r="F104" i="68"/>
  <c r="F103" i="90" s="1"/>
  <c r="F103" i="68"/>
  <c r="F102" i="90" s="1"/>
  <c r="F102" i="68"/>
  <c r="F101" i="90" s="1"/>
  <c r="F101" i="68"/>
  <c r="F100" i="90" s="1"/>
  <c r="F100" i="68"/>
  <c r="F99" i="90" s="1"/>
  <c r="S95" i="68"/>
  <c r="R95" i="68"/>
  <c r="Q95" i="68"/>
  <c r="P95" i="68"/>
  <c r="O95" i="68"/>
  <c r="N95" i="68"/>
  <c r="M95" i="68"/>
  <c r="L95" i="68"/>
  <c r="K95" i="68"/>
  <c r="J95" i="68"/>
  <c r="I95" i="68"/>
  <c r="H95" i="68"/>
  <c r="F94" i="68"/>
  <c r="F93" i="90" s="1"/>
  <c r="F93" i="68"/>
  <c r="F92" i="90" s="1"/>
  <c r="F92" i="68"/>
  <c r="F91" i="90" s="1"/>
  <c r="F91" i="68"/>
  <c r="F90" i="90" s="1"/>
  <c r="F90" i="68"/>
  <c r="F89" i="90" s="1"/>
  <c r="F89" i="68"/>
  <c r="F88" i="90" s="1"/>
  <c r="F88" i="68"/>
  <c r="F87" i="90" s="1"/>
  <c r="S82" i="68"/>
  <c r="R82" i="68"/>
  <c r="Q82" i="68"/>
  <c r="P82" i="68"/>
  <c r="O82" i="68"/>
  <c r="N82" i="68"/>
  <c r="M82" i="68"/>
  <c r="L82" i="68"/>
  <c r="K82" i="68"/>
  <c r="J82" i="68"/>
  <c r="I82" i="68"/>
  <c r="H82" i="68"/>
  <c r="S68" i="68"/>
  <c r="R68" i="68"/>
  <c r="Q68" i="68"/>
  <c r="P68" i="68"/>
  <c r="O68" i="68"/>
  <c r="N68" i="68"/>
  <c r="M68" i="68"/>
  <c r="L68" i="68"/>
  <c r="K68" i="68"/>
  <c r="J68" i="68"/>
  <c r="I68" i="68"/>
  <c r="H68" i="68"/>
  <c r="F60" i="68"/>
  <c r="F59" i="90" s="1"/>
  <c r="F59" i="68"/>
  <c r="F58" i="90" s="1"/>
  <c r="F58" i="68"/>
  <c r="F57" i="90" s="1"/>
  <c r="F55" i="68"/>
  <c r="F54" i="90" s="1"/>
  <c r="J54" i="90" s="1"/>
  <c r="F54" i="68"/>
  <c r="F53" i="90" s="1"/>
  <c r="F53" i="68"/>
  <c r="F52" i="90" s="1"/>
  <c r="F52" i="68"/>
  <c r="F51" i="90" s="1"/>
  <c r="F51" i="68"/>
  <c r="F50" i="90" s="1"/>
  <c r="F50" i="68"/>
  <c r="F49" i="90" s="1"/>
  <c r="F48" i="68"/>
  <c r="F47" i="90" s="1"/>
  <c r="F47" i="68"/>
  <c r="F46" i="90" s="1"/>
  <c r="F46" i="68"/>
  <c r="F45" i="90" s="1"/>
  <c r="F45" i="68"/>
  <c r="F44" i="90" s="1"/>
  <c r="F44" i="68"/>
  <c r="F43" i="90" s="1"/>
  <c r="F42" i="68"/>
  <c r="F41" i="90" s="1"/>
  <c r="F41" i="68"/>
  <c r="F40" i="90" s="1"/>
  <c r="S38" i="68"/>
  <c r="R38" i="68"/>
  <c r="Q38" i="68"/>
  <c r="P38" i="68"/>
  <c r="O38" i="68"/>
  <c r="N38" i="68"/>
  <c r="M38" i="68"/>
  <c r="L38" i="68"/>
  <c r="K38" i="68"/>
  <c r="J38" i="68"/>
  <c r="I38" i="68"/>
  <c r="H38" i="68"/>
  <c r="F37" i="68"/>
  <c r="F36" i="90" s="1"/>
  <c r="F36" i="68"/>
  <c r="F35" i="90" s="1"/>
  <c r="F35" i="68"/>
  <c r="F34" i="90" s="1"/>
  <c r="F34" i="68"/>
  <c r="F33" i="90" s="1"/>
  <c r="F33" i="68"/>
  <c r="F32" i="90" s="1"/>
  <c r="F32" i="68"/>
  <c r="F31" i="90" s="1"/>
  <c r="F30" i="68"/>
  <c r="F29" i="90" s="1"/>
  <c r="F29" i="68"/>
  <c r="F28" i="90" s="1"/>
  <c r="F28" i="68"/>
  <c r="F27" i="90" s="1"/>
  <c r="F24" i="68"/>
  <c r="F23" i="90" s="1"/>
  <c r="F23" i="68"/>
  <c r="F22" i="90" s="1"/>
  <c r="F22" i="68"/>
  <c r="F21" i="90" s="1"/>
  <c r="F21" i="68"/>
  <c r="F20" i="90" s="1"/>
  <c r="F20" i="68"/>
  <c r="F19" i="90" s="1"/>
  <c r="F18" i="68"/>
  <c r="F17" i="90" s="1"/>
  <c r="F17" i="68"/>
  <c r="F16" i="90" s="1"/>
  <c r="F16" i="68"/>
  <c r="F15" i="90" s="1"/>
  <c r="F15" i="68"/>
  <c r="F14" i="90" s="1"/>
  <c r="F14" i="68"/>
  <c r="F13" i="90" s="1"/>
  <c r="F6" i="68"/>
  <c r="F5" i="68"/>
  <c r="H1" i="68"/>
  <c r="A1" i="68"/>
  <c r="G251" i="66"/>
  <c r="G250" i="66"/>
  <c r="F243" i="66"/>
  <c r="G242" i="66"/>
  <c r="G241" i="66"/>
  <c r="G238" i="66"/>
  <c r="G234" i="66"/>
  <c r="G233" i="66"/>
  <c r="G232" i="66"/>
  <c r="F220" i="66"/>
  <c r="F205" i="66"/>
  <c r="I192" i="66"/>
  <c r="F192" i="66"/>
  <c r="G183" i="66"/>
  <c r="G182" i="66"/>
  <c r="G181" i="66"/>
  <c r="G179" i="66"/>
  <c r="G178" i="66"/>
  <c r="G177" i="66"/>
  <c r="F172" i="66"/>
  <c r="F131" i="66"/>
  <c r="F131" i="72" s="1"/>
  <c r="F130" i="66"/>
  <c r="G130" i="66" s="1"/>
  <c r="F129" i="66"/>
  <c r="F129" i="72" s="1"/>
  <c r="F128" i="66"/>
  <c r="F127" i="66"/>
  <c r="F127" i="72" s="1"/>
  <c r="F126" i="66"/>
  <c r="G126" i="66" s="1"/>
  <c r="F125" i="66"/>
  <c r="F124" i="66"/>
  <c r="F124" i="72" s="1"/>
  <c r="F123" i="66"/>
  <c r="F123" i="72" s="1"/>
  <c r="F122" i="66"/>
  <c r="G122" i="66" s="1"/>
  <c r="F121" i="66"/>
  <c r="F120" i="66"/>
  <c r="F120" i="72" s="1"/>
  <c r="F119" i="66"/>
  <c r="F119" i="72" s="1"/>
  <c r="F94" i="66"/>
  <c r="I11" i="66"/>
  <c r="F11" i="66"/>
  <c r="F6" i="66"/>
  <c r="F5" i="66"/>
  <c r="A2" i="66"/>
  <c r="H1" i="66"/>
  <c r="A1" i="66"/>
  <c r="G11" i="99"/>
  <c r="G10" i="99"/>
  <c r="J1" i="99"/>
  <c r="A1" i="99"/>
  <c r="K29" i="100"/>
  <c r="M11" i="100"/>
  <c r="M10" i="100"/>
  <c r="S1" i="100"/>
  <c r="B1" i="100"/>
  <c r="M10" i="58"/>
  <c r="M9" i="58"/>
  <c r="B2" i="58"/>
  <c r="S1" i="58"/>
  <c r="B1" i="58"/>
  <c r="S83" i="101"/>
  <c r="P83" i="101"/>
  <c r="S80" i="101"/>
  <c r="P80" i="101"/>
  <c r="AI77" i="101"/>
  <c r="AH77" i="101"/>
  <c r="AG77" i="101"/>
  <c r="AF77" i="101"/>
  <c r="AI74" i="101"/>
  <c r="AH74" i="101"/>
  <c r="AG74" i="101"/>
  <c r="AF74" i="101"/>
  <c r="K74" i="101"/>
  <c r="Y74" i="101" s="1"/>
  <c r="AI73" i="101"/>
  <c r="AH73" i="101"/>
  <c r="AG73" i="101"/>
  <c r="AF73" i="101"/>
  <c r="X73" i="101"/>
  <c r="W73" i="101" s="1"/>
  <c r="K73" i="101"/>
  <c r="Y73" i="101" s="1"/>
  <c r="AI72" i="101"/>
  <c r="AH72" i="101"/>
  <c r="AG72" i="101"/>
  <c r="AF72" i="101"/>
  <c r="K72" i="101"/>
  <c r="Y72" i="101" s="1"/>
  <c r="AI71" i="101"/>
  <c r="AH71" i="101"/>
  <c r="AG71" i="101"/>
  <c r="AF71" i="101"/>
  <c r="K71" i="101"/>
  <c r="X71" i="101" s="1"/>
  <c r="W71" i="101" s="1"/>
  <c r="AI70" i="101"/>
  <c r="AH70" i="101"/>
  <c r="AG70" i="101"/>
  <c r="AF70" i="101"/>
  <c r="K70" i="101"/>
  <c r="X70" i="101" s="1"/>
  <c r="W70" i="101" s="1"/>
  <c r="AI69" i="101"/>
  <c r="AH69" i="101"/>
  <c r="AG69" i="101"/>
  <c r="AF69" i="101"/>
  <c r="K69" i="101"/>
  <c r="Y69" i="101" s="1"/>
  <c r="AI68" i="101"/>
  <c r="AH68" i="101"/>
  <c r="AG68" i="101"/>
  <c r="AF68" i="101"/>
  <c r="K68" i="101"/>
  <c r="X68" i="101" s="1"/>
  <c r="W68" i="101" s="1"/>
  <c r="AI67" i="101"/>
  <c r="AH67" i="101"/>
  <c r="AG67" i="101"/>
  <c r="AF67" i="101"/>
  <c r="Y67" i="101"/>
  <c r="K67" i="101"/>
  <c r="X67" i="101" s="1"/>
  <c r="W67" i="101" s="1"/>
  <c r="AI66" i="101"/>
  <c r="AH66" i="101"/>
  <c r="AG66" i="101"/>
  <c r="AF66" i="101"/>
  <c r="K66" i="101"/>
  <c r="X66" i="101" s="1"/>
  <c r="W66" i="101" s="1"/>
  <c r="AI63" i="101"/>
  <c r="AH63" i="101"/>
  <c r="AG63" i="101"/>
  <c r="K63" i="101"/>
  <c r="X63" i="101" s="1"/>
  <c r="AI60" i="101"/>
  <c r="AH60" i="101"/>
  <c r="AG60" i="101"/>
  <c r="AF60" i="101"/>
  <c r="AI56" i="101"/>
  <c r="AH56" i="101"/>
  <c r="AG56" i="101"/>
  <c r="AF56" i="101"/>
  <c r="AI55" i="101"/>
  <c r="AH55" i="101"/>
  <c r="AG55" i="101"/>
  <c r="AF55" i="101"/>
  <c r="AI54" i="101"/>
  <c r="AH54" i="101"/>
  <c r="AG54" i="101"/>
  <c r="AF54" i="101"/>
  <c r="K54" i="101"/>
  <c r="AI53" i="101"/>
  <c r="AH53" i="101"/>
  <c r="AG53" i="101"/>
  <c r="AF53" i="101"/>
  <c r="K53" i="101"/>
  <c r="AI52" i="101"/>
  <c r="AH52" i="101"/>
  <c r="U52" i="101" s="1"/>
  <c r="AG52" i="101"/>
  <c r="AF52" i="101"/>
  <c r="K52" i="101"/>
  <c r="AI51" i="101"/>
  <c r="AH51" i="101"/>
  <c r="AG51" i="101"/>
  <c r="AF51" i="101"/>
  <c r="K51" i="101"/>
  <c r="AI50" i="101"/>
  <c r="AH50" i="101"/>
  <c r="AG50" i="101"/>
  <c r="AF50" i="101"/>
  <c r="K50" i="101"/>
  <c r="AI47" i="101"/>
  <c r="AH47" i="101"/>
  <c r="AG47" i="101"/>
  <c r="AF47" i="101"/>
  <c r="Y47" i="101"/>
  <c r="X47" i="101"/>
  <c r="W47" i="101" s="1"/>
  <c r="AI46" i="101"/>
  <c r="AH46" i="101"/>
  <c r="AG46" i="101"/>
  <c r="AF46" i="101"/>
  <c r="Y46" i="101"/>
  <c r="X46" i="101"/>
  <c r="W46" i="101" s="1"/>
  <c r="AI45" i="101"/>
  <c r="AH45" i="101"/>
  <c r="AG45" i="101"/>
  <c r="AF45" i="101"/>
  <c r="Y45" i="101"/>
  <c r="X45" i="101"/>
  <c r="W45" i="101" s="1"/>
  <c r="K44" i="101"/>
  <c r="AI43" i="101"/>
  <c r="AH43" i="101"/>
  <c r="AG43" i="101"/>
  <c r="AF43" i="101"/>
  <c r="K43" i="101"/>
  <c r="Y43" i="101" s="1"/>
  <c r="AI42" i="101"/>
  <c r="AH42" i="101"/>
  <c r="AG42" i="101"/>
  <c r="AF42" i="101"/>
  <c r="AI41" i="101"/>
  <c r="AH41" i="101"/>
  <c r="AG41" i="101"/>
  <c r="AF41" i="101"/>
  <c r="U41" i="101" s="1"/>
  <c r="AI40" i="101"/>
  <c r="U40" i="101" s="1"/>
  <c r="AH40" i="101"/>
  <c r="AG40" i="101"/>
  <c r="AF40" i="101"/>
  <c r="AI39" i="101"/>
  <c r="AH39" i="101"/>
  <c r="AG39" i="101"/>
  <c r="AF39" i="101"/>
  <c r="AI38" i="101"/>
  <c r="AH38" i="101"/>
  <c r="AG38" i="101"/>
  <c r="AF38" i="101"/>
  <c r="AI37" i="101"/>
  <c r="AH37" i="101"/>
  <c r="AG37" i="101"/>
  <c r="AF37" i="101"/>
  <c r="K37" i="101"/>
  <c r="Y37" i="101" s="1"/>
  <c r="AI36" i="101"/>
  <c r="AH36" i="101"/>
  <c r="AG36" i="101"/>
  <c r="AF36" i="101"/>
  <c r="K36" i="101"/>
  <c r="X36" i="101" s="1"/>
  <c r="W36" i="101" s="1"/>
  <c r="AI35" i="101"/>
  <c r="AH35" i="101"/>
  <c r="AG35" i="101"/>
  <c r="AF35" i="101"/>
  <c r="K35" i="101"/>
  <c r="Y35" i="101" s="1"/>
  <c r="AI34" i="101"/>
  <c r="AH34" i="101"/>
  <c r="AG34" i="101"/>
  <c r="AF34" i="101"/>
  <c r="K34" i="101"/>
  <c r="Y34" i="101" s="1"/>
  <c r="AI33" i="101"/>
  <c r="AH33" i="101"/>
  <c r="AG33" i="101"/>
  <c r="AF33" i="101"/>
  <c r="K33" i="101"/>
  <c r="Y33" i="101" s="1"/>
  <c r="AI32" i="101"/>
  <c r="AH32" i="101"/>
  <c r="AG32" i="101"/>
  <c r="AF32" i="101"/>
  <c r="K32" i="101"/>
  <c r="X32" i="101" s="1"/>
  <c r="W32" i="101" s="1"/>
  <c r="AI31" i="101"/>
  <c r="AH31" i="101"/>
  <c r="AG31" i="101"/>
  <c r="AF31" i="101"/>
  <c r="K31" i="101"/>
  <c r="Y31" i="101" s="1"/>
  <c r="AI30" i="101"/>
  <c r="AH30" i="101"/>
  <c r="AG30" i="101"/>
  <c r="AF30" i="101"/>
  <c r="K30" i="101"/>
  <c r="Y30" i="101" s="1"/>
  <c r="AI29" i="101"/>
  <c r="AH29" i="101"/>
  <c r="AG29" i="101"/>
  <c r="AF29" i="101"/>
  <c r="AI28" i="101"/>
  <c r="AH28" i="101"/>
  <c r="AG28" i="101"/>
  <c r="AF28" i="101"/>
  <c r="AI27" i="101"/>
  <c r="AH27" i="101"/>
  <c r="AG27" i="101"/>
  <c r="AF27" i="101"/>
  <c r="AI26" i="101"/>
  <c r="AH26" i="101"/>
  <c r="AG26" i="101"/>
  <c r="AF26" i="101"/>
  <c r="AI25" i="101"/>
  <c r="AH25" i="101"/>
  <c r="AG25" i="101"/>
  <c r="AF25" i="101"/>
  <c r="AI24" i="101"/>
  <c r="AH24" i="101"/>
  <c r="AG24" i="101"/>
  <c r="AF24" i="101"/>
  <c r="AI23" i="101"/>
  <c r="AH23" i="101"/>
  <c r="AG23" i="101"/>
  <c r="AF23" i="101"/>
  <c r="AI22" i="101"/>
  <c r="AH22" i="101"/>
  <c r="AG22" i="101"/>
  <c r="AF22" i="101"/>
  <c r="K22" i="101"/>
  <c r="Y22" i="101" s="1"/>
  <c r="AI21" i="101"/>
  <c r="AH21" i="101"/>
  <c r="AG21" i="101"/>
  <c r="AF21" i="101"/>
  <c r="AI20" i="101"/>
  <c r="AH20" i="101"/>
  <c r="AG20" i="101"/>
  <c r="AF20" i="101"/>
  <c r="M9" i="101"/>
  <c r="M8" i="101"/>
  <c r="B2" i="101"/>
  <c r="U1" i="101"/>
  <c r="B1" i="101"/>
  <c r="N8" i="65"/>
  <c r="N7" i="65"/>
  <c r="S1" i="65"/>
  <c r="C1" i="65"/>
  <c r="O41" i="64"/>
  <c r="M50" i="64" s="1"/>
  <c r="K8" i="64"/>
  <c r="K7" i="64"/>
  <c r="P1" i="64"/>
  <c r="C1" i="64"/>
  <c r="O32" i="63"/>
  <c r="K8" i="63"/>
  <c r="K7" i="63"/>
  <c r="P1" i="63"/>
  <c r="C1" i="63"/>
  <c r="L8" i="62"/>
  <c r="L7" i="62"/>
  <c r="B2" i="62"/>
  <c r="S1" i="62"/>
  <c r="B1" i="62"/>
  <c r="R31" i="61"/>
  <c r="P31" i="61"/>
  <c r="N31" i="61"/>
  <c r="L31" i="61"/>
  <c r="J31" i="61"/>
  <c r="H31" i="61"/>
  <c r="F31" i="61"/>
  <c r="N8" i="61"/>
  <c r="N7" i="61"/>
  <c r="R4" i="61"/>
  <c r="C1" i="61"/>
  <c r="Q35" i="60"/>
  <c r="O35" i="60"/>
  <c r="M35" i="60"/>
  <c r="K35" i="60"/>
  <c r="M9" i="60"/>
  <c r="M8" i="60"/>
  <c r="R1" i="60"/>
  <c r="C1" i="60"/>
  <c r="B41" i="59"/>
  <c r="Q35" i="59"/>
  <c r="O35" i="59"/>
  <c r="M35" i="59"/>
  <c r="K35" i="59"/>
  <c r="I35" i="59"/>
  <c r="G35" i="59"/>
  <c r="Q34" i="59"/>
  <c r="S33" i="59"/>
  <c r="R33" i="59" s="1"/>
  <c r="Q33" i="59"/>
  <c r="T33" i="59" s="1"/>
  <c r="Q32" i="59"/>
  <c r="S32" i="59" s="1"/>
  <c r="R32" i="59" s="1"/>
  <c r="O28" i="59"/>
  <c r="M28" i="59"/>
  <c r="K28" i="59"/>
  <c r="K37" i="59" s="1"/>
  <c r="I28" i="59"/>
  <c r="G28" i="59"/>
  <c r="G37" i="59" s="1"/>
  <c r="T27" i="59"/>
  <c r="Q27" i="59"/>
  <c r="S27" i="59" s="1"/>
  <c r="R27" i="59" s="1"/>
  <c r="Q26" i="59"/>
  <c r="T26" i="59" s="1"/>
  <c r="Q25" i="59"/>
  <c r="S24" i="59"/>
  <c r="R24" i="59" s="1"/>
  <c r="Q24" i="59"/>
  <c r="T24" i="59" s="1"/>
  <c r="Q23" i="59"/>
  <c r="T23" i="59" s="1"/>
  <c r="Q22" i="59"/>
  <c r="Q21" i="59"/>
  <c r="T21" i="59" s="1"/>
  <c r="Q20" i="59"/>
  <c r="T20" i="59" s="1"/>
  <c r="Q19" i="59"/>
  <c r="T19" i="59" s="1"/>
  <c r="L8" i="59"/>
  <c r="L7" i="59"/>
  <c r="R1" i="59"/>
  <c r="C1" i="59"/>
  <c r="A75" i="57"/>
  <c r="K72" i="57"/>
  <c r="M70" i="57"/>
  <c r="Q38" i="57"/>
  <c r="O38" i="57"/>
  <c r="M38" i="57"/>
  <c r="T37" i="57"/>
  <c r="K37" i="57"/>
  <c r="U37" i="57" s="1"/>
  <c r="U36" i="57"/>
  <c r="T36" i="57"/>
  <c r="K36" i="57"/>
  <c r="K35" i="57"/>
  <c r="K34" i="57"/>
  <c r="T34" i="57" s="1"/>
  <c r="S34" i="57" s="1"/>
  <c r="K33" i="57"/>
  <c r="K40" i="101" s="1"/>
  <c r="K32" i="57"/>
  <c r="T32" i="57" s="1"/>
  <c r="S32" i="57" s="1"/>
  <c r="K31" i="57"/>
  <c r="K30" i="57"/>
  <c r="K29" i="101" s="1"/>
  <c r="K29" i="57"/>
  <c r="U29" i="57" s="1"/>
  <c r="U28" i="57"/>
  <c r="K28" i="57"/>
  <c r="K27" i="101" s="1"/>
  <c r="Y27" i="101" s="1"/>
  <c r="K27" i="57"/>
  <c r="U27" i="57" s="1"/>
  <c r="U26" i="57"/>
  <c r="K26" i="57"/>
  <c r="T26" i="57" s="1"/>
  <c r="S26" i="57" s="1"/>
  <c r="K25" i="57"/>
  <c r="K24" i="101" s="1"/>
  <c r="U24" i="57"/>
  <c r="K24" i="57"/>
  <c r="T24" i="57" s="1"/>
  <c r="S24" i="57" s="1"/>
  <c r="U23" i="57"/>
  <c r="T23" i="57"/>
  <c r="S23" i="57" s="1"/>
  <c r="K23" i="57"/>
  <c r="K22" i="57"/>
  <c r="K21" i="101" s="1"/>
  <c r="K21" i="57"/>
  <c r="M9" i="57"/>
  <c r="M8" i="57"/>
  <c r="S1" i="57"/>
  <c r="M87" i="121" s="1"/>
  <c r="B1" i="57"/>
  <c r="B49" i="56"/>
  <c r="Q45" i="56"/>
  <c r="O45" i="56"/>
  <c r="M45" i="56"/>
  <c r="K45" i="56"/>
  <c r="I45" i="56"/>
  <c r="G45" i="56"/>
  <c r="Q44" i="56"/>
  <c r="S44" i="56" s="1"/>
  <c r="R44" i="56" s="1"/>
  <c r="Q43" i="56"/>
  <c r="S43" i="56" s="1"/>
  <c r="R43" i="56" s="1"/>
  <c r="Q42" i="56"/>
  <c r="S42" i="56" s="1"/>
  <c r="R42" i="56" s="1"/>
  <c r="R41" i="56"/>
  <c r="Q41" i="56"/>
  <c r="S41" i="56" s="1"/>
  <c r="S40" i="56"/>
  <c r="R40" i="56" s="1"/>
  <c r="Q40" i="56"/>
  <c r="S39" i="56"/>
  <c r="R39" i="56" s="1"/>
  <c r="Q39" i="56"/>
  <c r="Q35" i="56"/>
  <c r="O35" i="56"/>
  <c r="M35" i="56"/>
  <c r="M37" i="59" s="1"/>
  <c r="K35" i="56"/>
  <c r="I35" i="56"/>
  <c r="G35" i="56"/>
  <c r="Q34" i="56"/>
  <c r="S34" i="56" s="1"/>
  <c r="R34" i="56" s="1"/>
  <c r="Q33" i="56"/>
  <c r="S33" i="56" s="1"/>
  <c r="R33" i="56" s="1"/>
  <c r="S32" i="56"/>
  <c r="R32" i="56" s="1"/>
  <c r="Q32" i="56"/>
  <c r="S31" i="56"/>
  <c r="R31" i="56" s="1"/>
  <c r="Q31" i="56"/>
  <c r="Q29" i="56"/>
  <c r="S29" i="56" s="1"/>
  <c r="R29" i="56" s="1"/>
  <c r="Q28" i="56"/>
  <c r="S28" i="56" s="1"/>
  <c r="R28" i="56" s="1"/>
  <c r="Q27" i="56"/>
  <c r="S27" i="56" s="1"/>
  <c r="R27" i="56" s="1"/>
  <c r="Q26" i="56"/>
  <c r="S26" i="56" s="1"/>
  <c r="R26" i="56" s="1"/>
  <c r="Q25" i="56"/>
  <c r="S25" i="56" s="1"/>
  <c r="R25" i="56" s="1"/>
  <c r="S24" i="56"/>
  <c r="R24" i="56" s="1"/>
  <c r="Q24" i="56"/>
  <c r="S23" i="56"/>
  <c r="R23" i="56" s="1"/>
  <c r="Q23" i="56"/>
  <c r="Q22" i="56"/>
  <c r="S22" i="56" s="1"/>
  <c r="R22" i="56" s="1"/>
  <c r="Q21" i="56"/>
  <c r="S21" i="56" s="1"/>
  <c r="R21" i="56" s="1"/>
  <c r="Q20" i="56"/>
  <c r="S20" i="56" s="1"/>
  <c r="R20" i="56" s="1"/>
  <c r="Q19" i="56"/>
  <c r="S19" i="56" s="1"/>
  <c r="L8" i="56"/>
  <c r="L7" i="56"/>
  <c r="R1" i="56"/>
  <c r="C1" i="56"/>
  <c r="I8" i="104"/>
  <c r="I7" i="104"/>
  <c r="M1" i="104"/>
  <c r="A1" i="104"/>
  <c r="A89" i="55"/>
  <c r="L83" i="55"/>
  <c r="L85" i="55" s="1"/>
  <c r="L73" i="55"/>
  <c r="L64" i="55"/>
  <c r="L87" i="55" s="1"/>
  <c r="L46" i="55"/>
  <c r="L66" i="55" s="1"/>
  <c r="L30" i="55"/>
  <c r="L7" i="55"/>
  <c r="L6" i="55"/>
  <c r="B2" i="55"/>
  <c r="P1" i="55"/>
  <c r="B1" i="55"/>
  <c r="A31" i="53"/>
  <c r="O7" i="53"/>
  <c r="O6" i="53"/>
  <c r="W1" i="53"/>
  <c r="B1" i="53"/>
  <c r="R29" i="52"/>
  <c r="P29" i="52"/>
  <c r="N29" i="52"/>
  <c r="L29" i="52"/>
  <c r="T27" i="52"/>
  <c r="T26" i="52"/>
  <c r="T25" i="52"/>
  <c r="T24" i="52"/>
  <c r="T23" i="52"/>
  <c r="T22" i="52"/>
  <c r="T21" i="52"/>
  <c r="T20" i="52"/>
  <c r="T19" i="52"/>
  <c r="T18" i="52"/>
  <c r="T17" i="52"/>
  <c r="T16" i="52"/>
  <c r="T29" i="52" s="1"/>
  <c r="T31" i="52" s="1"/>
  <c r="T15" i="52"/>
  <c r="T14" i="52"/>
  <c r="L14" i="52"/>
  <c r="P6" i="52"/>
  <c r="P5" i="52"/>
  <c r="A2" i="52"/>
  <c r="U1" i="52"/>
  <c r="A1" i="52"/>
  <c r="D47" i="105"/>
  <c r="F112" i="68" s="1"/>
  <c r="F111" i="90" s="1"/>
  <c r="D30" i="105"/>
  <c r="F25" i="66" s="1"/>
  <c r="G7" i="105"/>
  <c r="B7" i="105"/>
  <c r="K1" i="105"/>
  <c r="A1" i="105"/>
  <c r="G6" i="51"/>
  <c r="B6" i="51"/>
  <c r="A2" i="51"/>
  <c r="K1" i="51"/>
  <c r="A1" i="51"/>
  <c r="G46" i="50"/>
  <c r="J29" i="50"/>
  <c r="E9" i="50"/>
  <c r="E8" i="50"/>
  <c r="I1" i="50"/>
  <c r="M84" i="121" s="1"/>
  <c r="A1" i="50"/>
  <c r="A48" i="49"/>
  <c r="O35" i="49"/>
  <c r="M29" i="49"/>
  <c r="M25" i="49"/>
  <c r="E25" i="49"/>
  <c r="E23" i="49"/>
  <c r="O42" i="49" s="1"/>
  <c r="E21" i="49"/>
  <c r="E15" i="49"/>
  <c r="M7" i="49"/>
  <c r="M6" i="49"/>
  <c r="P1" i="49"/>
  <c r="M83" i="121" s="1"/>
  <c r="B1" i="49"/>
  <c r="A48" i="117"/>
  <c r="M7" i="117"/>
  <c r="M6" i="117"/>
  <c r="P1" i="117"/>
  <c r="M82" i="121" s="1"/>
  <c r="B1" i="117"/>
  <c r="A31" i="47"/>
  <c r="J7" i="47"/>
  <c r="J6" i="47"/>
  <c r="M1" i="47"/>
  <c r="B1" i="47"/>
  <c r="A34" i="46"/>
  <c r="H29" i="46"/>
  <c r="F249" i="66" s="1"/>
  <c r="F247" i="72" s="1"/>
  <c r="X28" i="46"/>
  <c r="W28" i="46"/>
  <c r="V28" i="46"/>
  <c r="U28" i="46"/>
  <c r="T28" i="46"/>
  <c r="S28" i="46"/>
  <c r="Q28" i="46" s="1"/>
  <c r="P28" i="46" s="1"/>
  <c r="O28" i="46" s="1"/>
  <c r="R28" i="46"/>
  <c r="X27" i="46"/>
  <c r="W27" i="46"/>
  <c r="V27" i="46"/>
  <c r="U27" i="46"/>
  <c r="T27" i="46"/>
  <c r="S27" i="46"/>
  <c r="R27" i="46"/>
  <c r="Q27" i="46" s="1"/>
  <c r="P27" i="46" s="1"/>
  <c r="O27" i="46" s="1"/>
  <c r="X26" i="46"/>
  <c r="W26" i="46"/>
  <c r="V26" i="46"/>
  <c r="U26" i="46"/>
  <c r="T26" i="46"/>
  <c r="S26" i="46"/>
  <c r="R26" i="46"/>
  <c r="Q26" i="46" s="1"/>
  <c r="P26" i="46" s="1"/>
  <c r="O26" i="46" s="1"/>
  <c r="X25" i="46"/>
  <c r="W25" i="46"/>
  <c r="V25" i="46"/>
  <c r="U25" i="46"/>
  <c r="T25" i="46"/>
  <c r="Q25" i="46" s="1"/>
  <c r="P25" i="46" s="1"/>
  <c r="O25" i="46" s="1"/>
  <c r="S25" i="46"/>
  <c r="R25" i="46"/>
  <c r="X24" i="46"/>
  <c r="W24" i="46"/>
  <c r="V24" i="46"/>
  <c r="U24" i="46"/>
  <c r="T24" i="46"/>
  <c r="S24" i="46"/>
  <c r="Q24" i="46" s="1"/>
  <c r="P24" i="46" s="1"/>
  <c r="O24" i="46" s="1"/>
  <c r="R24" i="46"/>
  <c r="X23" i="46"/>
  <c r="W23" i="46"/>
  <c r="V23" i="46"/>
  <c r="U23" i="46"/>
  <c r="T23" i="46"/>
  <c r="S23" i="46"/>
  <c r="R23" i="46"/>
  <c r="Q23" i="46" s="1"/>
  <c r="P23" i="46" s="1"/>
  <c r="O23" i="46" s="1"/>
  <c r="X22" i="46"/>
  <c r="W22" i="46"/>
  <c r="V22" i="46"/>
  <c r="U22" i="46"/>
  <c r="T22" i="46"/>
  <c r="S22" i="46"/>
  <c r="R22" i="46"/>
  <c r="Q22" i="46" s="1"/>
  <c r="P22" i="46" s="1"/>
  <c r="O22" i="46" s="1"/>
  <c r="X21" i="46"/>
  <c r="W21" i="46"/>
  <c r="V21" i="46"/>
  <c r="U21" i="46"/>
  <c r="T21" i="46"/>
  <c r="S21" i="46"/>
  <c r="R21" i="46"/>
  <c r="X20" i="46"/>
  <c r="W20" i="46"/>
  <c r="V20" i="46"/>
  <c r="U20" i="46"/>
  <c r="T20" i="46"/>
  <c r="S20" i="46"/>
  <c r="Q20" i="46" s="1"/>
  <c r="P20" i="46" s="1"/>
  <c r="O20" i="46" s="1"/>
  <c r="R20" i="46"/>
  <c r="X19" i="46"/>
  <c r="W19" i="46"/>
  <c r="V19" i="46"/>
  <c r="U19" i="46"/>
  <c r="T19" i="46"/>
  <c r="S19" i="46"/>
  <c r="R19" i="46"/>
  <c r="Q19" i="46" s="1"/>
  <c r="P19" i="46" s="1"/>
  <c r="O19" i="46" s="1"/>
  <c r="X18" i="46"/>
  <c r="W18" i="46"/>
  <c r="V18" i="46"/>
  <c r="U18" i="46"/>
  <c r="T18" i="46"/>
  <c r="S18" i="46"/>
  <c r="R18" i="46"/>
  <c r="X17" i="46"/>
  <c r="W17" i="46"/>
  <c r="V17" i="46"/>
  <c r="U17" i="46"/>
  <c r="T17" i="46"/>
  <c r="S17" i="46"/>
  <c r="R17" i="46"/>
  <c r="X16" i="46"/>
  <c r="W16" i="46"/>
  <c r="V16" i="46"/>
  <c r="U16" i="46"/>
  <c r="T16" i="46"/>
  <c r="S16" i="46"/>
  <c r="Q16" i="46" s="1"/>
  <c r="R16" i="46"/>
  <c r="P16" i="46"/>
  <c r="O16" i="46" s="1"/>
  <c r="X15" i="46"/>
  <c r="W15" i="46"/>
  <c r="V15" i="46"/>
  <c r="U15" i="46"/>
  <c r="T15" i="46"/>
  <c r="S15" i="46"/>
  <c r="R15" i="46"/>
  <c r="Q15" i="46" s="1"/>
  <c r="P15" i="46" s="1"/>
  <c r="O15" i="46" s="1"/>
  <c r="X14" i="46"/>
  <c r="W14" i="46"/>
  <c r="W29" i="46" s="1"/>
  <c r="H37" i="82" s="1"/>
  <c r="R37" i="82" s="1"/>
  <c r="V14" i="46"/>
  <c r="U14" i="46"/>
  <c r="T14" i="46"/>
  <c r="S14" i="46"/>
  <c r="R14" i="46"/>
  <c r="X13" i="46"/>
  <c r="W13" i="46"/>
  <c r="V13" i="46"/>
  <c r="U13" i="46"/>
  <c r="T13" i="46"/>
  <c r="S13" i="46"/>
  <c r="R13" i="46"/>
  <c r="X12" i="46"/>
  <c r="W12" i="46"/>
  <c r="V12" i="46"/>
  <c r="U12" i="46"/>
  <c r="T12" i="46"/>
  <c r="S12" i="46"/>
  <c r="Q12" i="46" s="1"/>
  <c r="R12" i="46"/>
  <c r="P12" i="46"/>
  <c r="I6" i="46"/>
  <c r="I5" i="46"/>
  <c r="B2" i="46"/>
  <c r="O1" i="46"/>
  <c r="B1" i="46"/>
  <c r="A33" i="108"/>
  <c r="AF28" i="108"/>
  <c r="AE28" i="108"/>
  <c r="AD28" i="108"/>
  <c r="AC28" i="108"/>
  <c r="AB28" i="108"/>
  <c r="Z28" i="108" s="1"/>
  <c r="Y28" i="108" s="1"/>
  <c r="AA28" i="108"/>
  <c r="X28" i="108"/>
  <c r="W28" i="108"/>
  <c r="V28" i="108"/>
  <c r="U28" i="108"/>
  <c r="T28" i="108"/>
  <c r="S28" i="108" s="1"/>
  <c r="AF27" i="108"/>
  <c r="AE27" i="108"/>
  <c r="AD27" i="108"/>
  <c r="AC27" i="108"/>
  <c r="AB27" i="108"/>
  <c r="AA27" i="108"/>
  <c r="Z27" i="108"/>
  <c r="Y27" i="108" s="1"/>
  <c r="X27" i="108"/>
  <c r="W27" i="108"/>
  <c r="V27" i="108"/>
  <c r="U27" i="108"/>
  <c r="T27" i="108" s="1"/>
  <c r="S27" i="108" s="1"/>
  <c r="AF26" i="108"/>
  <c r="AE26" i="108"/>
  <c r="AD26" i="108"/>
  <c r="AC26" i="108"/>
  <c r="AB26" i="108"/>
  <c r="AA26" i="108"/>
  <c r="Z26" i="108" s="1"/>
  <c r="Y26" i="108" s="1"/>
  <c r="X26" i="108"/>
  <c r="W26" i="108"/>
  <c r="V26" i="108"/>
  <c r="U26" i="108"/>
  <c r="AF25" i="108"/>
  <c r="AE25" i="108"/>
  <c r="AD25" i="108"/>
  <c r="AC25" i="108"/>
  <c r="AB25" i="108"/>
  <c r="AA25" i="108"/>
  <c r="X25" i="108"/>
  <c r="W25" i="108"/>
  <c r="V25" i="108"/>
  <c r="T25" i="108" s="1"/>
  <c r="S25" i="108" s="1"/>
  <c r="U25" i="108"/>
  <c r="AF24" i="108"/>
  <c r="AE24" i="108"/>
  <c r="AD24" i="108"/>
  <c r="AC24" i="108"/>
  <c r="AB24" i="108"/>
  <c r="Z24" i="108" s="1"/>
  <c r="Y24" i="108" s="1"/>
  <c r="AA24" i="108"/>
  <c r="X24" i="108"/>
  <c r="W24" i="108"/>
  <c r="V24" i="108"/>
  <c r="U24" i="108"/>
  <c r="T24" i="108"/>
  <c r="S24" i="108" s="1"/>
  <c r="AF23" i="108"/>
  <c r="AE23" i="108"/>
  <c r="AD23" i="108"/>
  <c r="AC23" i="108"/>
  <c r="AB23" i="108"/>
  <c r="AA23" i="108"/>
  <c r="Z23" i="108"/>
  <c r="Y23" i="108" s="1"/>
  <c r="X23" i="108"/>
  <c r="W23" i="108"/>
  <c r="V23" i="108"/>
  <c r="U23" i="108"/>
  <c r="T23" i="108" s="1"/>
  <c r="S23" i="108" s="1"/>
  <c r="AF22" i="108"/>
  <c r="AE22" i="108"/>
  <c r="AD22" i="108"/>
  <c r="AC22" i="108"/>
  <c r="AB22" i="108"/>
  <c r="AA22" i="108"/>
  <c r="Z22" i="108" s="1"/>
  <c r="Y22" i="108" s="1"/>
  <c r="X22" i="108"/>
  <c r="W22" i="108"/>
  <c r="V22" i="108"/>
  <c r="T22" i="108" s="1"/>
  <c r="S22" i="108" s="1"/>
  <c r="U22" i="108"/>
  <c r="AF21" i="108"/>
  <c r="AE21" i="108"/>
  <c r="AD21" i="108"/>
  <c r="AC21" i="108"/>
  <c r="AB21" i="108"/>
  <c r="AA21" i="108"/>
  <c r="X21" i="108"/>
  <c r="W21" i="108"/>
  <c r="V21" i="108"/>
  <c r="T21" i="108" s="1"/>
  <c r="S21" i="108" s="1"/>
  <c r="U21" i="108"/>
  <c r="AF20" i="108"/>
  <c r="AE20" i="108"/>
  <c r="AD20" i="108"/>
  <c r="AC20" i="108"/>
  <c r="AB20" i="108"/>
  <c r="Z20" i="108" s="1"/>
  <c r="Y20" i="108" s="1"/>
  <c r="AA20" i="108"/>
  <c r="X20" i="108"/>
  <c r="W20" i="108"/>
  <c r="V20" i="108"/>
  <c r="U20" i="108"/>
  <c r="T20" i="108"/>
  <c r="S20" i="108" s="1"/>
  <c r="AF19" i="108"/>
  <c r="AE19" i="108"/>
  <c r="AD19" i="108"/>
  <c r="AC19" i="108"/>
  <c r="AB19" i="108"/>
  <c r="AA19" i="108"/>
  <c r="Z19" i="108"/>
  <c r="Y19" i="108" s="1"/>
  <c r="X19" i="108"/>
  <c r="W19" i="108"/>
  <c r="V19" i="108"/>
  <c r="U19" i="108"/>
  <c r="T19" i="108" s="1"/>
  <c r="S19" i="108" s="1"/>
  <c r="AF18" i="108"/>
  <c r="AE18" i="108"/>
  <c r="AD18" i="108"/>
  <c r="AC18" i="108"/>
  <c r="AB18" i="108"/>
  <c r="AA18" i="108"/>
  <c r="Z18" i="108" s="1"/>
  <c r="Y18" i="108" s="1"/>
  <c r="X18" i="108"/>
  <c r="W18" i="108"/>
  <c r="V18" i="108"/>
  <c r="U18" i="108"/>
  <c r="T18" i="108" s="1"/>
  <c r="S18" i="108" s="1"/>
  <c r="AF17" i="108"/>
  <c r="AE17" i="108"/>
  <c r="AD17" i="108"/>
  <c r="AC17" i="108"/>
  <c r="AB17" i="108"/>
  <c r="Z17" i="108" s="1"/>
  <c r="Y17" i="108" s="1"/>
  <c r="AA17" i="108"/>
  <c r="X17" i="108"/>
  <c r="W17" i="108"/>
  <c r="V17" i="108"/>
  <c r="T17" i="108" s="1"/>
  <c r="S17" i="108" s="1"/>
  <c r="U17" i="108"/>
  <c r="AF16" i="108"/>
  <c r="AE16" i="108"/>
  <c r="AD16" i="108"/>
  <c r="AC16" i="108"/>
  <c r="AB16" i="108"/>
  <c r="Z16" i="108" s="1"/>
  <c r="Y16" i="108" s="1"/>
  <c r="AA16" i="108"/>
  <c r="X16" i="108"/>
  <c r="W16" i="108"/>
  <c r="V16" i="108"/>
  <c r="U16" i="108"/>
  <c r="T16" i="108"/>
  <c r="S16" i="108" s="1"/>
  <c r="AF15" i="108"/>
  <c r="AE15" i="108"/>
  <c r="AD15" i="108"/>
  <c r="AC15" i="108"/>
  <c r="AB15" i="108"/>
  <c r="AA15" i="108"/>
  <c r="Z15" i="108"/>
  <c r="Y15" i="108" s="1"/>
  <c r="X15" i="108"/>
  <c r="W15" i="108"/>
  <c r="V15" i="108"/>
  <c r="U15" i="108"/>
  <c r="T15" i="108" s="1"/>
  <c r="S15" i="108" s="1"/>
  <c r="AF14" i="108"/>
  <c r="AF29" i="108" s="1"/>
  <c r="AE14" i="108"/>
  <c r="AE29" i="108" s="1"/>
  <c r="AD14" i="108"/>
  <c r="AC14" i="108"/>
  <c r="AB14" i="108"/>
  <c r="AA14" i="108"/>
  <c r="Z14" i="108" s="1"/>
  <c r="Y14" i="108" s="1"/>
  <c r="X14" i="108"/>
  <c r="W14" i="108"/>
  <c r="V14" i="108"/>
  <c r="U14" i="108"/>
  <c r="O6" i="108"/>
  <c r="O5" i="108"/>
  <c r="B2" i="108"/>
  <c r="AK1" i="108"/>
  <c r="B1" i="108"/>
  <c r="Z32" i="107"/>
  <c r="Y32" i="107"/>
  <c r="X32" i="107"/>
  <c r="W32" i="107"/>
  <c r="V32" i="107"/>
  <c r="U32" i="107"/>
  <c r="Z31" i="107"/>
  <c r="Y31" i="107"/>
  <c r="X31" i="107"/>
  <c r="W31" i="107"/>
  <c r="V31" i="107"/>
  <c r="U31" i="107"/>
  <c r="Z30" i="107"/>
  <c r="Y30" i="107"/>
  <c r="X30" i="107"/>
  <c r="W30" i="107"/>
  <c r="V30" i="107"/>
  <c r="U30" i="107"/>
  <c r="Z29" i="107"/>
  <c r="Y29" i="107"/>
  <c r="X29" i="107"/>
  <c r="W29" i="107"/>
  <c r="V29" i="107"/>
  <c r="U29" i="107"/>
  <c r="Z28" i="107"/>
  <c r="Y28" i="107"/>
  <c r="X28" i="107"/>
  <c r="W28" i="107"/>
  <c r="V28" i="107"/>
  <c r="U28" i="107"/>
  <c r="Z27" i="107"/>
  <c r="Y27" i="107"/>
  <c r="X27" i="107"/>
  <c r="W27" i="107"/>
  <c r="V27" i="107"/>
  <c r="U27" i="107"/>
  <c r="Z26" i="107"/>
  <c r="Y26" i="107"/>
  <c r="X26" i="107"/>
  <c r="W26" i="107"/>
  <c r="V26" i="107"/>
  <c r="U26" i="107"/>
  <c r="Z25" i="107"/>
  <c r="Y25" i="107"/>
  <c r="X25" i="107"/>
  <c r="W25" i="107"/>
  <c r="V25" i="107"/>
  <c r="U25" i="107"/>
  <c r="Z24" i="107"/>
  <c r="Y24" i="107"/>
  <c r="X24" i="107"/>
  <c r="W24" i="107"/>
  <c r="V24" i="107"/>
  <c r="U24" i="107"/>
  <c r="Z23" i="107"/>
  <c r="Y23" i="107"/>
  <c r="X23" i="107"/>
  <c r="W23" i="107"/>
  <c r="V23" i="107"/>
  <c r="U23" i="107"/>
  <c r="Z22" i="107"/>
  <c r="Y22" i="107"/>
  <c r="X22" i="107"/>
  <c r="W22" i="107"/>
  <c r="V22" i="107"/>
  <c r="U22" i="107"/>
  <c r="Z21" i="107"/>
  <c r="Y21" i="107"/>
  <c r="X21" i="107"/>
  <c r="W21" i="107"/>
  <c r="V21" i="107"/>
  <c r="U21" i="107"/>
  <c r="Z20" i="107"/>
  <c r="Y20" i="107"/>
  <c r="X20" i="107"/>
  <c r="W20" i="107"/>
  <c r="V20" i="107"/>
  <c r="U20" i="107"/>
  <c r="Z19" i="107"/>
  <c r="Y19" i="107"/>
  <c r="X19" i="107"/>
  <c r="W19" i="107"/>
  <c r="V19" i="107"/>
  <c r="U19" i="107"/>
  <c r="Z18" i="107"/>
  <c r="Y18" i="107"/>
  <c r="X18" i="107"/>
  <c r="W18" i="107"/>
  <c r="V18" i="107"/>
  <c r="U18" i="107"/>
  <c r="M7" i="107"/>
  <c r="M6" i="107"/>
  <c r="R1" i="107"/>
  <c r="A1" i="107"/>
  <c r="Z33" i="106"/>
  <c r="Y33" i="106"/>
  <c r="X33" i="106"/>
  <c r="W33" i="106"/>
  <c r="V33" i="106"/>
  <c r="U33" i="106"/>
  <c r="Z32" i="106"/>
  <c r="Y32" i="106"/>
  <c r="X32" i="106"/>
  <c r="W32" i="106"/>
  <c r="V32" i="106"/>
  <c r="U32" i="106"/>
  <c r="Z31" i="106"/>
  <c r="Y31" i="106"/>
  <c r="X31" i="106"/>
  <c r="W31" i="106"/>
  <c r="V31" i="106"/>
  <c r="U31" i="106"/>
  <c r="Z30" i="106"/>
  <c r="Y30" i="106"/>
  <c r="X30" i="106"/>
  <c r="W30" i="106"/>
  <c r="V30" i="106"/>
  <c r="U30" i="106"/>
  <c r="Z29" i="106"/>
  <c r="Y29" i="106"/>
  <c r="X29" i="106"/>
  <c r="W29" i="106"/>
  <c r="V29" i="106"/>
  <c r="U29" i="106"/>
  <c r="Z28" i="106"/>
  <c r="Y28" i="106"/>
  <c r="X28" i="106"/>
  <c r="W28" i="106"/>
  <c r="V28" i="106"/>
  <c r="U28" i="106"/>
  <c r="Z27" i="106"/>
  <c r="Y27" i="106"/>
  <c r="X27" i="106"/>
  <c r="W27" i="106"/>
  <c r="V27" i="106"/>
  <c r="U27" i="106"/>
  <c r="Z26" i="106"/>
  <c r="Y26" i="106"/>
  <c r="X26" i="106"/>
  <c r="W26" i="106"/>
  <c r="V26" i="106"/>
  <c r="U26" i="106"/>
  <c r="Z25" i="106"/>
  <c r="Y25" i="106"/>
  <c r="X25" i="106"/>
  <c r="W25" i="106"/>
  <c r="V25" i="106"/>
  <c r="U25" i="106"/>
  <c r="Z24" i="106"/>
  <c r="Y24" i="106"/>
  <c r="X24" i="106"/>
  <c r="W24" i="106"/>
  <c r="V24" i="106"/>
  <c r="U24" i="106"/>
  <c r="Z23" i="106"/>
  <c r="Y23" i="106"/>
  <c r="X23" i="106"/>
  <c r="W23" i="106"/>
  <c r="V23" i="106"/>
  <c r="U23" i="106"/>
  <c r="Z22" i="106"/>
  <c r="Y22" i="106"/>
  <c r="X22" i="106"/>
  <c r="W22" i="106"/>
  <c r="V22" i="106"/>
  <c r="U22" i="106"/>
  <c r="Z21" i="106"/>
  <c r="Y21" i="106"/>
  <c r="X21" i="106"/>
  <c r="W21" i="106"/>
  <c r="V21" i="106"/>
  <c r="U21" i="106"/>
  <c r="Z20" i="106"/>
  <c r="Y20" i="106"/>
  <c r="X20" i="106"/>
  <c r="W20" i="106"/>
  <c r="V20" i="106"/>
  <c r="U20" i="106"/>
  <c r="Z19" i="106"/>
  <c r="Y19" i="106"/>
  <c r="X19" i="106"/>
  <c r="W19" i="106"/>
  <c r="V19" i="106"/>
  <c r="U19" i="106"/>
  <c r="M7" i="106"/>
  <c r="M6" i="106"/>
  <c r="A2" i="106"/>
  <c r="R1" i="106"/>
  <c r="A1" i="106"/>
  <c r="A117" i="110"/>
  <c r="P33" i="110"/>
  <c r="H33" i="110"/>
  <c r="AE32" i="110"/>
  <c r="AD32" i="110"/>
  <c r="AC32" i="110"/>
  <c r="AB32" i="110"/>
  <c r="AA32" i="110"/>
  <c r="Z32" i="110"/>
  <c r="Y32" i="110" s="1"/>
  <c r="X32" i="110" s="1"/>
  <c r="W32" i="110"/>
  <c r="V32" i="110"/>
  <c r="U32" i="110"/>
  <c r="S32" i="110" s="1"/>
  <c r="R32" i="110" s="1"/>
  <c r="Q32" i="110" s="1"/>
  <c r="T32" i="110"/>
  <c r="AE31" i="110"/>
  <c r="AD31" i="110"/>
  <c r="AC31" i="110"/>
  <c r="AB31" i="110"/>
  <c r="AA31" i="110"/>
  <c r="Z31" i="110"/>
  <c r="Y31" i="110"/>
  <c r="X31" i="110" s="1"/>
  <c r="W31" i="110"/>
  <c r="V31" i="110"/>
  <c r="U31" i="110"/>
  <c r="T31" i="110"/>
  <c r="S31" i="110" s="1"/>
  <c r="R31" i="110" s="1"/>
  <c r="Q31" i="110"/>
  <c r="AE30" i="110"/>
  <c r="AD30" i="110"/>
  <c r="AC30" i="110"/>
  <c r="AB30" i="110"/>
  <c r="AA30" i="110"/>
  <c r="Y30" i="110" s="1"/>
  <c r="X30" i="110" s="1"/>
  <c r="Z30" i="110"/>
  <c r="W30" i="110"/>
  <c r="V30" i="110"/>
  <c r="S30" i="110" s="1"/>
  <c r="R30" i="110" s="1"/>
  <c r="U30" i="110"/>
  <c r="T30" i="110"/>
  <c r="AE29" i="110"/>
  <c r="AD29" i="110"/>
  <c r="AC29" i="110"/>
  <c r="AB29" i="110"/>
  <c r="AA29" i="110"/>
  <c r="Z29" i="110"/>
  <c r="Y29" i="110" s="1"/>
  <c r="X29" i="110" s="1"/>
  <c r="W29" i="110"/>
  <c r="V29" i="110"/>
  <c r="U29" i="110"/>
  <c r="T29" i="110"/>
  <c r="AE28" i="110"/>
  <c r="AD28" i="110"/>
  <c r="AC28" i="110"/>
  <c r="AB28" i="110"/>
  <c r="Y28" i="110" s="1"/>
  <c r="X28" i="110" s="1"/>
  <c r="AA28" i="110"/>
  <c r="Z28" i="110"/>
  <c r="W28" i="110"/>
  <c r="V28" i="110"/>
  <c r="U28" i="110"/>
  <c r="T28" i="110"/>
  <c r="AE27" i="110"/>
  <c r="AD27" i="110"/>
  <c r="AC27" i="110"/>
  <c r="AB27" i="110"/>
  <c r="AA27" i="110"/>
  <c r="Z27" i="110"/>
  <c r="W27" i="110"/>
  <c r="V27" i="110"/>
  <c r="U27" i="110"/>
  <c r="S27" i="110" s="1"/>
  <c r="R27" i="110" s="1"/>
  <c r="T27" i="110"/>
  <c r="AE26" i="110"/>
  <c r="AD26" i="110"/>
  <c r="AC26" i="110"/>
  <c r="AB26" i="110"/>
  <c r="AA26" i="110"/>
  <c r="Z26" i="110"/>
  <c r="W26" i="110"/>
  <c r="V26" i="110"/>
  <c r="U26" i="110"/>
  <c r="T26" i="110"/>
  <c r="S26" i="110" s="1"/>
  <c r="R26" i="110"/>
  <c r="AE25" i="110"/>
  <c r="AD25" i="110"/>
  <c r="AC25" i="110"/>
  <c r="AB25" i="110"/>
  <c r="AA25" i="110"/>
  <c r="Y25" i="110" s="1"/>
  <c r="X25" i="110" s="1"/>
  <c r="Z25" i="110"/>
  <c r="W25" i="110"/>
  <c r="V25" i="110"/>
  <c r="U25" i="110"/>
  <c r="T25" i="110"/>
  <c r="S25" i="110"/>
  <c r="R25" i="110" s="1"/>
  <c r="AE24" i="110"/>
  <c r="AD24" i="110"/>
  <c r="AC24" i="110"/>
  <c r="AB24" i="110"/>
  <c r="AA24" i="110"/>
  <c r="Z24" i="110"/>
  <c r="Y24" i="110" s="1"/>
  <c r="X24" i="110"/>
  <c r="W24" i="110"/>
  <c r="V24" i="110"/>
  <c r="U24" i="110"/>
  <c r="S24" i="110" s="1"/>
  <c r="T24" i="110"/>
  <c r="R24" i="110"/>
  <c r="AE23" i="110"/>
  <c r="AD23" i="110"/>
  <c r="AC23" i="110"/>
  <c r="AB23" i="110"/>
  <c r="AA23" i="110"/>
  <c r="Z23" i="110"/>
  <c r="Y23" i="110"/>
  <c r="X23" i="110" s="1"/>
  <c r="W23" i="110"/>
  <c r="V23" i="110"/>
  <c r="U23" i="110"/>
  <c r="T23" i="110"/>
  <c r="S23" i="110" s="1"/>
  <c r="R23" i="110" s="1"/>
  <c r="Q23" i="110" s="1"/>
  <c r="AE22" i="110"/>
  <c r="AD22" i="110"/>
  <c r="AC22" i="110"/>
  <c r="AB22" i="110"/>
  <c r="AA22" i="110"/>
  <c r="Y22" i="110" s="1"/>
  <c r="Z22" i="110"/>
  <c r="X22" i="110"/>
  <c r="W22" i="110"/>
  <c r="V22" i="110"/>
  <c r="S22" i="110" s="1"/>
  <c r="R22" i="110" s="1"/>
  <c r="U22" i="110"/>
  <c r="T22" i="110"/>
  <c r="AE21" i="110"/>
  <c r="AD21" i="110"/>
  <c r="AC21" i="110"/>
  <c r="AB21" i="110"/>
  <c r="AA21" i="110"/>
  <c r="Z21" i="110"/>
  <c r="W21" i="110"/>
  <c r="V21" i="110"/>
  <c r="U21" i="110"/>
  <c r="S21" i="110" s="1"/>
  <c r="R21" i="110" s="1"/>
  <c r="T21" i="110"/>
  <c r="AE20" i="110"/>
  <c r="AD20" i="110"/>
  <c r="AD33" i="110" s="1"/>
  <c r="AC20" i="110"/>
  <c r="AB20" i="110"/>
  <c r="Y20" i="110" s="1"/>
  <c r="X20" i="110" s="1"/>
  <c r="AA20" i="110"/>
  <c r="Z20" i="110"/>
  <c r="W20" i="110"/>
  <c r="V20" i="110"/>
  <c r="U20" i="110"/>
  <c r="T20" i="110"/>
  <c r="S20" i="110" s="1"/>
  <c r="R20" i="110" s="1"/>
  <c r="Q20" i="110" s="1"/>
  <c r="AE19" i="110"/>
  <c r="AD19" i="110"/>
  <c r="AC19" i="110"/>
  <c r="AB19" i="110"/>
  <c r="AA19" i="110"/>
  <c r="Z19" i="110"/>
  <c r="W19" i="110"/>
  <c r="V19" i="110"/>
  <c r="U19" i="110"/>
  <c r="S19" i="110" s="1"/>
  <c r="R19" i="110" s="1"/>
  <c r="T19" i="110"/>
  <c r="AE18" i="110"/>
  <c r="AD18" i="110"/>
  <c r="AC18" i="110"/>
  <c r="AB18" i="110"/>
  <c r="AA18" i="110"/>
  <c r="Z18" i="110"/>
  <c r="W18" i="110"/>
  <c r="V18" i="110"/>
  <c r="U18" i="110"/>
  <c r="T18" i="110"/>
  <c r="S18" i="110" s="1"/>
  <c r="R18" i="110" s="1"/>
  <c r="AE17" i="110"/>
  <c r="AD17" i="110"/>
  <c r="AC17" i="110"/>
  <c r="AB17" i="110"/>
  <c r="AA17" i="110"/>
  <c r="Z17" i="110"/>
  <c r="Y17" i="110"/>
  <c r="X17" i="110" s="1"/>
  <c r="W17" i="110"/>
  <c r="V17" i="110"/>
  <c r="U17" i="110"/>
  <c r="T17" i="110"/>
  <c r="S17" i="110"/>
  <c r="R17" i="110" s="1"/>
  <c r="Q17" i="110" s="1"/>
  <c r="AE16" i="110"/>
  <c r="AD16" i="110"/>
  <c r="AC16" i="110"/>
  <c r="AB16" i="110"/>
  <c r="AA16" i="110"/>
  <c r="Z16" i="110"/>
  <c r="Y16" i="110" s="1"/>
  <c r="X16" i="110" s="1"/>
  <c r="W16" i="110"/>
  <c r="V16" i="110"/>
  <c r="U16" i="110"/>
  <c r="S16" i="110" s="1"/>
  <c r="R16" i="110" s="1"/>
  <c r="Q16" i="110" s="1"/>
  <c r="T16" i="110"/>
  <c r="AE15" i="110"/>
  <c r="AE33" i="110" s="1"/>
  <c r="AD15" i="110"/>
  <c r="AC15" i="110"/>
  <c r="AB15" i="110"/>
  <c r="Y15" i="110" s="1"/>
  <c r="X15" i="110" s="1"/>
  <c r="AA15" i="110"/>
  <c r="Z15" i="110"/>
  <c r="W15" i="110"/>
  <c r="V15" i="110"/>
  <c r="U15" i="110"/>
  <c r="T15" i="110"/>
  <c r="AE14" i="110"/>
  <c r="AD14" i="110"/>
  <c r="AC14" i="110"/>
  <c r="AB14" i="110"/>
  <c r="AA14" i="110"/>
  <c r="Z14" i="110"/>
  <c r="Y14" i="110"/>
  <c r="X14" i="110" s="1"/>
  <c r="W14" i="110"/>
  <c r="V14" i="110"/>
  <c r="U14" i="110"/>
  <c r="T14" i="110"/>
  <c r="S14" i="110"/>
  <c r="R14" i="110" s="1"/>
  <c r="Q14" i="110" s="1"/>
  <c r="M7" i="110"/>
  <c r="M6" i="110"/>
  <c r="AF1" i="110"/>
  <c r="M81" i="121" s="1"/>
  <c r="B1" i="110"/>
  <c r="A37" i="109"/>
  <c r="P28" i="109"/>
  <c r="P29" i="109" s="1"/>
  <c r="M29" i="109" s="1"/>
  <c r="H28" i="109"/>
  <c r="AE27" i="109"/>
  <c r="AD27" i="109"/>
  <c r="AC27" i="109"/>
  <c r="AB27" i="109"/>
  <c r="AA27" i="109"/>
  <c r="Z27" i="109"/>
  <c r="Y27" i="109"/>
  <c r="X27" i="109" s="1"/>
  <c r="W27" i="109"/>
  <c r="V27" i="109"/>
  <c r="S27" i="109" s="1"/>
  <c r="R27" i="109" s="1"/>
  <c r="Q27" i="109" s="1"/>
  <c r="U27" i="109"/>
  <c r="T27" i="109"/>
  <c r="AE26" i="109"/>
  <c r="AD26" i="109"/>
  <c r="AC26" i="109"/>
  <c r="AB26" i="109"/>
  <c r="AA26" i="109"/>
  <c r="Z26" i="109"/>
  <c r="Y26" i="109" s="1"/>
  <c r="X26" i="109" s="1"/>
  <c r="W26" i="109"/>
  <c r="V26" i="109"/>
  <c r="U26" i="109"/>
  <c r="S26" i="109" s="1"/>
  <c r="R26" i="109" s="1"/>
  <c r="Q26" i="109" s="1"/>
  <c r="T26" i="109"/>
  <c r="AE25" i="109"/>
  <c r="AD25" i="109"/>
  <c r="AC25" i="109"/>
  <c r="AB25" i="109"/>
  <c r="AA25" i="109"/>
  <c r="Z25" i="109"/>
  <c r="Y25" i="109"/>
  <c r="X25" i="109" s="1"/>
  <c r="W25" i="109"/>
  <c r="V25" i="109"/>
  <c r="U25" i="109"/>
  <c r="T25" i="109"/>
  <c r="AE24" i="109"/>
  <c r="AD24" i="109"/>
  <c r="AC24" i="109"/>
  <c r="AB24" i="109"/>
  <c r="AA24" i="109"/>
  <c r="Y24" i="109" s="1"/>
  <c r="X24" i="109" s="1"/>
  <c r="Z24" i="109"/>
  <c r="W24" i="109"/>
  <c r="V24" i="109"/>
  <c r="U24" i="109"/>
  <c r="T24" i="109"/>
  <c r="S24" i="109"/>
  <c r="R24" i="109" s="1"/>
  <c r="AE23" i="109"/>
  <c r="AD23" i="109"/>
  <c r="AC23" i="109"/>
  <c r="AB23" i="109"/>
  <c r="AA23" i="109"/>
  <c r="Z23" i="109"/>
  <c r="Y23" i="109" s="1"/>
  <c r="X23" i="109" s="1"/>
  <c r="W23" i="109"/>
  <c r="V23" i="109"/>
  <c r="U23" i="109"/>
  <c r="S23" i="109" s="1"/>
  <c r="R23" i="109" s="1"/>
  <c r="Q23" i="109" s="1"/>
  <c r="T23" i="109"/>
  <c r="AE22" i="109"/>
  <c r="AD22" i="109"/>
  <c r="AC22" i="109"/>
  <c r="AB22" i="109"/>
  <c r="AA22" i="109"/>
  <c r="Z22" i="109"/>
  <c r="Y22" i="109"/>
  <c r="X22" i="109" s="1"/>
  <c r="W22" i="109"/>
  <c r="V22" i="109"/>
  <c r="U22" i="109"/>
  <c r="T22" i="109"/>
  <c r="S22" i="109" s="1"/>
  <c r="R22" i="109" s="1"/>
  <c r="Q22" i="109" s="1"/>
  <c r="AE21" i="109"/>
  <c r="AD21" i="109"/>
  <c r="AC21" i="109"/>
  <c r="AB21" i="109"/>
  <c r="AA21" i="109"/>
  <c r="Z21" i="109"/>
  <c r="W21" i="109"/>
  <c r="V21" i="109"/>
  <c r="U21" i="109"/>
  <c r="S21" i="109" s="1"/>
  <c r="R21" i="109" s="1"/>
  <c r="T21" i="109"/>
  <c r="AE20" i="109"/>
  <c r="AD20" i="109"/>
  <c r="AC20" i="109"/>
  <c r="AB20" i="109"/>
  <c r="AA20" i="109"/>
  <c r="Z20" i="109"/>
  <c r="Y20" i="109" s="1"/>
  <c r="X20" i="109" s="1"/>
  <c r="W20" i="109"/>
  <c r="V20" i="109"/>
  <c r="U20" i="109"/>
  <c r="T20" i="109"/>
  <c r="AE19" i="109"/>
  <c r="AD19" i="109"/>
  <c r="AC19" i="109"/>
  <c r="AB19" i="109"/>
  <c r="AA19" i="109"/>
  <c r="Z19" i="109"/>
  <c r="Y19" i="109"/>
  <c r="X19" i="109" s="1"/>
  <c r="W19" i="109"/>
  <c r="V19" i="109"/>
  <c r="U19" i="109"/>
  <c r="T19" i="109"/>
  <c r="S19" i="109"/>
  <c r="R19" i="109" s="1"/>
  <c r="Q19" i="109" s="1"/>
  <c r="AE18" i="109"/>
  <c r="AD18" i="109"/>
  <c r="AC18" i="109"/>
  <c r="AB18" i="109"/>
  <c r="AA18" i="109"/>
  <c r="Z18" i="109"/>
  <c r="Y18" i="109" s="1"/>
  <c r="X18" i="109" s="1"/>
  <c r="W18" i="109"/>
  <c r="V18" i="109"/>
  <c r="U18" i="109"/>
  <c r="S18" i="109" s="1"/>
  <c r="R18" i="109" s="1"/>
  <c r="Q18" i="109" s="1"/>
  <c r="T18" i="109"/>
  <c r="AE17" i="109"/>
  <c r="AD17" i="109"/>
  <c r="AC17" i="109"/>
  <c r="AB17" i="109"/>
  <c r="AA17" i="109"/>
  <c r="Z17" i="109"/>
  <c r="Y17" i="109"/>
  <c r="X17" i="109" s="1"/>
  <c r="W17" i="109"/>
  <c r="V17" i="109"/>
  <c r="U17" i="109"/>
  <c r="T17" i="109"/>
  <c r="S17" i="109" s="1"/>
  <c r="R17" i="109" s="1"/>
  <c r="Q17" i="109" s="1"/>
  <c r="AE16" i="109"/>
  <c r="AD16" i="109"/>
  <c r="AC16" i="109"/>
  <c r="AB16" i="109"/>
  <c r="AA16" i="109"/>
  <c r="Y16" i="109" s="1"/>
  <c r="X16" i="109" s="1"/>
  <c r="Z16" i="109"/>
  <c r="W16" i="109"/>
  <c r="V16" i="109"/>
  <c r="U16" i="109"/>
  <c r="T16" i="109"/>
  <c r="S16" i="109"/>
  <c r="R16" i="109" s="1"/>
  <c r="Q16" i="109" s="1"/>
  <c r="AE15" i="109"/>
  <c r="AD15" i="109"/>
  <c r="AC15" i="109"/>
  <c r="AB15" i="109"/>
  <c r="AA15" i="109"/>
  <c r="Z15" i="109"/>
  <c r="Y15" i="109" s="1"/>
  <c r="X15" i="109"/>
  <c r="W15" i="109"/>
  <c r="V15" i="109"/>
  <c r="U15" i="109"/>
  <c r="T15" i="109"/>
  <c r="AE14" i="109"/>
  <c r="AD14" i="109"/>
  <c r="AC14" i="109"/>
  <c r="AB14" i="109"/>
  <c r="Y14" i="109" s="1"/>
  <c r="X14" i="109" s="1"/>
  <c r="AA14" i="109"/>
  <c r="Z14" i="109"/>
  <c r="W14" i="109"/>
  <c r="V14" i="109"/>
  <c r="U14" i="109"/>
  <c r="T14" i="109"/>
  <c r="AE13" i="109"/>
  <c r="AD13" i="109"/>
  <c r="AC13" i="109"/>
  <c r="AB13" i="109"/>
  <c r="AA13" i="109"/>
  <c r="Y13" i="109" s="1"/>
  <c r="X13" i="109" s="1"/>
  <c r="Z13" i="109"/>
  <c r="W13" i="109"/>
  <c r="V13" i="109"/>
  <c r="S13" i="109" s="1"/>
  <c r="R13" i="109" s="1"/>
  <c r="Q13" i="109" s="1"/>
  <c r="U13" i="109"/>
  <c r="T13" i="109"/>
  <c r="L6" i="109"/>
  <c r="L5" i="109"/>
  <c r="AI1" i="109"/>
  <c r="M80" i="121" s="1"/>
  <c r="B1" i="109"/>
  <c r="A39" i="43"/>
  <c r="H34" i="43"/>
  <c r="F23" i="66" s="1"/>
  <c r="W33" i="43"/>
  <c r="V33" i="43"/>
  <c r="U33" i="43"/>
  <c r="T33" i="43"/>
  <c r="W32" i="43"/>
  <c r="V32" i="43"/>
  <c r="U32" i="43"/>
  <c r="T32" i="43"/>
  <c r="W31" i="43"/>
  <c r="V31" i="43"/>
  <c r="S31" i="43" s="1"/>
  <c r="R31" i="43" s="1"/>
  <c r="Q31" i="43" s="1"/>
  <c r="U31" i="43"/>
  <c r="T31" i="43"/>
  <c r="W30" i="43"/>
  <c r="V30" i="43"/>
  <c r="U30" i="43"/>
  <c r="T30" i="43"/>
  <c r="W29" i="43"/>
  <c r="V29" i="43"/>
  <c r="U29" i="43"/>
  <c r="T29" i="43"/>
  <c r="W28" i="43"/>
  <c r="V28" i="43"/>
  <c r="U28" i="43"/>
  <c r="T28" i="43"/>
  <c r="W27" i="43"/>
  <c r="V27" i="43"/>
  <c r="U27" i="43"/>
  <c r="T27" i="43"/>
  <c r="H21" i="43"/>
  <c r="F140" i="68" s="1"/>
  <c r="F139" i="90" s="1"/>
  <c r="W20" i="43"/>
  <c r="V20" i="43"/>
  <c r="U20" i="43"/>
  <c r="T20" i="43"/>
  <c r="W19" i="43"/>
  <c r="V19" i="43"/>
  <c r="U19" i="43"/>
  <c r="T19" i="43"/>
  <c r="W18" i="43"/>
  <c r="V18" i="43"/>
  <c r="U18" i="43"/>
  <c r="T18" i="43"/>
  <c r="W17" i="43"/>
  <c r="V17" i="43"/>
  <c r="U17" i="43"/>
  <c r="T17" i="43"/>
  <c r="W16" i="43"/>
  <c r="V16" i="43"/>
  <c r="U16" i="43"/>
  <c r="T16" i="43"/>
  <c r="W15" i="43"/>
  <c r="V15" i="43"/>
  <c r="U15" i="43"/>
  <c r="T15" i="43"/>
  <c r="W14" i="43"/>
  <c r="V14" i="43"/>
  <c r="U14" i="43"/>
  <c r="T14" i="43"/>
  <c r="P6" i="43"/>
  <c r="P5" i="43"/>
  <c r="Q1" i="43"/>
  <c r="B1" i="43"/>
  <c r="A37" i="42"/>
  <c r="H31" i="42"/>
  <c r="F110" i="66" s="1"/>
  <c r="F110" i="72" s="1"/>
  <c r="P7" i="42"/>
  <c r="P6" i="42"/>
  <c r="Q1" i="42"/>
  <c r="B1" i="42"/>
  <c r="A38" i="41"/>
  <c r="H33" i="41"/>
  <c r="F56" i="68" s="1"/>
  <c r="F55" i="90" s="1"/>
  <c r="H24" i="41"/>
  <c r="F24" i="66" s="1"/>
  <c r="F24" i="72" s="1"/>
  <c r="P7" i="41"/>
  <c r="P6" i="41"/>
  <c r="Q1" i="41"/>
  <c r="B1" i="41"/>
  <c r="A37" i="40"/>
  <c r="H31" i="40"/>
  <c r="F112" i="66" s="1"/>
  <c r="P7" i="40"/>
  <c r="P6" i="40"/>
  <c r="B2" i="40"/>
  <c r="Q1" i="40"/>
  <c r="B1" i="40"/>
  <c r="A37" i="39"/>
  <c r="H31" i="39"/>
  <c r="F56" i="66" s="1"/>
  <c r="F56" i="72" s="1"/>
  <c r="H25" i="39"/>
  <c r="F27" i="68" s="1"/>
  <c r="F26" i="90" s="1"/>
  <c r="P7" i="39"/>
  <c r="P6" i="39"/>
  <c r="B2" i="39"/>
  <c r="Q1" i="39"/>
  <c r="B1" i="39"/>
  <c r="A37" i="38"/>
  <c r="H31" i="38"/>
  <c r="P7" i="38"/>
  <c r="P6" i="38"/>
  <c r="Q1" i="38"/>
  <c r="B1" i="38"/>
  <c r="H30" i="37"/>
  <c r="L7" i="37"/>
  <c r="L6" i="37"/>
  <c r="R1" i="37"/>
  <c r="B1" i="37"/>
  <c r="A38" i="36"/>
  <c r="H32" i="36"/>
  <c r="R31" i="36"/>
  <c r="P31" i="36"/>
  <c r="L31" i="36"/>
  <c r="R30" i="36"/>
  <c r="P30" i="36"/>
  <c r="L30" i="36"/>
  <c r="R29" i="36"/>
  <c r="P29" i="36"/>
  <c r="L29" i="36"/>
  <c r="R28" i="36"/>
  <c r="P28" i="36"/>
  <c r="L28" i="36"/>
  <c r="R27" i="36"/>
  <c r="P27" i="36"/>
  <c r="L27" i="36"/>
  <c r="R26" i="36"/>
  <c r="P26" i="36"/>
  <c r="L26" i="36"/>
  <c r="R25" i="36"/>
  <c r="P25" i="36"/>
  <c r="L25" i="36"/>
  <c r="R24" i="36"/>
  <c r="P24" i="36"/>
  <c r="L24" i="36"/>
  <c r="R23" i="36"/>
  <c r="P23" i="36"/>
  <c r="L23" i="36"/>
  <c r="R22" i="36"/>
  <c r="P22" i="36"/>
  <c r="L22" i="36"/>
  <c r="R21" i="36"/>
  <c r="P21" i="36"/>
  <c r="L21" i="36"/>
  <c r="R20" i="36"/>
  <c r="P20" i="36"/>
  <c r="L20" i="36"/>
  <c r="R19" i="36"/>
  <c r="P19" i="36"/>
  <c r="L19" i="36"/>
  <c r="R18" i="36"/>
  <c r="P18" i="36"/>
  <c r="L18" i="36"/>
  <c r="R17" i="36"/>
  <c r="P17" i="36"/>
  <c r="L17" i="36"/>
  <c r="R16" i="36"/>
  <c r="P16" i="36"/>
  <c r="L16" i="36"/>
  <c r="R15" i="36"/>
  <c r="P15" i="36"/>
  <c r="L15" i="36"/>
  <c r="R14" i="36"/>
  <c r="P14" i="36"/>
  <c r="L14" i="36"/>
  <c r="R13" i="36"/>
  <c r="P13" i="36"/>
  <c r="L13" i="36"/>
  <c r="P12" i="36"/>
  <c r="L12" i="36"/>
  <c r="O7" i="36"/>
  <c r="O6" i="36"/>
  <c r="K2" i="36"/>
  <c r="U1" i="36"/>
  <c r="B1" i="36"/>
  <c r="F64" i="98"/>
  <c r="F63" i="98"/>
  <c r="F62" i="98"/>
  <c r="D60" i="98"/>
  <c r="B60" i="98"/>
  <c r="F60" i="98" s="1"/>
  <c r="F59" i="98"/>
  <c r="F58" i="98"/>
  <c r="F57" i="98"/>
  <c r="F56" i="98"/>
  <c r="F55" i="98"/>
  <c r="F54" i="98"/>
  <c r="F53" i="98"/>
  <c r="F52" i="98"/>
  <c r="D49" i="98"/>
  <c r="D66" i="98" s="1"/>
  <c r="B49" i="98"/>
  <c r="F48" i="98"/>
  <c r="F46" i="98"/>
  <c r="F45" i="98"/>
  <c r="F44" i="98"/>
  <c r="F43" i="98"/>
  <c r="F49" i="98" s="1"/>
  <c r="D39" i="98"/>
  <c r="F37" i="98"/>
  <c r="F36" i="98"/>
  <c r="F35" i="98"/>
  <c r="F33" i="98"/>
  <c r="F31" i="98"/>
  <c r="F30" i="98"/>
  <c r="F28" i="98"/>
  <c r="F27" i="98"/>
  <c r="F25" i="98"/>
  <c r="F23" i="98"/>
  <c r="F22" i="98"/>
  <c r="F21" i="98"/>
  <c r="F20" i="98"/>
  <c r="F18" i="98"/>
  <c r="F17" i="98"/>
  <c r="F8" i="98"/>
  <c r="F7" i="98"/>
  <c r="I2" i="98"/>
  <c r="A1" i="98"/>
  <c r="F81" i="35"/>
  <c r="F80" i="35"/>
  <c r="F79" i="35"/>
  <c r="F78" i="35"/>
  <c r="D76" i="35"/>
  <c r="B76" i="35"/>
  <c r="F76" i="35" s="1"/>
  <c r="F75" i="35"/>
  <c r="F74" i="35"/>
  <c r="F73" i="35"/>
  <c r="F72" i="35"/>
  <c r="F71" i="35"/>
  <c r="F70" i="35"/>
  <c r="F69" i="35"/>
  <c r="F68" i="35"/>
  <c r="F67" i="35"/>
  <c r="F66" i="35"/>
  <c r="F62" i="35"/>
  <c r="D62" i="35"/>
  <c r="D83" i="35" s="1"/>
  <c r="B62" i="35"/>
  <c r="F61" i="35"/>
  <c r="F60" i="35"/>
  <c r="F58" i="35"/>
  <c r="F57" i="35"/>
  <c r="F56" i="35"/>
  <c r="F55" i="35"/>
  <c r="F54" i="35"/>
  <c r="F53" i="35"/>
  <c r="F52" i="35"/>
  <c r="F51" i="35"/>
  <c r="F50" i="35"/>
  <c r="F49" i="35"/>
  <c r="F48" i="35"/>
  <c r="F46" i="35"/>
  <c r="F44" i="35"/>
  <c r="F43" i="35"/>
  <c r="F42" i="35"/>
  <c r="F41" i="35"/>
  <c r="D36" i="35"/>
  <c r="D34" i="35"/>
  <c r="B34" i="35"/>
  <c r="F33" i="35"/>
  <c r="F32" i="35"/>
  <c r="F34" i="35" s="1"/>
  <c r="F31" i="35"/>
  <c r="F29" i="35"/>
  <c r="D27" i="35"/>
  <c r="B27" i="35"/>
  <c r="F26" i="35"/>
  <c r="F27" i="35" s="1"/>
  <c r="F25" i="35"/>
  <c r="F22" i="35"/>
  <c r="D20" i="35"/>
  <c r="B20" i="35"/>
  <c r="F19" i="35"/>
  <c r="F18" i="35"/>
  <c r="F20" i="35" s="1"/>
  <c r="F8" i="35"/>
  <c r="F7" i="35"/>
  <c r="I2" i="35"/>
  <c r="A2" i="35"/>
  <c r="A1" i="35"/>
  <c r="C33" i="118"/>
  <c r="N8" i="118"/>
  <c r="N7" i="118"/>
  <c r="U1" i="118"/>
  <c r="A1" i="118"/>
  <c r="L37" i="94"/>
  <c r="C40" i="94" s="1"/>
  <c r="I37" i="94"/>
  <c r="J38" i="94" s="1"/>
  <c r="A43" i="94" s="1"/>
  <c r="F37" i="94"/>
  <c r="C37" i="94"/>
  <c r="L8" i="94"/>
  <c r="L7" i="94"/>
  <c r="R5" i="94"/>
  <c r="A1" i="94"/>
  <c r="J39" i="34"/>
  <c r="A41" i="34" s="1"/>
  <c r="L37" i="34"/>
  <c r="M39" i="34" s="1"/>
  <c r="I37" i="34"/>
  <c r="F37" i="34"/>
  <c r="C37" i="34"/>
  <c r="L8" i="34"/>
  <c r="L7" i="34"/>
  <c r="R5" i="34"/>
  <c r="A1" i="34"/>
  <c r="B19" i="33"/>
  <c r="H18" i="33"/>
  <c r="I8" i="33"/>
  <c r="I7" i="33"/>
  <c r="B2" i="33"/>
  <c r="B1" i="33"/>
  <c r="F35" i="32"/>
  <c r="A26" i="32"/>
  <c r="I23" i="32"/>
  <c r="H23" i="32"/>
  <c r="G23" i="32"/>
  <c r="F23" i="32"/>
  <c r="E23" i="32"/>
  <c r="C7" i="32"/>
  <c r="C6" i="32"/>
  <c r="I3" i="32"/>
  <c r="B2" i="32"/>
  <c r="B1" i="32"/>
  <c r="H47" i="31"/>
  <c r="G47" i="31"/>
  <c r="F47" i="31"/>
  <c r="E47" i="31"/>
  <c r="H45" i="31"/>
  <c r="H46" i="31" s="1"/>
  <c r="G45" i="31"/>
  <c r="G46" i="31" s="1"/>
  <c r="F45" i="31"/>
  <c r="F46" i="31" s="1"/>
  <c r="E45" i="31"/>
  <c r="D45" i="31"/>
  <c r="D46" i="31" s="1"/>
  <c r="E46" i="31"/>
  <c r="F9" i="31"/>
  <c r="F8" i="31"/>
  <c r="H5" i="31"/>
  <c r="A1" i="31"/>
  <c r="H46" i="30"/>
  <c r="G46" i="30"/>
  <c r="F46" i="30"/>
  <c r="E46" i="30"/>
  <c r="H45" i="30"/>
  <c r="G45" i="30"/>
  <c r="H44" i="30"/>
  <c r="G44" i="30"/>
  <c r="F44" i="30"/>
  <c r="F45" i="30" s="1"/>
  <c r="E44" i="30"/>
  <c r="D44" i="30"/>
  <c r="D45" i="30" s="1"/>
  <c r="H43" i="30"/>
  <c r="G43" i="30"/>
  <c r="F43" i="30"/>
  <c r="E43" i="30"/>
  <c r="E45" i="30" s="1"/>
  <c r="D43" i="30"/>
  <c r="H35" i="30"/>
  <c r="G35" i="30"/>
  <c r="F35" i="30"/>
  <c r="E35" i="30"/>
  <c r="D35" i="30"/>
  <c r="F9" i="30"/>
  <c r="F8" i="30"/>
  <c r="H5" i="30"/>
  <c r="A1" i="30"/>
  <c r="H47" i="29"/>
  <c r="G47" i="29"/>
  <c r="F47" i="29"/>
  <c r="E47" i="29"/>
  <c r="G46" i="29"/>
  <c r="D46" i="29"/>
  <c r="H45" i="29"/>
  <c r="H46" i="29" s="1"/>
  <c r="G45" i="29"/>
  <c r="F45" i="29"/>
  <c r="E45" i="29"/>
  <c r="D45" i="29"/>
  <c r="F46" i="29"/>
  <c r="E46" i="29"/>
  <c r="H36" i="29"/>
  <c r="G36" i="29"/>
  <c r="F36" i="29"/>
  <c r="E36" i="29"/>
  <c r="D36" i="29"/>
  <c r="F9" i="29"/>
  <c r="F8" i="29"/>
  <c r="H5" i="29"/>
  <c r="A1" i="29"/>
  <c r="G49" i="28"/>
  <c r="D49" i="28"/>
  <c r="H48" i="28"/>
  <c r="H49" i="28" s="1"/>
  <c r="G48" i="28"/>
  <c r="F48" i="28"/>
  <c r="E48" i="28"/>
  <c r="D48" i="28"/>
  <c r="H47" i="28"/>
  <c r="G47" i="28"/>
  <c r="F47" i="28"/>
  <c r="F49" i="28" s="1"/>
  <c r="E47" i="28"/>
  <c r="E49" i="28" s="1"/>
  <c r="D47" i="28"/>
  <c r="H39" i="28"/>
  <c r="G39" i="28"/>
  <c r="F39" i="28"/>
  <c r="E39" i="28"/>
  <c r="D39" i="28"/>
  <c r="F9" i="28"/>
  <c r="F8" i="28"/>
  <c r="H5" i="28"/>
  <c r="A2" i="28"/>
  <c r="A1" i="28"/>
  <c r="G20" i="120"/>
  <c r="D20" i="120"/>
  <c r="A2" i="120"/>
  <c r="L1" i="120"/>
  <c r="A1" i="120"/>
  <c r="G21" i="119"/>
  <c r="D21" i="119"/>
  <c r="I8" i="119"/>
  <c r="I7" i="119"/>
  <c r="L1" i="119"/>
  <c r="A1" i="119"/>
  <c r="I15" i="26"/>
  <c r="I14" i="26"/>
  <c r="G8" i="26"/>
  <c r="G7" i="26"/>
  <c r="J1" i="26"/>
  <c r="A1" i="26"/>
  <c r="A20" i="25"/>
  <c r="A19" i="25"/>
  <c r="A17" i="25"/>
  <c r="A16" i="25"/>
  <c r="J8" i="25"/>
  <c r="J7" i="25"/>
  <c r="L1" i="25"/>
  <c r="A1" i="25"/>
  <c r="A51" i="24"/>
  <c r="K44" i="24"/>
  <c r="G29" i="24"/>
  <c r="J8" i="24"/>
  <c r="J7" i="24"/>
  <c r="M1" i="24"/>
  <c r="B1" i="24"/>
  <c r="G49" i="23"/>
  <c r="G39" i="23"/>
  <c r="G8" i="23"/>
  <c r="G7" i="23"/>
  <c r="H1" i="23"/>
  <c r="A1" i="23"/>
  <c r="A57" i="22"/>
  <c r="J54" i="22"/>
  <c r="I40" i="22"/>
  <c r="B40" i="22"/>
  <c r="I31" i="22"/>
  <c r="B31" i="22"/>
  <c r="H8" i="22"/>
  <c r="H7" i="22"/>
  <c r="L1" i="22"/>
  <c r="B1" i="22"/>
  <c r="I27" i="21"/>
  <c r="I22" i="21"/>
  <c r="L8" i="21"/>
  <c r="L7" i="21"/>
  <c r="A2" i="21"/>
  <c r="R1" i="21"/>
  <c r="A1" i="21"/>
  <c r="I22" i="20"/>
  <c r="I27" i="20" s="1"/>
  <c r="L8" i="20"/>
  <c r="L7" i="20"/>
  <c r="R1" i="20"/>
  <c r="A1" i="20"/>
  <c r="I31" i="19"/>
  <c r="K77" i="101" s="1"/>
  <c r="Y77" i="101" s="1"/>
  <c r="I24" i="19"/>
  <c r="I12" i="19"/>
  <c r="L8" i="19"/>
  <c r="L7" i="19"/>
  <c r="R1" i="19"/>
  <c r="A1" i="19"/>
  <c r="G12" i="95"/>
  <c r="G11" i="95"/>
  <c r="A2" i="95"/>
  <c r="J1" i="95"/>
  <c r="M64" i="121" s="1"/>
  <c r="A1" i="95"/>
  <c r="M65" i="18"/>
  <c r="M56" i="18"/>
  <c r="M58" i="18" s="1"/>
  <c r="B39" i="18"/>
  <c r="K20" i="18"/>
  <c r="B16" i="18"/>
  <c r="K8" i="18"/>
  <c r="K7" i="18"/>
  <c r="O1" i="18"/>
  <c r="M63" i="121" s="1"/>
  <c r="B1" i="18"/>
  <c r="B72" i="17"/>
  <c r="D45" i="17"/>
  <c r="O42" i="17"/>
  <c r="O40" i="17"/>
  <c r="M40" i="17"/>
  <c r="K40" i="17"/>
  <c r="I40" i="17"/>
  <c r="G40" i="17"/>
  <c r="O37" i="17"/>
  <c r="O41" i="17" s="1"/>
  <c r="M37" i="17"/>
  <c r="K37" i="17"/>
  <c r="K41" i="17" s="1"/>
  <c r="I37" i="17"/>
  <c r="G37" i="17"/>
  <c r="O18" i="17"/>
  <c r="I18" i="17"/>
  <c r="G16" i="17"/>
  <c r="I16" i="17" s="1"/>
  <c r="K16" i="17" s="1"/>
  <c r="M16" i="17" s="1"/>
  <c r="O16" i="17" s="1"/>
  <c r="K8" i="17"/>
  <c r="K7" i="17"/>
  <c r="P1" i="17"/>
  <c r="C1" i="17"/>
  <c r="A111" i="115"/>
  <c r="I8" i="115"/>
  <c r="I7" i="115"/>
  <c r="L1" i="115"/>
  <c r="B1" i="115"/>
  <c r="I22" i="16"/>
  <c r="J8" i="16"/>
  <c r="J7" i="16"/>
  <c r="N1" i="16"/>
  <c r="M62" i="121" s="1"/>
  <c r="A1" i="16"/>
  <c r="A72" i="15"/>
  <c r="B54" i="15"/>
  <c r="U46" i="15"/>
  <c r="K46" i="15"/>
  <c r="I46" i="15"/>
  <c r="G46" i="15"/>
  <c r="V45" i="15"/>
  <c r="T45" i="15"/>
  <c r="U45" i="15" s="1"/>
  <c r="T44" i="15"/>
  <c r="V44" i="15" s="1"/>
  <c r="T43" i="15"/>
  <c r="V43" i="15" s="1"/>
  <c r="V42" i="15"/>
  <c r="U42" i="15"/>
  <c r="T42" i="15"/>
  <c r="V41" i="15"/>
  <c r="T41" i="15"/>
  <c r="U41" i="15" s="1"/>
  <c r="T40" i="15"/>
  <c r="V40" i="15" s="1"/>
  <c r="T39" i="15"/>
  <c r="V39" i="15" s="1"/>
  <c r="V38" i="15"/>
  <c r="T38" i="15"/>
  <c r="U38" i="15" s="1"/>
  <c r="T37" i="15"/>
  <c r="U37" i="15" s="1"/>
  <c r="T36" i="15"/>
  <c r="V36" i="15" s="1"/>
  <c r="T35" i="15"/>
  <c r="V35" i="15" s="1"/>
  <c r="V34" i="15"/>
  <c r="T34" i="15"/>
  <c r="U34" i="15" s="1"/>
  <c r="T33" i="15"/>
  <c r="U33" i="15" s="1"/>
  <c r="E33" i="15"/>
  <c r="E34" i="15" s="1"/>
  <c r="D33" i="15"/>
  <c r="A19" i="15"/>
  <c r="A17" i="15"/>
  <c r="A15" i="15"/>
  <c r="I10" i="15"/>
  <c r="I9" i="15"/>
  <c r="S1" i="15"/>
  <c r="B1" i="15"/>
  <c r="A75" i="14"/>
  <c r="B52" i="14"/>
  <c r="S46" i="14"/>
  <c r="I46" i="14"/>
  <c r="G46" i="14"/>
  <c r="S45" i="14"/>
  <c r="R45" i="14"/>
  <c r="T45" i="14" s="1"/>
  <c r="R44" i="14"/>
  <c r="S44" i="14" s="1"/>
  <c r="R43" i="14"/>
  <c r="T43" i="14" s="1"/>
  <c r="R42" i="14"/>
  <c r="T42" i="14" s="1"/>
  <c r="T41" i="14"/>
  <c r="S41" i="14"/>
  <c r="R41" i="14"/>
  <c r="R40" i="14"/>
  <c r="S40" i="14" s="1"/>
  <c r="R39" i="14"/>
  <c r="T39" i="14" s="1"/>
  <c r="R38" i="14"/>
  <c r="S38" i="14" s="1"/>
  <c r="T37" i="14"/>
  <c r="S37" i="14"/>
  <c r="R37" i="14"/>
  <c r="R36" i="14"/>
  <c r="S36" i="14" s="1"/>
  <c r="R35" i="14"/>
  <c r="T35" i="14" s="1"/>
  <c r="S34" i="14"/>
  <c r="R34" i="14"/>
  <c r="T34" i="14" s="1"/>
  <c r="R33" i="14"/>
  <c r="S33" i="14" s="1"/>
  <c r="E33" i="14"/>
  <c r="D33" i="14" s="1"/>
  <c r="A23" i="14"/>
  <c r="A19" i="14"/>
  <c r="A17" i="14"/>
  <c r="A15" i="14"/>
  <c r="I10" i="14"/>
  <c r="I9" i="14"/>
  <c r="Q1" i="14"/>
  <c r="B1" i="14"/>
  <c r="A48" i="13"/>
  <c r="M13" i="13"/>
  <c r="E13" i="13"/>
  <c r="K9" i="13"/>
  <c r="K8" i="13"/>
  <c r="P1" i="13"/>
  <c r="B1" i="13"/>
  <c r="A46" i="12"/>
  <c r="M39" i="12"/>
  <c r="M38" i="12"/>
  <c r="M37" i="12"/>
  <c r="M36" i="12"/>
  <c r="M35" i="12"/>
  <c r="M34" i="12"/>
  <c r="M33" i="12"/>
  <c r="M32" i="12"/>
  <c r="M31" i="12"/>
  <c r="I7" i="82" s="1"/>
  <c r="M30" i="12"/>
  <c r="M29" i="12"/>
  <c r="M28" i="12"/>
  <c r="M27" i="12"/>
  <c r="M26" i="12"/>
  <c r="M25" i="12"/>
  <c r="M24" i="12"/>
  <c r="M23" i="12"/>
  <c r="M22" i="12"/>
  <c r="M21" i="12"/>
  <c r="M20" i="12"/>
  <c r="M19" i="12"/>
  <c r="M18" i="12"/>
  <c r="M17" i="12"/>
  <c r="M13" i="12"/>
  <c r="E13" i="12"/>
  <c r="K9" i="12"/>
  <c r="K8" i="12"/>
  <c r="P1" i="12"/>
  <c r="M61" i="121" s="1"/>
  <c r="B1" i="12"/>
  <c r="B93" i="11"/>
  <c r="K47" i="11"/>
  <c r="I47" i="11"/>
  <c r="G47" i="11"/>
  <c r="AC29" i="11"/>
  <c r="AB29" i="11"/>
  <c r="AA29" i="11"/>
  <c r="Z29" i="11"/>
  <c r="Y29" i="11"/>
  <c r="X29" i="11"/>
  <c r="W29" i="11"/>
  <c r="V29" i="11"/>
  <c r="U29" i="11"/>
  <c r="T29" i="11"/>
  <c r="S29" i="11"/>
  <c r="R29" i="11"/>
  <c r="Q29" i="11"/>
  <c r="P29" i="11"/>
  <c r="O29" i="11"/>
  <c r="AB28" i="11"/>
  <c r="AA28" i="11"/>
  <c r="Z28" i="11"/>
  <c r="Y28" i="11"/>
  <c r="X28" i="11"/>
  <c r="W28" i="11"/>
  <c r="V28" i="11"/>
  <c r="U28" i="11"/>
  <c r="T28" i="11"/>
  <c r="S28" i="11"/>
  <c r="R28" i="11"/>
  <c r="Q28" i="11"/>
  <c r="P28" i="11"/>
  <c r="O28" i="11"/>
  <c r="D28" i="11"/>
  <c r="D29" i="11" s="1"/>
  <c r="D30" i="11" s="1"/>
  <c r="D31" i="11" s="1"/>
  <c r="D32" i="11" s="1"/>
  <c r="C33" i="11" s="1"/>
  <c r="G8" i="11"/>
  <c r="G7" i="11"/>
  <c r="C1" i="11"/>
  <c r="D8" i="10"/>
  <c r="D7" i="10"/>
  <c r="B2" i="10"/>
  <c r="H1" i="10"/>
  <c r="B1" i="10"/>
  <c r="M53" i="9"/>
  <c r="M40" i="9"/>
  <c r="J8" i="9"/>
  <c r="J7" i="9"/>
  <c r="N1" i="9"/>
  <c r="A1" i="9"/>
  <c r="A35" i="8"/>
  <c r="I32" i="8"/>
  <c r="G213" i="66"/>
  <c r="Q22" i="8"/>
  <c r="Q21" i="8"/>
  <c r="V16" i="8"/>
  <c r="O16" i="8"/>
  <c r="Q16" i="8" s="1"/>
  <c r="Q14" i="8"/>
  <c r="G14" i="8"/>
  <c r="I8" i="8"/>
  <c r="I7" i="8"/>
  <c r="B2" i="8"/>
  <c r="R1" i="8"/>
  <c r="B1" i="8"/>
  <c r="T50" i="113"/>
  <c r="T28" i="113"/>
  <c r="T16" i="113"/>
  <c r="P10" i="113"/>
  <c r="P9" i="113"/>
  <c r="C2" i="113"/>
  <c r="T1" i="113"/>
  <c r="C1" i="113"/>
  <c r="T72" i="112"/>
  <c r="T69" i="112"/>
  <c r="O63" i="112"/>
  <c r="T57" i="112"/>
  <c r="O55" i="112"/>
  <c r="T49" i="112"/>
  <c r="T47" i="112"/>
  <c r="T44" i="112"/>
  <c r="T41" i="112"/>
  <c r="M41" i="112"/>
  <c r="O34" i="112"/>
  <c r="T32" i="112"/>
  <c r="T28" i="112"/>
  <c r="T26" i="112"/>
  <c r="T23" i="112"/>
  <c r="T18" i="112"/>
  <c r="T14" i="112"/>
  <c r="O10" i="112"/>
  <c r="O9" i="112"/>
  <c r="B2" i="112"/>
  <c r="T1" i="112"/>
  <c r="B1" i="112"/>
  <c r="A53" i="5"/>
  <c r="W42" i="5"/>
  <c r="F42" i="5" s="1"/>
  <c r="S41" i="5"/>
  <c r="Q41" i="5"/>
  <c r="O41" i="5"/>
  <c r="M41" i="5"/>
  <c r="K41" i="5"/>
  <c r="I41" i="5"/>
  <c r="G41" i="5"/>
  <c r="E41" i="5"/>
  <c r="T32" i="5"/>
  <c r="T31" i="5"/>
  <c r="AA19" i="5"/>
  <c r="T16" i="5"/>
  <c r="D16" i="5"/>
  <c r="N9" i="5"/>
  <c r="N8" i="5"/>
  <c r="B2" i="5"/>
  <c r="U1" i="5"/>
  <c r="B1" i="5"/>
  <c r="A79" i="97"/>
  <c r="F31" i="97"/>
  <c r="H8" i="97"/>
  <c r="H7" i="97"/>
  <c r="B2" i="97"/>
  <c r="B1" i="97"/>
  <c r="A78" i="89"/>
  <c r="F37" i="89"/>
  <c r="H8" i="89"/>
  <c r="H7" i="89"/>
  <c r="B1" i="89"/>
  <c r="I8" i="4"/>
  <c r="I7" i="4"/>
  <c r="K1" i="4"/>
  <c r="B1" i="4"/>
  <c r="A71" i="3"/>
  <c r="N67" i="3"/>
  <c r="N62" i="3"/>
  <c r="N58" i="3"/>
  <c r="N52" i="3"/>
  <c r="N50" i="3"/>
  <c r="N25" i="3"/>
  <c r="N17" i="3"/>
  <c r="I8" i="3"/>
  <c r="I7" i="3"/>
  <c r="B2" i="3"/>
  <c r="M1" i="3"/>
  <c r="B1" i="3"/>
  <c r="D113" i="2"/>
  <c r="D112" i="2"/>
  <c r="D111" i="2"/>
  <c r="D110" i="2"/>
  <c r="D109" i="2"/>
  <c r="D108" i="2"/>
  <c r="D107" i="2"/>
  <c r="D101" i="2"/>
  <c r="D98" i="2"/>
  <c r="D96" i="2"/>
  <c r="D95" i="2"/>
  <c r="D94" i="2"/>
  <c r="D93" i="2"/>
  <c r="D92" i="2"/>
  <c r="D91" i="2"/>
  <c r="D90" i="2"/>
  <c r="D89" i="2"/>
  <c r="D88" i="2"/>
  <c r="D87" i="2"/>
  <c r="D85" i="2"/>
  <c r="D84" i="2"/>
  <c r="D83" i="2"/>
  <c r="D82" i="2"/>
  <c r="D81" i="2"/>
  <c r="D80" i="2"/>
  <c r="D79" i="2"/>
  <c r="D77" i="2"/>
  <c r="D76" i="2"/>
  <c r="D70" i="2"/>
  <c r="D69" i="2"/>
  <c r="D68" i="2"/>
  <c r="D67" i="2"/>
  <c r="D66" i="2"/>
  <c r="D65" i="2"/>
  <c r="D64" i="2"/>
  <c r="D63" i="2"/>
  <c r="D62" i="2"/>
  <c r="D61" i="2"/>
  <c r="D59" i="2"/>
  <c r="D58" i="2"/>
  <c r="D56" i="2"/>
  <c r="D55" i="2"/>
  <c r="D54" i="2"/>
  <c r="D53" i="2"/>
  <c r="D52" i="2"/>
  <c r="D47" i="2"/>
  <c r="D46" i="2"/>
  <c r="D45" i="2"/>
  <c r="D44" i="2"/>
  <c r="D39" i="2"/>
  <c r="D38" i="2"/>
  <c r="D37" i="2"/>
  <c r="D36" i="2"/>
  <c r="D33" i="2"/>
  <c r="D32" i="2"/>
  <c r="D31" i="2"/>
  <c r="D30" i="2"/>
  <c r="D29" i="2"/>
  <c r="D28" i="2"/>
  <c r="D27" i="2"/>
  <c r="D26" i="2"/>
  <c r="D25" i="2"/>
  <c r="D24" i="2"/>
  <c r="D21" i="2"/>
  <c r="D20" i="2"/>
  <c r="D19" i="2"/>
  <c r="D18" i="2"/>
  <c r="K14" i="2"/>
  <c r="K13" i="2"/>
  <c r="K12" i="2"/>
  <c r="E10" i="2"/>
  <c r="B2" i="85"/>
  <c r="B4" i="1"/>
  <c r="N29" i="77" l="1"/>
  <c r="N40" i="77"/>
  <c r="N72" i="77"/>
  <c r="N3" i="77"/>
  <c r="N41" i="77"/>
  <c r="N34" i="77"/>
  <c r="N42" i="77"/>
  <c r="N74" i="77"/>
  <c r="N35" i="77"/>
  <c r="N43" i="77"/>
  <c r="N75" i="77"/>
  <c r="N19" i="77"/>
  <c r="N27" i="77"/>
  <c r="N31" i="77"/>
  <c r="N36" i="77"/>
  <c r="N76" i="77"/>
  <c r="N69" i="77"/>
  <c r="N12" i="77"/>
  <c r="N28" i="77"/>
  <c r="N32" i="77"/>
  <c r="N38" i="77"/>
  <c r="N54" i="77"/>
  <c r="N70" i="77"/>
  <c r="N39" i="77"/>
  <c r="N55" i="77"/>
  <c r="N71" i="77"/>
  <c r="A26" i="77"/>
  <c r="S30" i="43"/>
  <c r="R30" i="43" s="1"/>
  <c r="Q30" i="43" s="1"/>
  <c r="S14" i="43"/>
  <c r="R14" i="43" s="1"/>
  <c r="Q14" i="43" s="1"/>
  <c r="M96" i="121"/>
  <c r="M95" i="121"/>
  <c r="M97" i="121"/>
  <c r="M94" i="121"/>
  <c r="M92" i="121"/>
  <c r="M91" i="121"/>
  <c r="M90" i="121"/>
  <c r="M89" i="121"/>
  <c r="M85" i="121"/>
  <c r="M86" i="121"/>
  <c r="M75" i="121"/>
  <c r="M76" i="121"/>
  <c r="M74" i="121"/>
  <c r="M73" i="121"/>
  <c r="M72" i="121"/>
  <c r="M71" i="121"/>
  <c r="M49" i="121"/>
  <c r="M45" i="121"/>
  <c r="M44" i="121"/>
  <c r="M46" i="121"/>
  <c r="M48" i="121"/>
  <c r="M51" i="121"/>
  <c r="M47" i="121"/>
  <c r="M50" i="121"/>
  <c r="M41" i="121"/>
  <c r="M40" i="121"/>
  <c r="M36" i="121"/>
  <c r="M43" i="121"/>
  <c r="M39" i="121"/>
  <c r="M35" i="121"/>
  <c r="M31" i="121"/>
  <c r="M34" i="121"/>
  <c r="M30" i="121"/>
  <c r="M37" i="121"/>
  <c r="M33" i="121"/>
  <c r="M29" i="121"/>
  <c r="M38" i="121"/>
  <c r="M42" i="121"/>
  <c r="A11" i="11"/>
  <c r="A46" i="11"/>
  <c r="M55" i="64"/>
  <c r="AH186" i="80"/>
  <c r="F25" i="72"/>
  <c r="H82" i="80"/>
  <c r="P82" i="80"/>
  <c r="J219" i="80"/>
  <c r="J242" i="80" s="1"/>
  <c r="J250" i="80" s="1"/>
  <c r="J253" i="80" s="1"/>
  <c r="R219" i="80"/>
  <c r="R242" i="80" s="1"/>
  <c r="R250" i="80" s="1"/>
  <c r="R253" i="80" s="1"/>
  <c r="C19" i="79" s="1"/>
  <c r="Z219" i="80"/>
  <c r="Z242" i="80" s="1"/>
  <c r="Z250" i="80" s="1"/>
  <c r="Z253" i="80" s="1"/>
  <c r="F219" i="80"/>
  <c r="F242" i="80" s="1"/>
  <c r="N219" i="80"/>
  <c r="N242" i="80" s="1"/>
  <c r="N250" i="80" s="1"/>
  <c r="N253" i="80" s="1"/>
  <c r="C14" i="79" s="1"/>
  <c r="P251" i="68" s="1"/>
  <c r="V219" i="80"/>
  <c r="V242" i="80" s="1"/>
  <c r="V250" i="80" s="1"/>
  <c r="V253" i="80" s="1"/>
  <c r="AD219" i="80"/>
  <c r="E219" i="80"/>
  <c r="M219" i="80"/>
  <c r="M242" i="80" s="1"/>
  <c r="M250" i="80" s="1"/>
  <c r="M253" i="80" s="1"/>
  <c r="C13" i="79" s="1"/>
  <c r="O251" i="68" s="1"/>
  <c r="U219" i="80"/>
  <c r="U242" i="80" s="1"/>
  <c r="U250" i="80" s="1"/>
  <c r="U253" i="80" s="1"/>
  <c r="C22" i="79" s="1"/>
  <c r="AC219" i="80"/>
  <c r="AC242" i="80" s="1"/>
  <c r="AC250" i="80" s="1"/>
  <c r="AC253" i="80" s="1"/>
  <c r="C30" i="79" s="1"/>
  <c r="I82" i="80"/>
  <c r="I84" i="80" s="1"/>
  <c r="Q82" i="80"/>
  <c r="Q84" i="80" s="1"/>
  <c r="Y82" i="80"/>
  <c r="Y84" i="80" s="1"/>
  <c r="AG82" i="80"/>
  <c r="AG84" i="80" s="1"/>
  <c r="L159" i="80"/>
  <c r="T159" i="80"/>
  <c r="AB159" i="80"/>
  <c r="K82" i="80"/>
  <c r="K84" i="80" s="1"/>
  <c r="S82" i="80"/>
  <c r="S84" i="80" s="1"/>
  <c r="AA82" i="80"/>
  <c r="AA84" i="80" s="1"/>
  <c r="V82" i="80"/>
  <c r="V84" i="80" s="1"/>
  <c r="AD242" i="80"/>
  <c r="AD250" i="80" s="1"/>
  <c r="AD253" i="80" s="1"/>
  <c r="C31" i="79" s="1"/>
  <c r="E82" i="80"/>
  <c r="E84" i="80" s="1"/>
  <c r="M82" i="80"/>
  <c r="M84" i="80" s="1"/>
  <c r="U82" i="80"/>
  <c r="U84" i="80" s="1"/>
  <c r="AC82" i="80"/>
  <c r="AC84" i="80" s="1"/>
  <c r="Q219" i="80"/>
  <c r="Q242" i="80" s="1"/>
  <c r="Q250" i="80" s="1"/>
  <c r="Q253" i="80" s="1"/>
  <c r="C18" i="79" s="1"/>
  <c r="Y219" i="80"/>
  <c r="Y242" i="80" s="1"/>
  <c r="Y250" i="80" s="1"/>
  <c r="Y253" i="80" s="1"/>
  <c r="C26" i="79" s="1"/>
  <c r="AG219" i="80"/>
  <c r="AG242" i="80" s="1"/>
  <c r="AG250" i="80" s="1"/>
  <c r="AG253" i="80" s="1"/>
  <c r="C34" i="79" s="1"/>
  <c r="AE159" i="80"/>
  <c r="K219" i="80"/>
  <c r="K242" i="80" s="1"/>
  <c r="K250" i="80" s="1"/>
  <c r="K253" i="80" s="1"/>
  <c r="C11" i="79" s="1"/>
  <c r="N251" i="68" s="1"/>
  <c r="S219" i="80"/>
  <c r="S242" i="80" s="1"/>
  <c r="S250" i="80" s="1"/>
  <c r="S253" i="80" s="1"/>
  <c r="C20" i="79" s="1"/>
  <c r="AA219" i="80"/>
  <c r="AA242" i="80" s="1"/>
  <c r="AA250" i="80" s="1"/>
  <c r="AA253" i="80" s="1"/>
  <c r="C28" i="79" s="1"/>
  <c r="K159" i="80"/>
  <c r="S159" i="80"/>
  <c r="AA159" i="80"/>
  <c r="J159" i="80"/>
  <c r="R159" i="80"/>
  <c r="Z159" i="80"/>
  <c r="AI218" i="80"/>
  <c r="D241" i="80"/>
  <c r="X82" i="80"/>
  <c r="X84" i="80" s="1"/>
  <c r="AF82" i="80"/>
  <c r="AF84" i="80" s="1"/>
  <c r="G219" i="80"/>
  <c r="G242" i="80" s="1"/>
  <c r="G250" i="80" s="1"/>
  <c r="G253" i="80" s="1"/>
  <c r="C7" i="79" s="1"/>
  <c r="J251" i="68" s="1"/>
  <c r="O219" i="80"/>
  <c r="O242" i="80" s="1"/>
  <c r="O250" i="80" s="1"/>
  <c r="O253" i="80" s="1"/>
  <c r="C16" i="79" s="1"/>
  <c r="W219" i="80"/>
  <c r="W242" i="80" s="1"/>
  <c r="W250" i="80" s="1"/>
  <c r="W253" i="80" s="1"/>
  <c r="C24" i="79" s="1"/>
  <c r="AE219" i="80"/>
  <c r="AE242" i="80" s="1"/>
  <c r="AE250" i="80" s="1"/>
  <c r="AE253" i="80" s="1"/>
  <c r="C32" i="79" s="1"/>
  <c r="I219" i="80"/>
  <c r="I242" i="80" s="1"/>
  <c r="I250" i="80" s="1"/>
  <c r="I253" i="80" s="1"/>
  <c r="C9" i="79" s="1"/>
  <c r="L251" i="68" s="1"/>
  <c r="D37" i="80"/>
  <c r="F82" i="80"/>
  <c r="F84" i="80" s="1"/>
  <c r="N82" i="80"/>
  <c r="N84" i="80" s="1"/>
  <c r="AD82" i="80"/>
  <c r="AD84" i="80" s="1"/>
  <c r="O159" i="80"/>
  <c r="W159" i="80"/>
  <c r="D318" i="80"/>
  <c r="H159" i="80"/>
  <c r="P159" i="80"/>
  <c r="X159" i="80"/>
  <c r="AF159" i="80"/>
  <c r="H84" i="80"/>
  <c r="P84" i="80"/>
  <c r="D172" i="80"/>
  <c r="L219" i="80"/>
  <c r="L242" i="80" s="1"/>
  <c r="L250" i="80" s="1"/>
  <c r="L253" i="80" s="1"/>
  <c r="C12" i="79" s="1"/>
  <c r="Q251" i="68" s="1"/>
  <c r="T219" i="80"/>
  <c r="T242" i="80" s="1"/>
  <c r="T250" i="80" s="1"/>
  <c r="T253" i="80" s="1"/>
  <c r="C21" i="79" s="1"/>
  <c r="AB219" i="80"/>
  <c r="AB242" i="80" s="1"/>
  <c r="AB250" i="80" s="1"/>
  <c r="AB253" i="80" s="1"/>
  <c r="C29" i="79" s="1"/>
  <c r="J82" i="80"/>
  <c r="J84" i="80" s="1"/>
  <c r="R82" i="80"/>
  <c r="R84" i="80" s="1"/>
  <c r="Z82" i="80"/>
  <c r="Z84" i="80" s="1"/>
  <c r="M159" i="80"/>
  <c r="U159" i="80"/>
  <c r="AC159" i="80"/>
  <c r="AI172" i="80"/>
  <c r="D218" i="80"/>
  <c r="D276" i="80"/>
  <c r="F159" i="80"/>
  <c r="N159" i="80"/>
  <c r="V159" i="80"/>
  <c r="AD159" i="80"/>
  <c r="D67" i="80"/>
  <c r="L82" i="80"/>
  <c r="L84" i="80" s="1"/>
  <c r="L188" i="80" s="1"/>
  <c r="T82" i="80"/>
  <c r="T84" i="80" s="1"/>
  <c r="AB82" i="80"/>
  <c r="AB84" i="80" s="1"/>
  <c r="D94" i="80"/>
  <c r="D306" i="80"/>
  <c r="AI157" i="80"/>
  <c r="AG255" i="80"/>
  <c r="AI241" i="80"/>
  <c r="H219" i="80"/>
  <c r="H242" i="80" s="1"/>
  <c r="H250" i="80" s="1"/>
  <c r="H253" i="80" s="1"/>
  <c r="C8" i="79" s="1"/>
  <c r="K251" i="68" s="1"/>
  <c r="P219" i="80"/>
  <c r="P242" i="80" s="1"/>
  <c r="P250" i="80" s="1"/>
  <c r="P253" i="80" s="1"/>
  <c r="C17" i="79" s="1"/>
  <c r="X219" i="80"/>
  <c r="X242" i="80" s="1"/>
  <c r="X250" i="80" s="1"/>
  <c r="X253" i="80" s="1"/>
  <c r="C25" i="79" s="1"/>
  <c r="AF219" i="80"/>
  <c r="AF242" i="80" s="1"/>
  <c r="AF250" i="80" s="1"/>
  <c r="AF253" i="80" s="1"/>
  <c r="C33" i="79" s="1"/>
  <c r="I159" i="80"/>
  <c r="Q159" i="80"/>
  <c r="Y159" i="80"/>
  <c r="Y188" i="80" s="1"/>
  <c r="AG159" i="80"/>
  <c r="T26" i="107"/>
  <c r="S26" i="107" s="1"/>
  <c r="R26" i="107" s="1"/>
  <c r="T27" i="106"/>
  <c r="S27" i="106" s="1"/>
  <c r="R27" i="106" s="1"/>
  <c r="M41" i="17"/>
  <c r="D46" i="82"/>
  <c r="B46" i="82" s="1"/>
  <c r="G39" i="34"/>
  <c r="A40" i="34" s="1"/>
  <c r="R242" i="68"/>
  <c r="R250" i="68" s="1"/>
  <c r="R253" i="68" s="1"/>
  <c r="H83" i="68"/>
  <c r="H85" i="68" s="1"/>
  <c r="P83" i="68"/>
  <c r="I219" i="68"/>
  <c r="I242" i="68" s="1"/>
  <c r="I250" i="68" s="1"/>
  <c r="Q219" i="68"/>
  <c r="Q242" i="68" s="1"/>
  <c r="Q250" i="68" s="1"/>
  <c r="M219" i="68"/>
  <c r="M242" i="68" s="1"/>
  <c r="M250" i="68" s="1"/>
  <c r="L219" i="68"/>
  <c r="L242" i="68" s="1"/>
  <c r="L250" i="68" s="1"/>
  <c r="N83" i="68"/>
  <c r="N85" i="68" s="1"/>
  <c r="K160" i="68"/>
  <c r="S160" i="68"/>
  <c r="L160" i="68"/>
  <c r="T25" i="107"/>
  <c r="S25" i="107" s="1"/>
  <c r="R25" i="107" s="1"/>
  <c r="T30" i="107"/>
  <c r="S30" i="107" s="1"/>
  <c r="R30" i="107" s="1"/>
  <c r="Y33" i="107"/>
  <c r="T21" i="107"/>
  <c r="S21" i="107" s="1"/>
  <c r="R21" i="107" s="1"/>
  <c r="T24" i="107"/>
  <c r="S24" i="107" s="1"/>
  <c r="R24" i="107" s="1"/>
  <c r="T29" i="107"/>
  <c r="S29" i="107" s="1"/>
  <c r="R29" i="107" s="1"/>
  <c r="T19" i="107"/>
  <c r="S19" i="107" s="1"/>
  <c r="R19" i="107" s="1"/>
  <c r="T32" i="107"/>
  <c r="S32" i="107" s="1"/>
  <c r="R32" i="107" s="1"/>
  <c r="T27" i="107"/>
  <c r="S27" i="107" s="1"/>
  <c r="R27" i="107" s="1"/>
  <c r="T19" i="106"/>
  <c r="S19" i="106" s="1"/>
  <c r="R19" i="106" s="1"/>
  <c r="T20" i="106"/>
  <c r="S20" i="106" s="1"/>
  <c r="R20" i="106" s="1"/>
  <c r="T26" i="106"/>
  <c r="S26" i="106" s="1"/>
  <c r="R26" i="106" s="1"/>
  <c r="T21" i="106"/>
  <c r="S21" i="106" s="1"/>
  <c r="R21" i="106" s="1"/>
  <c r="T25" i="106"/>
  <c r="S25" i="106" s="1"/>
  <c r="R25" i="106" s="1"/>
  <c r="T33" i="106"/>
  <c r="S33" i="106" s="1"/>
  <c r="R33" i="106" s="1"/>
  <c r="T32" i="106"/>
  <c r="S32" i="106" s="1"/>
  <c r="R32" i="106" s="1"/>
  <c r="T23" i="106"/>
  <c r="S23" i="106" s="1"/>
  <c r="R23" i="106" s="1"/>
  <c r="T28" i="106"/>
  <c r="S28" i="106" s="1"/>
  <c r="R28" i="106" s="1"/>
  <c r="J87" i="87"/>
  <c r="D89" i="74"/>
  <c r="D91" i="74" s="1"/>
  <c r="L86" i="88"/>
  <c r="M86" i="88"/>
  <c r="H76" i="92"/>
  <c r="J76" i="92" s="1"/>
  <c r="H81" i="74"/>
  <c r="H48" i="74"/>
  <c r="J76" i="85"/>
  <c r="J84" i="85" s="1"/>
  <c r="J87" i="85" s="1"/>
  <c r="F77" i="92"/>
  <c r="H33" i="92"/>
  <c r="M70" i="87"/>
  <c r="M70" i="69"/>
  <c r="J18" i="74"/>
  <c r="H28" i="74"/>
  <c r="J28" i="74" s="1"/>
  <c r="H31" i="74"/>
  <c r="J58" i="85"/>
  <c r="H13" i="74"/>
  <c r="H24" i="74"/>
  <c r="H27" i="74"/>
  <c r="H47" i="74"/>
  <c r="H87" i="74"/>
  <c r="J87" i="74" s="1"/>
  <c r="H15" i="74"/>
  <c r="H34" i="92"/>
  <c r="J22" i="74"/>
  <c r="H25" i="74"/>
  <c r="H29" i="74"/>
  <c r="J29" i="74" s="1"/>
  <c r="H52" i="74"/>
  <c r="M75" i="87"/>
  <c r="H16" i="74"/>
  <c r="H45" i="74"/>
  <c r="J45" i="74" s="1"/>
  <c r="H74" i="92"/>
  <c r="H46" i="74"/>
  <c r="H49" i="74"/>
  <c r="H35" i="92"/>
  <c r="J35" i="92" s="1"/>
  <c r="H67" i="92"/>
  <c r="H70" i="92"/>
  <c r="J70" i="92" s="1"/>
  <c r="H23" i="74"/>
  <c r="H51" i="74"/>
  <c r="H88" i="74"/>
  <c r="H37" i="92"/>
  <c r="H71" i="92"/>
  <c r="Q25" i="110"/>
  <c r="S15" i="43"/>
  <c r="R15" i="43" s="1"/>
  <c r="Q15" i="43" s="1"/>
  <c r="S17" i="43"/>
  <c r="R17" i="43" s="1"/>
  <c r="Q17" i="43" s="1"/>
  <c r="Y18" i="110"/>
  <c r="X18" i="110" s="1"/>
  <c r="Q18" i="110" s="1"/>
  <c r="T22" i="106"/>
  <c r="S22" i="106" s="1"/>
  <c r="R22" i="106" s="1"/>
  <c r="T31" i="106"/>
  <c r="S31" i="106" s="1"/>
  <c r="R31" i="106" s="1"/>
  <c r="T14" i="108"/>
  <c r="S14" i="108" s="1"/>
  <c r="Z25" i="108"/>
  <c r="Y25" i="108" s="1"/>
  <c r="Q18" i="46"/>
  <c r="P18" i="46" s="1"/>
  <c r="O18" i="46" s="1"/>
  <c r="Q21" i="46"/>
  <c r="P21" i="46" s="1"/>
  <c r="O21" i="46" s="1"/>
  <c r="U43" i="15"/>
  <c r="Q30" i="110"/>
  <c r="M67" i="88"/>
  <c r="M77" i="88" s="1"/>
  <c r="J63" i="88"/>
  <c r="H6" i="82"/>
  <c r="T33" i="14"/>
  <c r="U35" i="15"/>
  <c r="AD28" i="109"/>
  <c r="Q24" i="109"/>
  <c r="Y26" i="110"/>
  <c r="X26" i="110" s="1"/>
  <c r="P34" i="110"/>
  <c r="N34" i="110" s="1"/>
  <c r="T24" i="106"/>
  <c r="S24" i="106" s="1"/>
  <c r="R24" i="106" s="1"/>
  <c r="R19" i="56"/>
  <c r="S45" i="56"/>
  <c r="H47" i="82" s="1"/>
  <c r="R47" i="82" s="1"/>
  <c r="U35" i="57"/>
  <c r="K42" i="101"/>
  <c r="Y42" i="101" s="1"/>
  <c r="AE28" i="109"/>
  <c r="Y19" i="110"/>
  <c r="X19" i="110" s="1"/>
  <c r="Q19" i="110" s="1"/>
  <c r="S28" i="110"/>
  <c r="R28" i="110" s="1"/>
  <c r="Q28" i="110" s="1"/>
  <c r="T29" i="106"/>
  <c r="S29" i="106" s="1"/>
  <c r="R29" i="106" s="1"/>
  <c r="T30" i="106"/>
  <c r="S30" i="106" s="1"/>
  <c r="R30" i="106" s="1"/>
  <c r="T23" i="107"/>
  <c r="S23" i="107" s="1"/>
  <c r="R23" i="107" s="1"/>
  <c r="Q14" i="46"/>
  <c r="P14" i="46" s="1"/>
  <c r="O14" i="46" s="1"/>
  <c r="Q17" i="46"/>
  <c r="P17" i="46" s="1"/>
  <c r="O17" i="46" s="1"/>
  <c r="G41" i="17"/>
  <c r="Q21" i="110"/>
  <c r="Q24" i="110"/>
  <c r="T28" i="107"/>
  <c r="S28" i="107" s="1"/>
  <c r="R28" i="107" s="1"/>
  <c r="O12" i="46"/>
  <c r="Y44" i="101"/>
  <c r="X44" i="101"/>
  <c r="H36" i="92"/>
  <c r="J36" i="92" s="1"/>
  <c r="T25" i="59"/>
  <c r="S25" i="59"/>
  <c r="R25" i="59" s="1"/>
  <c r="I6" i="82"/>
  <c r="V33" i="15"/>
  <c r="V37" i="15"/>
  <c r="I41" i="17"/>
  <c r="S20" i="109"/>
  <c r="R20" i="109" s="1"/>
  <c r="Q20" i="109" s="1"/>
  <c r="Q26" i="110"/>
  <c r="T22" i="59"/>
  <c r="S22" i="59"/>
  <c r="R22" i="59" s="1"/>
  <c r="T34" i="59"/>
  <c r="S34" i="59"/>
  <c r="R34" i="59" s="1"/>
  <c r="J84" i="69"/>
  <c r="J87" i="69" s="1"/>
  <c r="H4" i="82"/>
  <c r="R4" i="82" s="1"/>
  <c r="D4" i="82" s="1"/>
  <c r="A4" i="82" s="1"/>
  <c r="M28" i="121"/>
  <c r="R32" i="36"/>
  <c r="M79" i="121" s="1"/>
  <c r="S18" i="43"/>
  <c r="R18" i="43" s="1"/>
  <c r="Q18" i="43" s="1"/>
  <c r="S32" i="43"/>
  <c r="R32" i="43" s="1"/>
  <c r="Q32" i="43" s="1"/>
  <c r="S15" i="109"/>
  <c r="R15" i="109" s="1"/>
  <c r="Q15" i="109" s="1"/>
  <c r="Y21" i="109"/>
  <c r="X21" i="109" s="1"/>
  <c r="Q21" i="109" s="1"/>
  <c r="Y27" i="110"/>
  <c r="X27" i="110" s="1"/>
  <c r="Q27" i="110" s="1"/>
  <c r="S29" i="110"/>
  <c r="R29" i="110" s="1"/>
  <c r="Q29" i="110" s="1"/>
  <c r="T22" i="107"/>
  <c r="S22" i="107" s="1"/>
  <c r="R22" i="107" s="1"/>
  <c r="T31" i="107"/>
  <c r="S31" i="107" s="1"/>
  <c r="R31" i="107" s="1"/>
  <c r="Z21" i="108"/>
  <c r="Y21" i="108" s="1"/>
  <c r="Y29" i="108" s="1"/>
  <c r="T26" i="108"/>
  <c r="S26" i="108" s="1"/>
  <c r="Q13" i="46"/>
  <c r="P13" i="46" s="1"/>
  <c r="O13" i="46" s="1"/>
  <c r="K38" i="101"/>
  <c r="Y38" i="101" s="1"/>
  <c r="U31" i="57"/>
  <c r="T31" i="57"/>
  <c r="S31" i="57" s="1"/>
  <c r="J21" i="74"/>
  <c r="H21" i="74"/>
  <c r="S25" i="109"/>
  <c r="R25" i="109" s="1"/>
  <c r="Q25" i="109" s="1"/>
  <c r="Y21" i="110"/>
  <c r="X21" i="110" s="1"/>
  <c r="Q22" i="110"/>
  <c r="T18" i="107"/>
  <c r="S18" i="107" s="1"/>
  <c r="R18" i="107" s="1"/>
  <c r="F25" i="68"/>
  <c r="F24" i="90" s="1"/>
  <c r="H66" i="92"/>
  <c r="D68" i="92"/>
  <c r="U27" i="101"/>
  <c r="U39" i="101"/>
  <c r="U68" i="101"/>
  <c r="F26" i="68"/>
  <c r="F25" i="90" s="1"/>
  <c r="J83" i="68"/>
  <c r="J85" i="68" s="1"/>
  <c r="R83" i="68"/>
  <c r="R85" i="68" s="1"/>
  <c r="N160" i="68"/>
  <c r="K219" i="68"/>
  <c r="K242" i="68" s="1"/>
  <c r="K250" i="68" s="1"/>
  <c r="S219" i="68"/>
  <c r="S242" i="68" s="1"/>
  <c r="S250" i="68" s="1"/>
  <c r="S253" i="68" s="1"/>
  <c r="S255" i="68" s="1"/>
  <c r="L71" i="88"/>
  <c r="J33" i="92"/>
  <c r="H75" i="92"/>
  <c r="J75" i="92" s="1"/>
  <c r="AI67" i="80"/>
  <c r="AI94" i="80"/>
  <c r="D157" i="80"/>
  <c r="AD255" i="80"/>
  <c r="S14" i="109"/>
  <c r="R14" i="109" s="1"/>
  <c r="U24" i="101"/>
  <c r="K26" i="101"/>
  <c r="Y26" i="101" s="1"/>
  <c r="F247" i="68"/>
  <c r="G247" i="68" s="1"/>
  <c r="M51" i="69"/>
  <c r="J17" i="88"/>
  <c r="J39" i="88" s="1"/>
  <c r="J59" i="88" s="1"/>
  <c r="J33" i="88"/>
  <c r="L51" i="88"/>
  <c r="L84" i="88"/>
  <c r="H19" i="74"/>
  <c r="D41" i="74"/>
  <c r="D60" i="74" s="1"/>
  <c r="G82" i="80"/>
  <c r="G84" i="80" s="1"/>
  <c r="O82" i="80"/>
  <c r="O84" i="80" s="1"/>
  <c r="W82" i="80"/>
  <c r="W84" i="80" s="1"/>
  <c r="AE82" i="80"/>
  <c r="AE84" i="80" s="1"/>
  <c r="E242" i="80"/>
  <c r="X33" i="110"/>
  <c r="T20" i="107"/>
  <c r="S20" i="107" s="1"/>
  <c r="R20" i="107" s="1"/>
  <c r="S20" i="59"/>
  <c r="R20" i="59" s="1"/>
  <c r="T35" i="59"/>
  <c r="U53" i="101"/>
  <c r="L83" i="68"/>
  <c r="L85" i="68" s="1"/>
  <c r="L188" i="68" s="1"/>
  <c r="H160" i="68"/>
  <c r="P160" i="68"/>
  <c r="L39" i="88"/>
  <c r="L59" i="88" s="1"/>
  <c r="M51" i="88"/>
  <c r="M84" i="88"/>
  <c r="H17" i="74"/>
  <c r="H30" i="74"/>
  <c r="J30" i="74" s="1"/>
  <c r="F85" i="74"/>
  <c r="H85" i="74" s="1"/>
  <c r="J81" i="74"/>
  <c r="H84" i="74"/>
  <c r="H40" i="92"/>
  <c r="H64" i="92"/>
  <c r="J64" i="92" s="1"/>
  <c r="D72" i="92"/>
  <c r="J90" i="85"/>
  <c r="T28" i="57"/>
  <c r="S28" i="57" s="1"/>
  <c r="U32" i="57"/>
  <c r="T32" i="59"/>
  <c r="U21" i="101"/>
  <c r="U28" i="101"/>
  <c r="U31" i="101"/>
  <c r="U55" i="101"/>
  <c r="U73" i="101"/>
  <c r="F68" i="92"/>
  <c r="H68" i="92" s="1"/>
  <c r="J68" i="92" s="1"/>
  <c r="K90" i="85"/>
  <c r="K23" i="101"/>
  <c r="Y23" i="101" s="1"/>
  <c r="X72" i="101"/>
  <c r="W72" i="101" s="1"/>
  <c r="M83" i="69"/>
  <c r="M39" i="87"/>
  <c r="M83" i="87"/>
  <c r="D81" i="80"/>
  <c r="U23" i="101"/>
  <c r="F111" i="66"/>
  <c r="M39" i="69"/>
  <c r="J25" i="88"/>
  <c r="J45" i="88"/>
  <c r="J51" i="88" s="1"/>
  <c r="J55" i="88"/>
  <c r="J57" i="88" s="1"/>
  <c r="M57" i="88"/>
  <c r="J66" i="88"/>
  <c r="H82" i="74"/>
  <c r="H38" i="92"/>
  <c r="J65" i="92"/>
  <c r="AI81" i="80"/>
  <c r="D132" i="80"/>
  <c r="G159" i="80"/>
  <c r="S15" i="110"/>
  <c r="R15" i="110" s="1"/>
  <c r="K38" i="57"/>
  <c r="K70" i="57" s="1"/>
  <c r="U34" i="57"/>
  <c r="S21" i="59"/>
  <c r="R21" i="59" s="1"/>
  <c r="I37" i="59"/>
  <c r="O37" i="59"/>
  <c r="U47" i="101"/>
  <c r="M66" i="69"/>
  <c r="M75" i="69"/>
  <c r="M66" i="87"/>
  <c r="L77" i="88"/>
  <c r="J82" i="88"/>
  <c r="J84" i="88" s="1"/>
  <c r="H50" i="74"/>
  <c r="H83" i="74"/>
  <c r="J83" i="74" s="1"/>
  <c r="H39" i="92"/>
  <c r="AI203" i="80"/>
  <c r="R17" i="82"/>
  <c r="D39" i="82"/>
  <c r="B39" i="82" s="1"/>
  <c r="D43" i="82"/>
  <c r="B43" i="82" s="1"/>
  <c r="D186" i="80"/>
  <c r="M51" i="87"/>
  <c r="F53" i="74"/>
  <c r="H53" i="74" s="1"/>
  <c r="J53" i="74" s="1"/>
  <c r="F72" i="92"/>
  <c r="H72" i="92" s="1"/>
  <c r="J72" i="92" s="1"/>
  <c r="D203" i="80"/>
  <c r="R15" i="82"/>
  <c r="D15" i="82" s="1"/>
  <c r="B15" i="82" s="1"/>
  <c r="D37" i="82"/>
  <c r="A37" i="82" s="1"/>
  <c r="F68" i="74"/>
  <c r="H68" i="74" s="1"/>
  <c r="J68" i="74" s="1"/>
  <c r="E278" i="80"/>
  <c r="E319" i="80"/>
  <c r="D44" i="82"/>
  <c r="A44" i="82" s="1"/>
  <c r="H57" i="74"/>
  <c r="J57" i="74" s="1"/>
  <c r="E159" i="80"/>
  <c r="R13" i="82"/>
  <c r="R21" i="82"/>
  <c r="U25" i="82"/>
  <c r="AI132" i="80"/>
  <c r="D26" i="82"/>
  <c r="B26" i="82" s="1"/>
  <c r="D45" i="82"/>
  <c r="B45" i="82" s="1"/>
  <c r="M39" i="88"/>
  <c r="D28" i="82"/>
  <c r="B28" i="82" s="1"/>
  <c r="D5" i="82"/>
  <c r="B5" i="82" s="1"/>
  <c r="G38" i="94"/>
  <c r="A42" i="94" s="1"/>
  <c r="G211" i="68"/>
  <c r="D3" i="82"/>
  <c r="A3" i="82" s="1"/>
  <c r="A24" i="100"/>
  <c r="M6" i="121"/>
  <c r="T25" i="82"/>
  <c r="U24" i="82"/>
  <c r="T24" i="82"/>
  <c r="S29" i="43"/>
  <c r="R29" i="43" s="1"/>
  <c r="Q29" i="43" s="1"/>
  <c r="S19" i="43"/>
  <c r="R19" i="43" s="1"/>
  <c r="Q19" i="43" s="1"/>
  <c r="S16" i="43"/>
  <c r="R16" i="43" s="1"/>
  <c r="Q16" i="43" s="1"/>
  <c r="S20" i="43"/>
  <c r="R20" i="43" s="1"/>
  <c r="Q20" i="43" s="1"/>
  <c r="S27" i="43"/>
  <c r="R27" i="43" s="1"/>
  <c r="Q27" i="43" s="1"/>
  <c r="S33" i="43"/>
  <c r="R33" i="43" s="1"/>
  <c r="Q33" i="43" s="1"/>
  <c r="S28" i="43"/>
  <c r="R28" i="43" s="1"/>
  <c r="Q28" i="43" s="1"/>
  <c r="D35" i="82"/>
  <c r="B35" i="82" s="1"/>
  <c r="F139" i="66"/>
  <c r="G139" i="66" s="1"/>
  <c r="F111" i="68"/>
  <c r="F110" i="90" s="1"/>
  <c r="D34" i="82"/>
  <c r="B34" i="82" s="1"/>
  <c r="F55" i="66"/>
  <c r="F55" i="72" s="1"/>
  <c r="D33" i="82"/>
  <c r="B33" i="82" s="1"/>
  <c r="F113" i="68"/>
  <c r="F112" i="90" s="1"/>
  <c r="D32" i="82"/>
  <c r="B32" i="82" s="1"/>
  <c r="F57" i="68"/>
  <c r="F56" i="90" s="1"/>
  <c r="D31" i="82"/>
  <c r="B31" i="82" s="1"/>
  <c r="F26" i="66"/>
  <c r="F26" i="72" s="1"/>
  <c r="D30" i="82"/>
  <c r="A30" i="82" s="1"/>
  <c r="D29" i="82"/>
  <c r="A29" i="82" s="1"/>
  <c r="Y34" i="106"/>
  <c r="R33" i="110"/>
  <c r="Q15" i="110"/>
  <c r="Q14" i="109"/>
  <c r="R28" i="109"/>
  <c r="F77" i="74"/>
  <c r="F53" i="92"/>
  <c r="F58" i="92"/>
  <c r="F85" i="92"/>
  <c r="H33" i="74"/>
  <c r="J33" i="74" s="1"/>
  <c r="H34" i="74"/>
  <c r="H35" i="74"/>
  <c r="J35" i="74" s="1"/>
  <c r="H36" i="74"/>
  <c r="J36" i="74" s="1"/>
  <c r="H37" i="74"/>
  <c r="H38" i="74"/>
  <c r="H39" i="74"/>
  <c r="H40" i="74"/>
  <c r="H64" i="74"/>
  <c r="J64" i="74" s="1"/>
  <c r="H65" i="74"/>
  <c r="J65" i="74" s="1"/>
  <c r="H66" i="74"/>
  <c r="H67" i="74"/>
  <c r="H70" i="74"/>
  <c r="J70" i="74" s="1"/>
  <c r="H71" i="74"/>
  <c r="H74" i="74"/>
  <c r="H75" i="74"/>
  <c r="J75" i="74" s="1"/>
  <c r="H76" i="74"/>
  <c r="J76" i="74" s="1"/>
  <c r="H45" i="92"/>
  <c r="J45" i="92" s="1"/>
  <c r="H46" i="92"/>
  <c r="H47" i="92"/>
  <c r="H48" i="92"/>
  <c r="H49" i="92"/>
  <c r="H50" i="92"/>
  <c r="H51" i="92"/>
  <c r="H52" i="92"/>
  <c r="H57" i="92"/>
  <c r="J57" i="92" s="1"/>
  <c r="H81" i="92"/>
  <c r="J81" i="92" s="1"/>
  <c r="H82" i="92"/>
  <c r="H83" i="92"/>
  <c r="J83" i="92" s="1"/>
  <c r="H84" i="92"/>
  <c r="H87" i="92"/>
  <c r="J87" i="92" s="1"/>
  <c r="H88" i="92"/>
  <c r="F41" i="74"/>
  <c r="F72" i="74"/>
  <c r="H13" i="92"/>
  <c r="H15" i="92"/>
  <c r="H16" i="92"/>
  <c r="H17" i="92"/>
  <c r="H18" i="92"/>
  <c r="H19" i="92"/>
  <c r="H20" i="92"/>
  <c r="H21" i="92"/>
  <c r="H22" i="92"/>
  <c r="H23" i="92"/>
  <c r="H24" i="92"/>
  <c r="H25" i="92"/>
  <c r="H26" i="92"/>
  <c r="J26" i="92" s="1"/>
  <c r="H27" i="92"/>
  <c r="H28" i="92"/>
  <c r="J28" i="92" s="1"/>
  <c r="H29" i="92"/>
  <c r="J29" i="92" s="1"/>
  <c r="H30" i="92"/>
  <c r="J30" i="92" s="1"/>
  <c r="H31" i="92"/>
  <c r="F41" i="92"/>
  <c r="D33" i="11"/>
  <c r="C34" i="11"/>
  <c r="B2" i="4"/>
  <c r="B2" i="89"/>
  <c r="B2" i="13"/>
  <c r="B2" i="14"/>
  <c r="B2" i="115"/>
  <c r="B2" i="18"/>
  <c r="A2" i="19"/>
  <c r="A2" i="20"/>
  <c r="B2" i="24"/>
  <c r="A2" i="25"/>
  <c r="A2" i="119"/>
  <c r="A2" i="29"/>
  <c r="B2" i="38"/>
  <c r="B2" i="110"/>
  <c r="B2" i="117"/>
  <c r="A2" i="50"/>
  <c r="A2" i="105"/>
  <c r="B2" i="57"/>
  <c r="C2" i="63"/>
  <c r="B2" i="100"/>
  <c r="B2" i="87"/>
  <c r="B2" i="12"/>
  <c r="B2" i="15"/>
  <c r="A2" i="23"/>
  <c r="A2" i="26"/>
  <c r="A2" i="30"/>
  <c r="A2" i="34"/>
  <c r="A2" i="118"/>
  <c r="B2" i="43"/>
  <c r="B2" i="109"/>
  <c r="A2" i="107"/>
  <c r="B2" i="53"/>
  <c r="A2" i="104"/>
  <c r="B2" i="74"/>
  <c r="A2" i="75"/>
  <c r="A2" i="76"/>
  <c r="B2" i="80"/>
  <c r="A2" i="9"/>
  <c r="C2" i="11"/>
  <c r="A2" i="16"/>
  <c r="C2" i="17"/>
  <c r="B2" i="22"/>
  <c r="A2" i="31"/>
  <c r="A2" i="94"/>
  <c r="A2" i="98"/>
  <c r="B2" i="37"/>
  <c r="B2" i="41"/>
  <c r="B2" i="42"/>
  <c r="B2" i="47"/>
  <c r="B2" i="49"/>
  <c r="C2" i="56"/>
  <c r="C2" i="59"/>
  <c r="C2" i="60"/>
  <c r="C2" i="61"/>
  <c r="C2" i="64"/>
  <c r="C2" i="65"/>
  <c r="A2" i="99"/>
  <c r="A2" i="68"/>
  <c r="B2" i="69"/>
  <c r="B2" i="88"/>
  <c r="D47" i="82"/>
  <c r="A47" i="82" s="1"/>
  <c r="D8" i="82"/>
  <c r="A8" i="82" s="1"/>
  <c r="D17" i="82"/>
  <c r="B17" i="82" s="1"/>
  <c r="D20" i="82"/>
  <c r="B20" i="82" s="1"/>
  <c r="D23" i="82"/>
  <c r="B23" i="82" s="1"/>
  <c r="D19" i="82"/>
  <c r="B19" i="82" s="1"/>
  <c r="D16" i="82"/>
  <c r="A16" i="82" s="1"/>
  <c r="J242" i="68"/>
  <c r="J250" i="68" s="1"/>
  <c r="N219" i="68"/>
  <c r="N242" i="68" s="1"/>
  <c r="N250" i="68" s="1"/>
  <c r="K83" i="68"/>
  <c r="K85" i="68" s="1"/>
  <c r="S83" i="68"/>
  <c r="S85" i="68" s="1"/>
  <c r="M160" i="68"/>
  <c r="M83" i="68"/>
  <c r="M85" i="68" s="1"/>
  <c r="R33" i="36"/>
  <c r="N33" i="36" s="1"/>
  <c r="B42" i="82"/>
  <c r="A42" i="82"/>
  <c r="B40" i="82"/>
  <c r="A40" i="82"/>
  <c r="B41" i="82"/>
  <c r="A41" i="82"/>
  <c r="D13" i="82"/>
  <c r="A13" i="82" s="1"/>
  <c r="D21" i="82"/>
  <c r="B21" i="82" s="1"/>
  <c r="D10" i="82"/>
  <c r="A10" i="82" s="1"/>
  <c r="D11" i="82"/>
  <c r="A11" i="82" s="1"/>
  <c r="D14" i="82"/>
  <c r="B14" i="82" s="1"/>
  <c r="D22" i="82"/>
  <c r="A22" i="82" s="1"/>
  <c r="D48" i="82"/>
  <c r="A48" i="82" s="1"/>
  <c r="Q28" i="59"/>
  <c r="A21" i="77"/>
  <c r="A17" i="77"/>
  <c r="A25" i="77"/>
  <c r="A33" i="77"/>
  <c r="A14" i="77"/>
  <c r="A30" i="77"/>
  <c r="A18" i="77"/>
  <c r="A22" i="77"/>
  <c r="A13" i="77"/>
  <c r="A29" i="77"/>
  <c r="A12" i="77"/>
  <c r="A16" i="77"/>
  <c r="A20" i="77"/>
  <c r="A24" i="77"/>
  <c r="A28" i="77"/>
  <c r="A32" i="77"/>
  <c r="A11" i="77"/>
  <c r="A15" i="77"/>
  <c r="A19" i="77"/>
  <c r="A23" i="77"/>
  <c r="A27" i="77"/>
  <c r="A31" i="77"/>
  <c r="A3" i="77"/>
  <c r="A5" i="77"/>
  <c r="A7" i="77"/>
  <c r="M11" i="77"/>
  <c r="M12" i="77"/>
  <c r="M13" i="77"/>
  <c r="M14" i="77"/>
  <c r="M15" i="77"/>
  <c r="M16" i="77"/>
  <c r="M17" i="77"/>
  <c r="M18" i="77"/>
  <c r="M19" i="77"/>
  <c r="M20" i="77"/>
  <c r="M21" i="77"/>
  <c r="M22" i="77"/>
  <c r="M23" i="77"/>
  <c r="M24" i="77"/>
  <c r="M25" i="77"/>
  <c r="M26" i="77"/>
  <c r="M27" i="77"/>
  <c r="M28" i="77"/>
  <c r="M29" i="77"/>
  <c r="M30" i="77"/>
  <c r="M31" i="77"/>
  <c r="M32" i="77"/>
  <c r="A34" i="77"/>
  <c r="A36" i="77"/>
  <c r="A38" i="77"/>
  <c r="A40" i="77"/>
  <c r="A42" i="77"/>
  <c r="A44" i="77"/>
  <c r="A46" i="77"/>
  <c r="A48" i="77"/>
  <c r="A50" i="77"/>
  <c r="A52" i="77"/>
  <c r="A54" i="77"/>
  <c r="A56" i="77"/>
  <c r="A58" i="77"/>
  <c r="A60" i="77"/>
  <c r="A62" i="77"/>
  <c r="A64" i="77"/>
  <c r="A66" i="77"/>
  <c r="A68" i="77"/>
  <c r="A70" i="77"/>
  <c r="A72" i="77"/>
  <c r="A74" i="77"/>
  <c r="A76" i="77"/>
  <c r="M8" i="77"/>
  <c r="M9" i="77"/>
  <c r="M10" i="77"/>
  <c r="A4" i="77"/>
  <c r="A6" i="77"/>
  <c r="A8" i="77"/>
  <c r="A9" i="77"/>
  <c r="A10" i="77"/>
  <c r="A35" i="77"/>
  <c r="A37" i="77"/>
  <c r="A39" i="77"/>
  <c r="A41" i="77"/>
  <c r="A43" i="77"/>
  <c r="A45" i="77"/>
  <c r="A47" i="77"/>
  <c r="A49" i="77"/>
  <c r="A51" i="77"/>
  <c r="A53" i="77"/>
  <c r="A55" i="77"/>
  <c r="A57" i="77"/>
  <c r="A59" i="77"/>
  <c r="A61" i="77"/>
  <c r="A63" i="77"/>
  <c r="A65" i="77"/>
  <c r="A67" i="77"/>
  <c r="A69" i="77"/>
  <c r="A71" i="77"/>
  <c r="A73" i="77"/>
  <c r="A75" i="77"/>
  <c r="J5" i="16"/>
  <c r="A2" i="115"/>
  <c r="A5" i="115"/>
  <c r="A9" i="115"/>
  <c r="L5" i="19"/>
  <c r="F6" i="29"/>
  <c r="A12" i="57"/>
  <c r="A54" i="60"/>
  <c r="A58" i="61"/>
  <c r="A28" i="62"/>
  <c r="A9" i="63"/>
  <c r="A6" i="101"/>
  <c r="A21" i="3"/>
  <c r="A36" i="3"/>
  <c r="A40" i="3"/>
  <c r="A44" i="3"/>
  <c r="A48" i="3"/>
  <c r="A51" i="3"/>
  <c r="A54" i="3"/>
  <c r="A58" i="3"/>
  <c r="A61" i="3"/>
  <c r="A64" i="3"/>
  <c r="A4" i="89"/>
  <c r="A77" i="89"/>
  <c r="A2" i="97"/>
  <c r="A5" i="97"/>
  <c r="A7" i="97"/>
  <c r="A9" i="97"/>
  <c r="N6" i="5"/>
  <c r="P7" i="113"/>
  <c r="D5" i="10"/>
  <c r="A1" i="11"/>
  <c r="G5" i="11"/>
  <c r="A10" i="11"/>
  <c r="A17" i="11"/>
  <c r="A24" i="11"/>
  <c r="A28" i="11"/>
  <c r="A34" i="11"/>
  <c r="A38" i="11"/>
  <c r="A42" i="11"/>
  <c r="A49" i="11"/>
  <c r="K6" i="12"/>
  <c r="I7" i="15"/>
  <c r="A1" i="115"/>
  <c r="I5" i="115"/>
  <c r="A10" i="115"/>
  <c r="K5" i="18"/>
  <c r="H5" i="22"/>
  <c r="C6" i="119"/>
  <c r="E5" i="108"/>
  <c r="D5" i="52"/>
  <c r="A4" i="56"/>
  <c r="A12" i="56"/>
  <c r="A34" i="56"/>
  <c r="A35" i="56"/>
  <c r="A55" i="56"/>
  <c r="A17" i="57"/>
  <c r="A23" i="57"/>
  <c r="A24" i="57"/>
  <c r="A34" i="57"/>
  <c r="A51" i="57"/>
  <c r="A67" i="57"/>
  <c r="A74" i="57"/>
  <c r="A24" i="59"/>
  <c r="A25" i="59"/>
  <c r="A26" i="59"/>
  <c r="A36" i="59"/>
  <c r="A1" i="60"/>
  <c r="A6" i="60"/>
  <c r="A10" i="60"/>
  <c r="A26" i="60"/>
  <c r="A42" i="60"/>
  <c r="A58" i="60"/>
  <c r="A5" i="61"/>
  <c r="A9" i="61"/>
  <c r="A25" i="61"/>
  <c r="A46" i="61"/>
  <c r="A16" i="62"/>
  <c r="A32" i="62"/>
  <c r="A48" i="62"/>
  <c r="A7" i="63"/>
  <c r="A13" i="63"/>
  <c r="A29" i="63"/>
  <c r="A44" i="63"/>
  <c r="A23" i="11"/>
  <c r="I2" i="82"/>
  <c r="R2" i="82" s="1"/>
  <c r="D2" i="82" s="1"/>
  <c r="J5" i="76"/>
  <c r="C5" i="80"/>
  <c r="J5" i="75"/>
  <c r="D5" i="85"/>
  <c r="D7" i="85" s="1"/>
  <c r="C5" i="90"/>
  <c r="C6" i="70"/>
  <c r="A38" i="100"/>
  <c r="A34" i="100"/>
  <c r="A30" i="100"/>
  <c r="A27" i="100"/>
  <c r="A23" i="100"/>
  <c r="A19" i="100"/>
  <c r="A15" i="100"/>
  <c r="A6" i="100"/>
  <c r="A2" i="100"/>
  <c r="A44" i="58"/>
  <c r="A36" i="58"/>
  <c r="A28" i="58"/>
  <c r="A24" i="58"/>
  <c r="A89" i="101"/>
  <c r="A67" i="101"/>
  <c r="A63" i="101"/>
  <c r="A55" i="101"/>
  <c r="A53" i="101"/>
  <c r="A51" i="101"/>
  <c r="A48" i="101"/>
  <c r="A43" i="101"/>
  <c r="A41" i="101"/>
  <c r="A38" i="101"/>
  <c r="A36" i="101"/>
  <c r="A34" i="101"/>
  <c r="A32" i="101"/>
  <c r="A30" i="101"/>
  <c r="A27" i="101"/>
  <c r="A24" i="101"/>
  <c r="A22" i="101"/>
  <c r="A18" i="101"/>
  <c r="A14" i="101"/>
  <c r="A5" i="101"/>
  <c r="A2" i="101"/>
  <c r="A55" i="65"/>
  <c r="A51" i="65"/>
  <c r="A47" i="65"/>
  <c r="A43" i="65"/>
  <c r="A39" i="65"/>
  <c r="A35" i="65"/>
  <c r="A31" i="65"/>
  <c r="A27" i="65"/>
  <c r="A23" i="65"/>
  <c r="A19" i="65"/>
  <c r="A15" i="65"/>
  <c r="A11" i="65"/>
  <c r="A8" i="65"/>
  <c r="G6" i="65"/>
  <c r="A3" i="65"/>
  <c r="A68" i="64"/>
  <c r="A64" i="64"/>
  <c r="A60" i="64"/>
  <c r="A56" i="64"/>
  <c r="A53" i="64"/>
  <c r="A48" i="64"/>
  <c r="A44" i="64"/>
  <c r="A41" i="64"/>
  <c r="A37" i="64"/>
  <c r="A33" i="64"/>
  <c r="A29" i="64"/>
  <c r="A25" i="64"/>
  <c r="A21" i="64"/>
  <c r="A17" i="64"/>
  <c r="A13" i="64"/>
  <c r="A9" i="64"/>
  <c r="A7" i="64"/>
  <c r="A5" i="64"/>
  <c r="A2" i="64"/>
  <c r="A56" i="63"/>
  <c r="C5" i="72"/>
  <c r="H184" i="72" s="1"/>
  <c r="C5" i="68"/>
  <c r="C7" i="68" s="1"/>
  <c r="A37" i="100"/>
  <c r="A33" i="100"/>
  <c r="A26" i="100"/>
  <c r="A22" i="100"/>
  <c r="A18" i="100"/>
  <c r="A14" i="100"/>
  <c r="A11" i="100"/>
  <c r="A9" i="100"/>
  <c r="A4" i="100"/>
  <c r="A43" i="58"/>
  <c r="A35" i="58"/>
  <c r="A27" i="58"/>
  <c r="A23" i="58"/>
  <c r="A88" i="101"/>
  <c r="A83" i="101"/>
  <c r="A77" i="101"/>
  <c r="A70" i="101"/>
  <c r="A68" i="101"/>
  <c r="A61" i="101"/>
  <c r="A45" i="101"/>
  <c r="A40" i="101"/>
  <c r="A29" i="101"/>
  <c r="A21" i="101"/>
  <c r="A17" i="101"/>
  <c r="A12" i="101"/>
  <c r="A9" i="101"/>
  <c r="A7" i="101"/>
  <c r="A4" i="101"/>
  <c r="A54" i="65"/>
  <c r="A50" i="65"/>
  <c r="A46" i="65"/>
  <c r="A42" i="65"/>
  <c r="A38" i="65"/>
  <c r="A34" i="65"/>
  <c r="A30" i="65"/>
  <c r="A26" i="65"/>
  <c r="A22" i="65"/>
  <c r="A18" i="65"/>
  <c r="A14" i="65"/>
  <c r="A10" i="65"/>
  <c r="A6" i="65"/>
  <c r="A1" i="65"/>
  <c r="A67" i="64"/>
  <c r="A63" i="64"/>
  <c r="A59" i="64"/>
  <c r="A52" i="64"/>
  <c r="A47" i="64"/>
  <c r="A43" i="64"/>
  <c r="A40" i="64"/>
  <c r="A36" i="64"/>
  <c r="A32" i="64"/>
  <c r="A28" i="64"/>
  <c r="A24" i="64"/>
  <c r="A20" i="64"/>
  <c r="A16" i="64"/>
  <c r="A12" i="64"/>
  <c r="A4" i="64"/>
  <c r="A55" i="63"/>
  <c r="G8" i="99"/>
  <c r="A40" i="100"/>
  <c r="A36" i="100"/>
  <c r="A32" i="100"/>
  <c r="A29" i="100"/>
  <c r="A25" i="100"/>
  <c r="A21" i="100"/>
  <c r="A17" i="100"/>
  <c r="A13" i="100"/>
  <c r="M8" i="100"/>
  <c r="A3" i="100"/>
  <c r="A42" i="58"/>
  <c r="A34" i="58"/>
  <c r="A26" i="58"/>
  <c r="A12" i="58"/>
  <c r="M7" i="58"/>
  <c r="A84" i="101"/>
  <c r="A82" i="101"/>
  <c r="A80" i="101"/>
  <c r="A76" i="101"/>
  <c r="A66" i="101"/>
  <c r="A60" i="101"/>
  <c r="A54" i="101"/>
  <c r="A52" i="101"/>
  <c r="A50" i="101"/>
  <c r="A46" i="101"/>
  <c r="A42" i="101"/>
  <c r="A39" i="101"/>
  <c r="A37" i="101"/>
  <c r="A35" i="101"/>
  <c r="A33" i="101"/>
  <c r="A31" i="101"/>
  <c r="A28" i="101"/>
  <c r="A26" i="101"/>
  <c r="A23" i="101"/>
  <c r="A20" i="101"/>
  <c r="A16" i="101"/>
  <c r="A11" i="101"/>
  <c r="M6" i="101"/>
  <c r="A3" i="101"/>
  <c r="A53" i="65"/>
  <c r="A49" i="65"/>
  <c r="A45" i="65"/>
  <c r="A41" i="65"/>
  <c r="A37" i="65"/>
  <c r="A33" i="65"/>
  <c r="A29" i="65"/>
  <c r="A25" i="65"/>
  <c r="A21" i="65"/>
  <c r="A17" i="65"/>
  <c r="A13" i="65"/>
  <c r="A9" i="65"/>
  <c r="A7" i="65"/>
  <c r="A5" i="65"/>
  <c r="A2" i="65"/>
  <c r="A70" i="64"/>
  <c r="A66" i="64"/>
  <c r="A62" i="64"/>
  <c r="A58" i="64"/>
  <c r="A55" i="64"/>
  <c r="A46" i="64"/>
  <c r="A42" i="64"/>
  <c r="A39" i="64"/>
  <c r="A35" i="64"/>
  <c r="A31" i="64"/>
  <c r="A27" i="64"/>
  <c r="A23" i="64"/>
  <c r="A31" i="100"/>
  <c r="A20" i="100"/>
  <c r="A33" i="58"/>
  <c r="A90" i="101"/>
  <c r="A75" i="101"/>
  <c r="A73" i="101"/>
  <c r="A71" i="101"/>
  <c r="A52" i="65"/>
  <c r="A36" i="65"/>
  <c r="A20" i="65"/>
  <c r="A61" i="64"/>
  <c r="A38" i="64"/>
  <c r="A22" i="64"/>
  <c r="A14" i="64"/>
  <c r="A8" i="64"/>
  <c r="A3" i="64"/>
  <c r="A1" i="64"/>
  <c r="A51" i="63"/>
  <c r="A47" i="63"/>
  <c r="A43" i="63"/>
  <c r="A39" i="63"/>
  <c r="A35" i="63"/>
  <c r="A32" i="63"/>
  <c r="A28" i="63"/>
  <c r="A24" i="63"/>
  <c r="A20" i="63"/>
  <c r="A16" i="63"/>
  <c r="A12" i="63"/>
  <c r="A4" i="63"/>
  <c r="A55" i="62"/>
  <c r="A51" i="62"/>
  <c r="A47" i="62"/>
  <c r="A43" i="62"/>
  <c r="A39" i="62"/>
  <c r="A35" i="62"/>
  <c r="A31" i="62"/>
  <c r="A27" i="62"/>
  <c r="A23" i="62"/>
  <c r="A19" i="62"/>
  <c r="A15" i="62"/>
  <c r="A11" i="62"/>
  <c r="A8" i="62"/>
  <c r="E6" i="62"/>
  <c r="A3" i="62"/>
  <c r="A57" i="61"/>
  <c r="A53" i="61"/>
  <c r="A49" i="61"/>
  <c r="A45" i="61"/>
  <c r="A41" i="61"/>
  <c r="A37" i="61"/>
  <c r="A33" i="61"/>
  <c r="A28" i="61"/>
  <c r="A24" i="61"/>
  <c r="A20" i="61"/>
  <c r="A16" i="61"/>
  <c r="A12" i="61"/>
  <c r="A2" i="61"/>
  <c r="A57" i="60"/>
  <c r="A53" i="60"/>
  <c r="A49" i="60"/>
  <c r="A45" i="60"/>
  <c r="A41" i="60"/>
  <c r="A37" i="60"/>
  <c r="A33" i="60"/>
  <c r="A29" i="60"/>
  <c r="A25" i="60"/>
  <c r="A21" i="60"/>
  <c r="A17" i="60"/>
  <c r="A13" i="60"/>
  <c r="A5" i="60"/>
  <c r="A2" i="60"/>
  <c r="A38" i="59"/>
  <c r="A29" i="59"/>
  <c r="A16" i="59"/>
  <c r="A11" i="59"/>
  <c r="A8" i="59"/>
  <c r="E6" i="59"/>
  <c r="A3" i="59"/>
  <c r="A73" i="57"/>
  <c r="A66" i="57"/>
  <c r="A62" i="57"/>
  <c r="A58" i="57"/>
  <c r="A54" i="57"/>
  <c r="A50" i="57"/>
  <c r="A46" i="57"/>
  <c r="A42" i="57"/>
  <c r="A35" i="57"/>
  <c r="A32" i="57"/>
  <c r="A31" i="57"/>
  <c r="A29" i="57"/>
  <c r="A25" i="57"/>
  <c r="A20" i="57"/>
  <c r="A16" i="57"/>
  <c r="A11" i="57"/>
  <c r="M6" i="57"/>
  <c r="A3" i="57"/>
  <c r="A62" i="56"/>
  <c r="A58" i="56"/>
  <c r="A54" i="56"/>
  <c r="A50" i="56"/>
  <c r="A47" i="56"/>
  <c r="A36" i="56"/>
  <c r="A29" i="56"/>
  <c r="A27" i="56"/>
  <c r="A25" i="56"/>
  <c r="A24" i="56"/>
  <c r="A23" i="56"/>
  <c r="A22" i="56"/>
  <c r="A21" i="56"/>
  <c r="A20" i="56"/>
  <c r="A19" i="56"/>
  <c r="A15" i="56"/>
  <c r="A11" i="56"/>
  <c r="A8" i="56"/>
  <c r="E6" i="56"/>
  <c r="A3" i="56"/>
  <c r="B6" i="105"/>
  <c r="E6" i="50"/>
  <c r="E5" i="49"/>
  <c r="E5" i="117"/>
  <c r="D5" i="47"/>
  <c r="D6" i="110"/>
  <c r="D6" i="42"/>
  <c r="C5" i="66"/>
  <c r="I184" i="66" s="1"/>
  <c r="A16" i="100"/>
  <c r="A10" i="100"/>
  <c r="A25" i="58"/>
  <c r="A56" i="101"/>
  <c r="A19" i="101"/>
  <c r="A48" i="65"/>
  <c r="A32" i="65"/>
  <c r="A16" i="65"/>
  <c r="A57" i="64"/>
  <c r="A50" i="64"/>
  <c r="A34" i="64"/>
  <c r="A19" i="64"/>
  <c r="A11" i="64"/>
  <c r="A54" i="63"/>
  <c r="A50" i="63"/>
  <c r="A46" i="63"/>
  <c r="A42" i="63"/>
  <c r="A38" i="63"/>
  <c r="A34" i="63"/>
  <c r="A31" i="63"/>
  <c r="A27" i="63"/>
  <c r="A23" i="63"/>
  <c r="A19" i="63"/>
  <c r="A15" i="63"/>
  <c r="A11" i="63"/>
  <c r="A8" i="63"/>
  <c r="F6" i="63"/>
  <c r="A3" i="63"/>
  <c r="A54" i="62"/>
  <c r="A50" i="62"/>
  <c r="A46" i="62"/>
  <c r="A42" i="62"/>
  <c r="A38" i="62"/>
  <c r="A34" i="62"/>
  <c r="A30" i="62"/>
  <c r="A26" i="62"/>
  <c r="A22" i="62"/>
  <c r="A18" i="62"/>
  <c r="A14" i="62"/>
  <c r="A10" i="62"/>
  <c r="A6" i="62"/>
  <c r="A1" i="62"/>
  <c r="A56" i="61"/>
  <c r="A52" i="61"/>
  <c r="A48" i="61"/>
  <c r="A44" i="61"/>
  <c r="A40" i="61"/>
  <c r="A36" i="61"/>
  <c r="A32" i="61"/>
  <c r="A31" i="61"/>
  <c r="A27" i="61"/>
  <c r="A23" i="61"/>
  <c r="A19" i="61"/>
  <c r="A15" i="61"/>
  <c r="A11" i="61"/>
  <c r="A8" i="61"/>
  <c r="F6" i="61"/>
  <c r="A4" i="61"/>
  <c r="A56" i="60"/>
  <c r="A52" i="60"/>
  <c r="A48" i="60"/>
  <c r="A44" i="60"/>
  <c r="A40" i="60"/>
  <c r="A36" i="60"/>
  <c r="A32" i="60"/>
  <c r="A28" i="60"/>
  <c r="A24" i="60"/>
  <c r="A20" i="60"/>
  <c r="A16" i="60"/>
  <c r="A12" i="60"/>
  <c r="A9" i="60"/>
  <c r="A7" i="60"/>
  <c r="A4" i="60"/>
  <c r="A41" i="59"/>
  <c r="A32" i="59"/>
  <c r="A27" i="59"/>
  <c r="A23" i="59"/>
  <c r="A19" i="59"/>
  <c r="A15" i="59"/>
  <c r="A10" i="59"/>
  <c r="A6" i="59"/>
  <c r="A1" i="59"/>
  <c r="A70" i="57"/>
  <c r="A65" i="57"/>
  <c r="A61" i="57"/>
  <c r="A57" i="57"/>
  <c r="A53" i="57"/>
  <c r="A49" i="57"/>
  <c r="A45" i="57"/>
  <c r="A41" i="57"/>
  <c r="A33" i="57"/>
  <c r="A28" i="57"/>
  <c r="A22" i="57"/>
  <c r="A19" i="57"/>
  <c r="A15" i="57"/>
  <c r="A10" i="57"/>
  <c r="A8" i="57"/>
  <c r="A6" i="57"/>
  <c r="A1" i="57"/>
  <c r="A61" i="56"/>
  <c r="A57" i="56"/>
  <c r="A53" i="56"/>
  <c r="A46" i="56"/>
  <c r="A45" i="56"/>
  <c r="A44" i="56"/>
  <c r="A43" i="56"/>
  <c r="A42" i="56"/>
  <c r="A41" i="56"/>
  <c r="A40" i="56"/>
  <c r="A39" i="56"/>
  <c r="A33" i="56"/>
  <c r="A32" i="56"/>
  <c r="A31" i="56"/>
  <c r="A18" i="56"/>
  <c r="A14" i="56"/>
  <c r="A10" i="56"/>
  <c r="A6" i="56"/>
  <c r="A1" i="56"/>
  <c r="I5" i="104"/>
  <c r="D5" i="46"/>
  <c r="D5" i="109"/>
  <c r="D6" i="39"/>
  <c r="B6" i="35"/>
  <c r="I5" i="33"/>
  <c r="G6" i="32"/>
  <c r="F6" i="31"/>
  <c r="C6" i="26"/>
  <c r="L5" i="21"/>
  <c r="A39" i="100"/>
  <c r="A28" i="100"/>
  <c r="A12" i="100"/>
  <c r="A8" i="100"/>
  <c r="A1" i="100"/>
  <c r="A78" i="101"/>
  <c r="A47" i="101"/>
  <c r="A25" i="101"/>
  <c r="A15" i="101"/>
  <c r="A8" i="101"/>
  <c r="A44" i="65"/>
  <c r="A28" i="65"/>
  <c r="A12" i="65"/>
  <c r="A4" i="65"/>
  <c r="A69" i="64"/>
  <c r="A45" i="64"/>
  <c r="A30" i="64"/>
  <c r="A18" i="64"/>
  <c r="A10" i="64"/>
  <c r="F6" i="64"/>
  <c r="A53" i="63"/>
  <c r="A49" i="63"/>
  <c r="A45" i="63"/>
  <c r="A41" i="63"/>
  <c r="A37" i="63"/>
  <c r="A33" i="63"/>
  <c r="A30" i="63"/>
  <c r="A26" i="63"/>
  <c r="A22" i="63"/>
  <c r="A18" i="63"/>
  <c r="A14" i="63"/>
  <c r="A10" i="63"/>
  <c r="A6" i="63"/>
  <c r="A1" i="63"/>
  <c r="A53" i="62"/>
  <c r="A49" i="62"/>
  <c r="A45" i="62"/>
  <c r="A41" i="62"/>
  <c r="A37" i="62"/>
  <c r="A33" i="62"/>
  <c r="A29" i="62"/>
  <c r="A25" i="62"/>
  <c r="A21" i="62"/>
  <c r="A17" i="62"/>
  <c r="A13" i="62"/>
  <c r="A9" i="62"/>
  <c r="A7" i="62"/>
  <c r="A5" i="62"/>
  <c r="A2" i="62"/>
  <c r="A59" i="61"/>
  <c r="A55" i="61"/>
  <c r="A51" i="61"/>
  <c r="A47" i="61"/>
  <c r="A43" i="61"/>
  <c r="A39" i="61"/>
  <c r="A35" i="61"/>
  <c r="A30" i="61"/>
  <c r="A26" i="61"/>
  <c r="A22" i="61"/>
  <c r="A18" i="61"/>
  <c r="A14" i="61"/>
  <c r="A10" i="61"/>
  <c r="A6" i="61"/>
  <c r="A3" i="61"/>
  <c r="A1" i="61"/>
  <c r="A55" i="60"/>
  <c r="A51" i="60"/>
  <c r="A47" i="60"/>
  <c r="A43" i="60"/>
  <c r="A39" i="60"/>
  <c r="A35" i="60"/>
  <c r="A31" i="60"/>
  <c r="A27" i="60"/>
  <c r="A23" i="60"/>
  <c r="A19" i="60"/>
  <c r="A15" i="60"/>
  <c r="A11" i="60"/>
  <c r="M6" i="60"/>
  <c r="A3" i="60"/>
  <c r="A40" i="59"/>
  <c r="A37" i="59"/>
  <c r="A35" i="59"/>
  <c r="A34" i="59"/>
  <c r="A33" i="59"/>
  <c r="A31" i="59"/>
  <c r="A28" i="59"/>
  <c r="A22" i="59"/>
  <c r="A21" i="59"/>
  <c r="A20" i="59"/>
  <c r="A18" i="59"/>
  <c r="A14" i="59"/>
  <c r="A9" i="59"/>
  <c r="A7" i="59"/>
  <c r="A5" i="59"/>
  <c r="A2" i="59"/>
  <c r="A72" i="57"/>
  <c r="A69" i="57"/>
  <c r="A64" i="57"/>
  <c r="A60" i="57"/>
  <c r="A56" i="57"/>
  <c r="A52" i="57"/>
  <c r="A48" i="57"/>
  <c r="A44" i="57"/>
  <c r="A40" i="57"/>
  <c r="A37" i="57"/>
  <c r="A36" i="57"/>
  <c r="A30" i="57"/>
  <c r="A26" i="57"/>
  <c r="A18" i="57"/>
  <c r="A13" i="57"/>
  <c r="A5" i="57"/>
  <c r="A2" i="57"/>
  <c r="A64" i="56"/>
  <c r="A60" i="56"/>
  <c r="A56" i="56"/>
  <c r="A52" i="56"/>
  <c r="A49" i="56"/>
  <c r="A38" i="56"/>
  <c r="A30" i="56"/>
  <c r="A28" i="56"/>
  <c r="A26" i="56"/>
  <c r="A17" i="56"/>
  <c r="A13" i="56"/>
  <c r="A9" i="56"/>
  <c r="A7" i="56"/>
  <c r="A5" i="56"/>
  <c r="A2" i="56"/>
  <c r="D6" i="41"/>
  <c r="D6" i="38"/>
  <c r="D6" i="37"/>
  <c r="E6" i="36"/>
  <c r="F6" i="28"/>
  <c r="J5" i="24"/>
  <c r="L5" i="20"/>
  <c r="A2" i="3"/>
  <c r="A5" i="3"/>
  <c r="A7" i="3"/>
  <c r="A9" i="3"/>
  <c r="A13" i="3"/>
  <c r="A17" i="3"/>
  <c r="A20" i="3"/>
  <c r="A25" i="3"/>
  <c r="A35" i="3"/>
  <c r="A39" i="3"/>
  <c r="A43" i="3"/>
  <c r="A53" i="3"/>
  <c r="A57" i="3"/>
  <c r="A60" i="3"/>
  <c r="A63" i="3"/>
  <c r="A67" i="3"/>
  <c r="I5" i="4"/>
  <c r="A1" i="89"/>
  <c r="A6" i="89"/>
  <c r="J5" i="9"/>
  <c r="A5" i="11"/>
  <c r="A16" i="11"/>
  <c r="A32" i="11"/>
  <c r="A39" i="11"/>
  <c r="A47" i="11"/>
  <c r="A37" i="56"/>
  <c r="A51" i="56"/>
  <c r="A63" i="57"/>
  <c r="A38" i="60"/>
  <c r="A21" i="61"/>
  <c r="A12" i="62"/>
  <c r="A5" i="63"/>
  <c r="A40" i="63"/>
  <c r="A1" i="101"/>
  <c r="I5" i="3"/>
  <c r="A14" i="3"/>
  <c r="A3" i="3"/>
  <c r="A6" i="3"/>
  <c r="A8" i="3"/>
  <c r="A11" i="3"/>
  <c r="A15" i="3"/>
  <c r="A18" i="3"/>
  <c r="A22" i="3"/>
  <c r="A26" i="3"/>
  <c r="A37" i="3"/>
  <c r="A41" i="3"/>
  <c r="A45" i="3"/>
  <c r="A49" i="3"/>
  <c r="A52" i="3"/>
  <c r="A55" i="3"/>
  <c r="A62" i="3"/>
  <c r="A65" i="3"/>
  <c r="A68" i="3"/>
  <c r="A2" i="89"/>
  <c r="A5" i="89"/>
  <c r="A7" i="89"/>
  <c r="A9" i="89"/>
  <c r="H5" i="97"/>
  <c r="A10" i="97"/>
  <c r="A3" i="11"/>
  <c r="A6" i="11"/>
  <c r="A8" i="11"/>
  <c r="A18" i="11"/>
  <c r="A25" i="11"/>
  <c r="A29" i="11"/>
  <c r="A31" i="11"/>
  <c r="A33" i="11"/>
  <c r="A37" i="11"/>
  <c r="A41" i="11"/>
  <c r="A44" i="11"/>
  <c r="A45" i="11"/>
  <c r="K6" i="13"/>
  <c r="E22" i="13" s="1"/>
  <c r="M22" i="13" s="1"/>
  <c r="I7" i="14"/>
  <c r="A3" i="115"/>
  <c r="A6" i="115"/>
  <c r="A8" i="115"/>
  <c r="A110" i="115"/>
  <c r="G9" i="95"/>
  <c r="G5" i="23"/>
  <c r="J5" i="25"/>
  <c r="F6" i="30"/>
  <c r="B6" i="98"/>
  <c r="C6" i="107"/>
  <c r="A16" i="56"/>
  <c r="A48" i="56"/>
  <c r="A59" i="56"/>
  <c r="A9" i="57"/>
  <c r="A21" i="57"/>
  <c r="A38" i="57"/>
  <c r="A39" i="57"/>
  <c r="A55" i="57"/>
  <c r="A4" i="59"/>
  <c r="A13" i="59"/>
  <c r="A30" i="59"/>
  <c r="A8" i="60"/>
  <c r="A14" i="60"/>
  <c r="A30" i="60"/>
  <c r="A46" i="60"/>
  <c r="A7" i="61"/>
  <c r="A13" i="61"/>
  <c r="A29" i="61"/>
  <c r="A34" i="61"/>
  <c r="A50" i="61"/>
  <c r="A20" i="62"/>
  <c r="A36" i="62"/>
  <c r="A52" i="62"/>
  <c r="A2" i="63"/>
  <c r="A17" i="63"/>
  <c r="A48" i="63"/>
  <c r="A15" i="64"/>
  <c r="A54" i="64"/>
  <c r="A24" i="65"/>
  <c r="A69" i="101"/>
  <c r="A81" i="101"/>
  <c r="A3" i="89"/>
  <c r="A8" i="89"/>
  <c r="A4" i="97"/>
  <c r="A78" i="97"/>
  <c r="A2" i="11"/>
  <c r="A7" i="11"/>
  <c r="A9" i="11"/>
  <c r="A22" i="11"/>
  <c r="A27" i="11"/>
  <c r="A30" i="11"/>
  <c r="A35" i="11"/>
  <c r="A43" i="11"/>
  <c r="A48" i="11"/>
  <c r="A7" i="115"/>
  <c r="C5" i="53"/>
  <c r="A7" i="57"/>
  <c r="A47" i="57"/>
  <c r="A22" i="60"/>
  <c r="A42" i="61"/>
  <c r="A4" i="62"/>
  <c r="A44" i="62"/>
  <c r="A25" i="63"/>
  <c r="A65" i="64"/>
  <c r="E11" i="2"/>
  <c r="A1" i="3"/>
  <c r="A10" i="3"/>
  <c r="A4" i="3"/>
  <c r="A12" i="3"/>
  <c r="A16" i="3"/>
  <c r="A19" i="3"/>
  <c r="A23" i="3"/>
  <c r="A34" i="3"/>
  <c r="A38" i="3"/>
  <c r="A42" i="3"/>
  <c r="A46" i="3"/>
  <c r="A50" i="3"/>
  <c r="A56" i="3"/>
  <c r="A59" i="3"/>
  <c r="A66" i="3"/>
  <c r="A70" i="3"/>
  <c r="H5" i="89"/>
  <c r="A10" i="89"/>
  <c r="A1" i="97"/>
  <c r="A3" i="97"/>
  <c r="A6" i="97"/>
  <c r="A8" i="97"/>
  <c r="O7" i="112"/>
  <c r="I5" i="8"/>
  <c r="A4" i="11"/>
  <c r="A15" i="11"/>
  <c r="A19" i="11"/>
  <c r="A26" i="11"/>
  <c r="A36" i="11"/>
  <c r="A40" i="11"/>
  <c r="A53" i="11"/>
  <c r="A4" i="115"/>
  <c r="K5" i="17"/>
  <c r="A25" i="17" s="1"/>
  <c r="D6" i="34"/>
  <c r="D6" i="94"/>
  <c r="D6" i="118"/>
  <c r="D6" i="40"/>
  <c r="D5" i="43"/>
  <c r="C6" i="106"/>
  <c r="B5" i="51"/>
  <c r="G5" i="55"/>
  <c r="A63" i="56"/>
  <c r="A4" i="57"/>
  <c r="A27" i="57"/>
  <c r="A43" i="57"/>
  <c r="A59" i="57"/>
  <c r="A71" i="57"/>
  <c r="A17" i="59"/>
  <c r="A39" i="59"/>
  <c r="A18" i="60"/>
  <c r="A34" i="60"/>
  <c r="A50" i="60"/>
  <c r="A17" i="61"/>
  <c r="A38" i="61"/>
  <c r="A54" i="61"/>
  <c r="A24" i="62"/>
  <c r="A40" i="62"/>
  <c r="A56" i="62"/>
  <c r="A21" i="63"/>
  <c r="A36" i="63"/>
  <c r="A52" i="63"/>
  <c r="A6" i="64"/>
  <c r="A26" i="64"/>
  <c r="A40" i="65"/>
  <c r="A10" i="101"/>
  <c r="A49" i="101"/>
  <c r="A37" i="58"/>
  <c r="A35" i="100"/>
  <c r="T128" i="68"/>
  <c r="I83" i="68"/>
  <c r="I85" i="68" s="1"/>
  <c r="I188" i="68" s="1"/>
  <c r="Q83" i="68"/>
  <c r="Q85" i="68" s="1"/>
  <c r="Q188" i="68" s="1"/>
  <c r="H219" i="68"/>
  <c r="H242" i="68" s="1"/>
  <c r="H250" i="68" s="1"/>
  <c r="H253" i="68" s="1"/>
  <c r="H255" i="68" s="1"/>
  <c r="P219" i="68"/>
  <c r="P242" i="68" s="1"/>
  <c r="P250" i="68" s="1"/>
  <c r="T123" i="68"/>
  <c r="O160" i="68"/>
  <c r="G120" i="68"/>
  <c r="T120" i="68"/>
  <c r="O83" i="68"/>
  <c r="O85" i="68" s="1"/>
  <c r="O219" i="68"/>
  <c r="O242" i="68" s="1"/>
  <c r="O250" i="68" s="1"/>
  <c r="F230" i="90"/>
  <c r="P85" i="68"/>
  <c r="F95" i="68"/>
  <c r="G248" i="68"/>
  <c r="F239" i="90"/>
  <c r="T27" i="68"/>
  <c r="G140" i="68"/>
  <c r="F241" i="68"/>
  <c r="T241" i="68" s="1"/>
  <c r="G122" i="68"/>
  <c r="G128" i="68"/>
  <c r="J160" i="68"/>
  <c r="R160" i="68"/>
  <c r="F172" i="90"/>
  <c r="T56" i="68"/>
  <c r="F94" i="90"/>
  <c r="T124" i="68"/>
  <c r="T130" i="68"/>
  <c r="G130" i="68"/>
  <c r="G184" i="68"/>
  <c r="F183" i="90"/>
  <c r="F202" i="90"/>
  <c r="F218" i="68"/>
  <c r="T218" i="68" s="1"/>
  <c r="F126" i="90"/>
  <c r="T127" i="68"/>
  <c r="G127" i="68"/>
  <c r="F203" i="68"/>
  <c r="G123" i="68"/>
  <c r="G179" i="68"/>
  <c r="F178" i="90"/>
  <c r="R255" i="68"/>
  <c r="F173" i="68"/>
  <c r="G178" i="68"/>
  <c r="G183" i="68"/>
  <c r="G236" i="68"/>
  <c r="F175" i="90"/>
  <c r="F181" i="90"/>
  <c r="T140" i="68"/>
  <c r="F205" i="90"/>
  <c r="G232" i="68"/>
  <c r="G239" i="68"/>
  <c r="G249" i="68"/>
  <c r="F130" i="90"/>
  <c r="F210" i="90"/>
  <c r="G180" i="68"/>
  <c r="F186" i="68"/>
  <c r="F229" i="90"/>
  <c r="G131" i="68"/>
  <c r="G24" i="66"/>
  <c r="G124" i="66"/>
  <c r="F241" i="72"/>
  <c r="F221" i="66"/>
  <c r="F244" i="66" s="1"/>
  <c r="F252" i="66" s="1"/>
  <c r="G56" i="66"/>
  <c r="G127" i="66"/>
  <c r="F203" i="72"/>
  <c r="F172" i="72"/>
  <c r="G25" i="66"/>
  <c r="F112" i="72"/>
  <c r="G112" i="66"/>
  <c r="F121" i="72"/>
  <c r="G121" i="66"/>
  <c r="F37" i="66"/>
  <c r="F23" i="72"/>
  <c r="F37" i="72" s="1"/>
  <c r="F128" i="72"/>
  <c r="G128" i="66"/>
  <c r="G110" i="66"/>
  <c r="G119" i="66"/>
  <c r="F125" i="72"/>
  <c r="G125" i="66"/>
  <c r="F94" i="72"/>
  <c r="F186" i="72"/>
  <c r="F218" i="72"/>
  <c r="G249" i="66"/>
  <c r="G129" i="66"/>
  <c r="G120" i="66"/>
  <c r="F126" i="72"/>
  <c r="U20" i="101"/>
  <c r="U42" i="101"/>
  <c r="U60" i="101"/>
  <c r="Y68" i="101"/>
  <c r="U26" i="101"/>
  <c r="U56" i="101"/>
  <c r="U22" i="101"/>
  <c r="U30" i="101"/>
  <c r="U34" i="101"/>
  <c r="U72" i="101"/>
  <c r="U29" i="101"/>
  <c r="U33" i="101"/>
  <c r="X37" i="101"/>
  <c r="W37" i="101" s="1"/>
  <c r="U38" i="101"/>
  <c r="U67" i="101"/>
  <c r="Y71" i="101"/>
  <c r="U37" i="101"/>
  <c r="U51" i="101"/>
  <c r="U66" i="101"/>
  <c r="U25" i="101"/>
  <c r="U32" i="101"/>
  <c r="U36" i="101"/>
  <c r="U46" i="101"/>
  <c r="U71" i="101"/>
  <c r="U43" i="101"/>
  <c r="U45" i="101"/>
  <c r="U50" i="101"/>
  <c r="U70" i="101"/>
  <c r="U35" i="101"/>
  <c r="U54" i="101"/>
  <c r="U69" i="101"/>
  <c r="U74" i="101"/>
  <c r="U77" i="101"/>
  <c r="Y66" i="101"/>
  <c r="Y70" i="101"/>
  <c r="Y32" i="101"/>
  <c r="Y36" i="101"/>
  <c r="X33" i="101"/>
  <c r="W33" i="101" s="1"/>
  <c r="X69" i="101"/>
  <c r="W69" i="101" s="1"/>
  <c r="T28" i="59"/>
  <c r="Q37" i="59"/>
  <c r="T37" i="59" s="1"/>
  <c r="S19" i="59"/>
  <c r="S26" i="59"/>
  <c r="R26" i="59" s="1"/>
  <c r="S23" i="59"/>
  <c r="R23" i="59" s="1"/>
  <c r="X21" i="101"/>
  <c r="W21" i="101" s="1"/>
  <c r="Y21" i="101"/>
  <c r="X24" i="101"/>
  <c r="W24" i="101" s="1"/>
  <c r="Y24" i="101"/>
  <c r="X40" i="101"/>
  <c r="W40" i="101" s="1"/>
  <c r="Y40" i="101"/>
  <c r="K73" i="57"/>
  <c r="H49" i="82"/>
  <c r="R49" i="82" s="1"/>
  <c r="D49" i="82" s="1"/>
  <c r="X29" i="101"/>
  <c r="W29" i="101" s="1"/>
  <c r="Y29" i="101"/>
  <c r="T25" i="57"/>
  <c r="S25" i="57" s="1"/>
  <c r="T33" i="57"/>
  <c r="S33" i="57" s="1"/>
  <c r="K39" i="101"/>
  <c r="T22" i="57"/>
  <c r="S22" i="57" s="1"/>
  <c r="U25" i="57"/>
  <c r="T30" i="57"/>
  <c r="S30" i="57" s="1"/>
  <c r="U33" i="57"/>
  <c r="X22" i="101"/>
  <c r="W22" i="101" s="1"/>
  <c r="X26" i="101"/>
  <c r="W26" i="101" s="1"/>
  <c r="X30" i="101"/>
  <c r="W30" i="101" s="1"/>
  <c r="X34" i="101"/>
  <c r="W34" i="101" s="1"/>
  <c r="X38" i="101"/>
  <c r="W38" i="101" s="1"/>
  <c r="X42" i="101"/>
  <c r="W42" i="101" s="1"/>
  <c r="U22" i="57"/>
  <c r="T27" i="57"/>
  <c r="S27" i="57" s="1"/>
  <c r="U30" i="57"/>
  <c r="T35" i="57"/>
  <c r="S35" i="57" s="1"/>
  <c r="K20" i="101"/>
  <c r="K28" i="101"/>
  <c r="X23" i="101"/>
  <c r="W23" i="101" s="1"/>
  <c r="X27" i="101"/>
  <c r="W27" i="101" s="1"/>
  <c r="X31" i="101"/>
  <c r="W31" i="101" s="1"/>
  <c r="X35" i="101"/>
  <c r="W35" i="101" s="1"/>
  <c r="X43" i="101"/>
  <c r="W43" i="101" s="1"/>
  <c r="T21" i="57"/>
  <c r="S21" i="57" s="1"/>
  <c r="T29" i="57"/>
  <c r="S29" i="57" s="1"/>
  <c r="K25" i="101"/>
  <c r="K41" i="101"/>
  <c r="U21" i="57"/>
  <c r="D46" i="17"/>
  <c r="E50" i="17"/>
  <c r="T18" i="82"/>
  <c r="R18" i="82" s="1"/>
  <c r="D18" i="82" s="1"/>
  <c r="A18" i="82" s="1"/>
  <c r="A13" i="15"/>
  <c r="P18" i="82"/>
  <c r="D34" i="15"/>
  <c r="E35" i="15"/>
  <c r="V32" i="15"/>
  <c r="U39" i="15"/>
  <c r="U36" i="15"/>
  <c r="U44" i="15"/>
  <c r="U40" i="15"/>
  <c r="A13" i="14"/>
  <c r="T36" i="14"/>
  <c r="T40" i="14"/>
  <c r="T44" i="14"/>
  <c r="T12" i="82"/>
  <c r="R12" i="82" s="1"/>
  <c r="D12" i="82" s="1"/>
  <c r="B12" i="82" s="1"/>
  <c r="S42" i="14"/>
  <c r="S35" i="14"/>
  <c r="T38" i="14"/>
  <c r="S43" i="14"/>
  <c r="E34" i="14"/>
  <c r="P12" i="82"/>
  <c r="S39" i="14"/>
  <c r="G123" i="66"/>
  <c r="G131" i="66"/>
  <c r="G126" i="68"/>
  <c r="G121" i="68"/>
  <c r="T126" i="68"/>
  <c r="G129" i="68"/>
  <c r="F124" i="90"/>
  <c r="T121" i="68"/>
  <c r="G124" i="68"/>
  <c r="T129" i="68"/>
  <c r="G132" i="68"/>
  <c r="F121" i="90"/>
  <c r="F129" i="90"/>
  <c r="T132" i="68"/>
  <c r="F122" i="72"/>
  <c r="F130" i="72"/>
  <c r="G125" i="68"/>
  <c r="U7" i="82"/>
  <c r="T7" i="82"/>
  <c r="R7" i="82" s="1"/>
  <c r="D7" i="82" s="1"/>
  <c r="F139" i="72" l="1"/>
  <c r="A45" i="82"/>
  <c r="D29" i="5"/>
  <c r="D28" i="5"/>
  <c r="D40" i="5"/>
  <c r="D27" i="5"/>
  <c r="T27" i="5" s="1"/>
  <c r="D39" i="5"/>
  <c r="D35" i="5"/>
  <c r="D24" i="5"/>
  <c r="D34" i="5"/>
  <c r="T34" i="5" s="1"/>
  <c r="D23" i="5"/>
  <c r="D30" i="5"/>
  <c r="D20" i="5"/>
  <c r="D25" i="5"/>
  <c r="T25" i="5" s="1"/>
  <c r="D38" i="5"/>
  <c r="D33" i="5"/>
  <c r="D22" i="5"/>
  <c r="D21" i="5"/>
  <c r="G25" i="8"/>
  <c r="G24" i="8"/>
  <c r="G30" i="8"/>
  <c r="G23" i="8"/>
  <c r="Q23" i="8" s="1"/>
  <c r="G29" i="8"/>
  <c r="G28" i="8"/>
  <c r="Q28" i="8" s="1"/>
  <c r="G27" i="8"/>
  <c r="L184" i="72"/>
  <c r="J184" i="72"/>
  <c r="A46" i="82"/>
  <c r="A43" i="82"/>
  <c r="A31" i="82"/>
  <c r="B37" i="82"/>
  <c r="T188" i="80"/>
  <c r="V188" i="80"/>
  <c r="K188" i="80"/>
  <c r="I188" i="80"/>
  <c r="G111" i="66"/>
  <c r="C10" i="79"/>
  <c r="M251" i="68" s="1"/>
  <c r="M253" i="68" s="1"/>
  <c r="M255" i="68" s="1"/>
  <c r="J255" i="80"/>
  <c r="J253" i="68"/>
  <c r="J255" i="68" s="1"/>
  <c r="W255" i="80"/>
  <c r="J90" i="69"/>
  <c r="C27" i="79"/>
  <c r="Z255" i="80"/>
  <c r="R255" i="80"/>
  <c r="AB188" i="80"/>
  <c r="Q255" i="80"/>
  <c r="Q188" i="80"/>
  <c r="O188" i="80"/>
  <c r="C23" i="79"/>
  <c r="V255" i="80"/>
  <c r="O255" i="80"/>
  <c r="AE188" i="80"/>
  <c r="J188" i="80"/>
  <c r="AA188" i="80"/>
  <c r="S188" i="80"/>
  <c r="AD188" i="80"/>
  <c r="AG188" i="80"/>
  <c r="N188" i="80"/>
  <c r="N253" i="68"/>
  <c r="N255" i="68" s="1"/>
  <c r="AE255" i="80"/>
  <c r="K255" i="80"/>
  <c r="J86" i="88"/>
  <c r="U188" i="80"/>
  <c r="Q253" i="68"/>
  <c r="Q255" i="68" s="1"/>
  <c r="Z188" i="80"/>
  <c r="O253" i="68"/>
  <c r="O255" i="68" s="1"/>
  <c r="L255" i="80"/>
  <c r="Y255" i="80"/>
  <c r="AA255" i="80"/>
  <c r="AI159" i="80"/>
  <c r="M188" i="80"/>
  <c r="P253" i="68"/>
  <c r="P255" i="68" s="1"/>
  <c r="R188" i="80"/>
  <c r="W188" i="80"/>
  <c r="N255" i="80"/>
  <c r="AB255" i="80"/>
  <c r="L253" i="68"/>
  <c r="L255" i="68" s="1"/>
  <c r="G255" i="80"/>
  <c r="S255" i="80"/>
  <c r="I255" i="80"/>
  <c r="K253" i="68"/>
  <c r="K255" i="68" s="1"/>
  <c r="P188" i="80"/>
  <c r="AC255" i="80"/>
  <c r="H188" i="80"/>
  <c r="U255" i="80"/>
  <c r="T255" i="80"/>
  <c r="AF188" i="80"/>
  <c r="D219" i="80"/>
  <c r="X188" i="80"/>
  <c r="D159" i="80"/>
  <c r="X255" i="80"/>
  <c r="AI219" i="80"/>
  <c r="M255" i="80"/>
  <c r="AF255" i="80"/>
  <c r="J90" i="87"/>
  <c r="H255" i="80"/>
  <c r="AC188" i="80"/>
  <c r="P255" i="80"/>
  <c r="B44" i="82"/>
  <c r="A39" i="82"/>
  <c r="A21" i="82"/>
  <c r="A34" i="82"/>
  <c r="H170" i="90"/>
  <c r="L170" i="90" s="1"/>
  <c r="H237" i="90"/>
  <c r="I170" i="66"/>
  <c r="I240" i="66"/>
  <c r="H170" i="72"/>
  <c r="J170" i="72" s="1"/>
  <c r="H238" i="72"/>
  <c r="H48" i="90"/>
  <c r="J48" i="90" s="1"/>
  <c r="H76" i="90"/>
  <c r="H73" i="90"/>
  <c r="H74" i="90"/>
  <c r="H75" i="90"/>
  <c r="H228" i="90"/>
  <c r="H30" i="90"/>
  <c r="F37" i="90"/>
  <c r="H48" i="72"/>
  <c r="L48" i="72" s="1"/>
  <c r="H74" i="72"/>
  <c r="H76" i="72"/>
  <c r="H73" i="72"/>
  <c r="H75" i="72"/>
  <c r="H229" i="72"/>
  <c r="H30" i="72"/>
  <c r="F38" i="68"/>
  <c r="T38" i="68" s="1"/>
  <c r="T25" i="68"/>
  <c r="T26" i="68"/>
  <c r="G111" i="68"/>
  <c r="T111" i="68"/>
  <c r="T113" i="68"/>
  <c r="P188" i="68"/>
  <c r="N188" i="68"/>
  <c r="F246" i="90"/>
  <c r="K188" i="68"/>
  <c r="S188" i="68"/>
  <c r="H188" i="68"/>
  <c r="G113" i="68"/>
  <c r="M188" i="68"/>
  <c r="O188" i="68"/>
  <c r="J188" i="68"/>
  <c r="S34" i="106"/>
  <c r="I48" i="66"/>
  <c r="I74" i="66"/>
  <c r="I75" i="66"/>
  <c r="I76" i="66"/>
  <c r="I73" i="66"/>
  <c r="G26" i="66"/>
  <c r="I31" i="66"/>
  <c r="I65" i="66"/>
  <c r="I229" i="66"/>
  <c r="F111" i="72"/>
  <c r="I52" i="66"/>
  <c r="I233" i="66"/>
  <c r="I154" i="66"/>
  <c r="I91" i="66"/>
  <c r="I41" i="66"/>
  <c r="I110" i="66"/>
  <c r="I15" i="66"/>
  <c r="I23" i="66"/>
  <c r="I183" i="66"/>
  <c r="I120" i="66"/>
  <c r="C7" i="66"/>
  <c r="G115" i="66" s="1"/>
  <c r="I30" i="66"/>
  <c r="I165" i="66"/>
  <c r="I25" i="66"/>
  <c r="I116" i="66"/>
  <c r="I210" i="66"/>
  <c r="I103" i="66"/>
  <c r="I16" i="66"/>
  <c r="I212" i="66"/>
  <c r="I13" i="66"/>
  <c r="I53" i="66"/>
  <c r="I224" i="66"/>
  <c r="I59" i="66"/>
  <c r="I19" i="66"/>
  <c r="I167" i="66"/>
  <c r="I164" i="66"/>
  <c r="I228" i="66"/>
  <c r="I14" i="66"/>
  <c r="I130" i="66"/>
  <c r="I87" i="66"/>
  <c r="I253" i="66"/>
  <c r="I215" i="66"/>
  <c r="I151" i="66"/>
  <c r="I150" i="66"/>
  <c r="I185" i="66"/>
  <c r="I147" i="66"/>
  <c r="I219" i="66"/>
  <c r="I127" i="66"/>
  <c r="I202" i="66"/>
  <c r="I49" i="66"/>
  <c r="I249" i="66"/>
  <c r="I208" i="66"/>
  <c r="C7" i="90"/>
  <c r="I171" i="66"/>
  <c r="I139" i="66"/>
  <c r="I137" i="66"/>
  <c r="I136" i="66"/>
  <c r="I107" i="66"/>
  <c r="I109" i="66"/>
  <c r="I194" i="66"/>
  <c r="I238" i="66"/>
  <c r="I149" i="66"/>
  <c r="I106" i="66"/>
  <c r="I123" i="66"/>
  <c r="I113" i="66"/>
  <c r="I112" i="66"/>
  <c r="I121" i="66"/>
  <c r="I236" i="66"/>
  <c r="I217" i="66"/>
  <c r="I122" i="66"/>
  <c r="I237" i="66"/>
  <c r="I90" i="66"/>
  <c r="I105" i="66"/>
  <c r="I66" i="66"/>
  <c r="I79" i="66"/>
  <c r="I162" i="66"/>
  <c r="I56" i="66"/>
  <c r="I254" i="66"/>
  <c r="I51" i="66"/>
  <c r="I152" i="66"/>
  <c r="I239" i="66"/>
  <c r="I200" i="66"/>
  <c r="I119" i="66"/>
  <c r="I156" i="66"/>
  <c r="I58" i="66"/>
  <c r="I64" i="66"/>
  <c r="I47" i="66"/>
  <c r="I63" i="66"/>
  <c r="I155" i="66"/>
  <c r="G55" i="66"/>
  <c r="U6" i="82"/>
  <c r="F60" i="74"/>
  <c r="M76" i="87"/>
  <c r="M84" i="87" s="1"/>
  <c r="M87" i="87" s="1"/>
  <c r="M90" i="87" s="1"/>
  <c r="M76" i="69"/>
  <c r="M84" i="69" s="1"/>
  <c r="M87" i="69" s="1"/>
  <c r="M90" i="69" s="1"/>
  <c r="F78" i="92"/>
  <c r="M58" i="69"/>
  <c r="A26" i="82"/>
  <c r="Q30" i="8"/>
  <c r="Q29" i="8"/>
  <c r="Q27" i="8"/>
  <c r="T39" i="5"/>
  <c r="T38" i="5"/>
  <c r="D37" i="5"/>
  <c r="T40" i="5"/>
  <c r="I235" i="66"/>
  <c r="I124" i="66"/>
  <c r="I22" i="66"/>
  <c r="I163" i="66"/>
  <c r="I77" i="66"/>
  <c r="I218" i="66"/>
  <c r="I209" i="66"/>
  <c r="I168" i="66"/>
  <c r="I92" i="66"/>
  <c r="I197" i="66"/>
  <c r="I213" i="66"/>
  <c r="I34" i="66"/>
  <c r="I88" i="66"/>
  <c r="I46" i="66"/>
  <c r="I99" i="66"/>
  <c r="I246" i="66"/>
  <c r="I182" i="66"/>
  <c r="R188" i="68"/>
  <c r="X28" i="109"/>
  <c r="T32" i="14"/>
  <c r="U32" i="15"/>
  <c r="A28" i="82"/>
  <c r="I204" i="66"/>
  <c r="I100" i="66"/>
  <c r="I245" i="66"/>
  <c r="I144" i="66"/>
  <c r="I29" i="66"/>
  <c r="I201" i="66"/>
  <c r="I141" i="66"/>
  <c r="I45" i="66"/>
  <c r="I93" i="66"/>
  <c r="I153" i="66"/>
  <c r="I50" i="66"/>
  <c r="I102" i="66"/>
  <c r="I177" i="66"/>
  <c r="I44" i="66"/>
  <c r="I131" i="66"/>
  <c r="J85" i="74"/>
  <c r="M58" i="87"/>
  <c r="F188" i="80"/>
  <c r="AI84" i="80"/>
  <c r="I179" i="66"/>
  <c r="I89" i="66"/>
  <c r="I227" i="66"/>
  <c r="I129" i="66"/>
  <c r="I20" i="66"/>
  <c r="F253" i="66"/>
  <c r="F251" i="72" s="1"/>
  <c r="I125" i="66"/>
  <c r="I35" i="66"/>
  <c r="I78" i="66"/>
  <c r="I117" i="66"/>
  <c r="I242" i="66"/>
  <c r="I33" i="66"/>
  <c r="I80" i="66"/>
  <c r="I148" i="66"/>
  <c r="I230" i="66"/>
  <c r="I27" i="66"/>
  <c r="S33" i="107"/>
  <c r="D84" i="80"/>
  <c r="E188" i="80"/>
  <c r="T6" i="82"/>
  <c r="R6" i="82" s="1"/>
  <c r="D6" i="82" s="1"/>
  <c r="I198" i="66"/>
  <c r="R25" i="82"/>
  <c r="D25" i="82" s="1"/>
  <c r="B25" i="82" s="1"/>
  <c r="L85" i="88"/>
  <c r="L88" i="88" s="1"/>
  <c r="L91" i="88" s="1"/>
  <c r="D242" i="80"/>
  <c r="E250" i="80"/>
  <c r="D82" i="80"/>
  <c r="J67" i="88"/>
  <c r="J77" i="88" s="1"/>
  <c r="J85" i="88" s="1"/>
  <c r="S29" i="108"/>
  <c r="F250" i="80"/>
  <c r="AI242" i="80"/>
  <c r="P29" i="46"/>
  <c r="H38" i="82" s="1"/>
  <c r="R38" i="82" s="1"/>
  <c r="D38" i="82" s="1"/>
  <c r="M85" i="88"/>
  <c r="M88" i="88" s="1"/>
  <c r="M91" i="88" s="1"/>
  <c r="F60" i="92"/>
  <c r="M59" i="88"/>
  <c r="G188" i="80"/>
  <c r="D78" i="92"/>
  <c r="D86" i="92" s="1"/>
  <c r="D89" i="92" s="1"/>
  <c r="D91" i="92" s="1"/>
  <c r="A35" i="82"/>
  <c r="A32" i="82"/>
  <c r="A33" i="82"/>
  <c r="B30" i="82"/>
  <c r="A5" i="82"/>
  <c r="B3" i="82"/>
  <c r="B4" i="82"/>
  <c r="I145" i="66"/>
  <c r="I231" i="66"/>
  <c r="R24" i="82"/>
  <c r="D24" i="82" s="1"/>
  <c r="B24" i="82" s="1"/>
  <c r="R34" i="43"/>
  <c r="R21" i="43"/>
  <c r="T57" i="68"/>
  <c r="B29" i="82"/>
  <c r="H72" i="74"/>
  <c r="J72" i="74" s="1"/>
  <c r="H53" i="92"/>
  <c r="J53" i="92" s="1"/>
  <c r="H85" i="92"/>
  <c r="J85" i="92" s="1"/>
  <c r="F78" i="74"/>
  <c r="H78" i="92"/>
  <c r="J78" i="92" s="1"/>
  <c r="F86" i="92"/>
  <c r="C35" i="11"/>
  <c r="D34" i="11"/>
  <c r="A17" i="82"/>
  <c r="B13" i="82"/>
  <c r="A23" i="82"/>
  <c r="A20" i="82"/>
  <c r="B47" i="82"/>
  <c r="B8" i="82"/>
  <c r="A19" i="82"/>
  <c r="B10" i="82"/>
  <c r="A14" i="82"/>
  <c r="B16" i="82"/>
  <c r="B11" i="82"/>
  <c r="B22" i="82"/>
  <c r="A15" i="82"/>
  <c r="I142" i="66"/>
  <c r="I17" i="66"/>
  <c r="I214" i="66"/>
  <c r="I175" i="66"/>
  <c r="H27" i="82"/>
  <c r="R27" i="82" s="1"/>
  <c r="D27" i="82" s="1"/>
  <c r="A27" i="82" s="1"/>
  <c r="B48" i="82"/>
  <c r="T23" i="5"/>
  <c r="T22" i="5"/>
  <c r="T30" i="5"/>
  <c r="T21" i="5"/>
  <c r="T29" i="5"/>
  <c r="T28" i="5"/>
  <c r="T33" i="5"/>
  <c r="T35" i="5"/>
  <c r="T24" i="5"/>
  <c r="E37" i="13"/>
  <c r="M37" i="13" s="1"/>
  <c r="F105" i="66" s="1"/>
  <c r="A28" i="17"/>
  <c r="A40" i="17"/>
  <c r="A27" i="17"/>
  <c r="A37" i="17"/>
  <c r="A20" i="17"/>
  <c r="A72" i="17"/>
  <c r="E34" i="13"/>
  <c r="M34" i="13" s="1"/>
  <c r="F154" i="66" s="1"/>
  <c r="F154" i="72" s="1"/>
  <c r="A67" i="17"/>
  <c r="A62" i="17"/>
  <c r="A51" i="17"/>
  <c r="A65" i="17"/>
  <c r="A49" i="17"/>
  <c r="A47" i="17"/>
  <c r="A56" i="17"/>
  <c r="E39" i="13"/>
  <c r="M39" i="13" s="1"/>
  <c r="F107" i="66" s="1"/>
  <c r="A73" i="17"/>
  <c r="A50" i="17"/>
  <c r="A43" i="17"/>
  <c r="A42" i="17"/>
  <c r="A4" i="17"/>
  <c r="E21" i="13"/>
  <c r="M21" i="13" s="1"/>
  <c r="A21" i="17"/>
  <c r="A70" i="17"/>
  <c r="A11" i="17"/>
  <c r="E23" i="13"/>
  <c r="M23" i="13" s="1"/>
  <c r="A66" i="17"/>
  <c r="A44" i="17"/>
  <c r="A38" i="17"/>
  <c r="A33" i="17"/>
  <c r="A45" i="17"/>
  <c r="A39" i="17"/>
  <c r="A35" i="17"/>
  <c r="A16" i="17"/>
  <c r="A59" i="17"/>
  <c r="A58" i="17"/>
  <c r="A29" i="17"/>
  <c r="A57" i="17"/>
  <c r="A36" i="17"/>
  <c r="A64" i="17"/>
  <c r="A41" i="17"/>
  <c r="A19" i="17"/>
  <c r="A54" i="17"/>
  <c r="I247" i="66"/>
  <c r="I196" i="66"/>
  <c r="I146" i="66"/>
  <c r="I118" i="66"/>
  <c r="I71" i="66"/>
  <c r="I32" i="66"/>
  <c r="I250" i="66"/>
  <c r="I211" i="66"/>
  <c r="I178" i="66"/>
  <c r="I138" i="66"/>
  <c r="I111" i="66"/>
  <c r="I61" i="66"/>
  <c r="I226" i="66"/>
  <c r="I225" i="66"/>
  <c r="I232" i="66"/>
  <c r="I199" i="66"/>
  <c r="I128" i="66"/>
  <c r="I114" i="66"/>
  <c r="I72" i="66"/>
  <c r="I26" i="66"/>
  <c r="I248" i="66"/>
  <c r="I143" i="66"/>
  <c r="I40" i="66"/>
  <c r="I234" i="66"/>
  <c r="I140" i="66"/>
  <c r="I69" i="66"/>
  <c r="I24" i="66"/>
  <c r="I169" i="66"/>
  <c r="I115" i="66"/>
  <c r="I57" i="66"/>
  <c r="C7" i="72"/>
  <c r="I241" i="66"/>
  <c r="I166" i="66"/>
  <c r="I101" i="66"/>
  <c r="I28" i="66"/>
  <c r="I203" i="66"/>
  <c r="I126" i="66"/>
  <c r="I55" i="66"/>
  <c r="I181" i="66"/>
  <c r="I21" i="66"/>
  <c r="A2" i="82"/>
  <c r="K10" i="2"/>
  <c r="K11" i="2" s="1"/>
  <c r="B2" i="82"/>
  <c r="E33" i="13"/>
  <c r="M33" i="13" s="1"/>
  <c r="F153" i="66" s="1"/>
  <c r="F153" i="72" s="1"/>
  <c r="E17" i="13"/>
  <c r="M17" i="13" s="1"/>
  <c r="E35" i="13"/>
  <c r="M35" i="13" s="1"/>
  <c r="F156" i="68" s="1"/>
  <c r="E19" i="13"/>
  <c r="M19" i="13" s="1"/>
  <c r="E26" i="13"/>
  <c r="M26" i="13" s="1"/>
  <c r="F144" i="66" s="1"/>
  <c r="A74" i="17"/>
  <c r="A71" i="17"/>
  <c r="A61" i="17"/>
  <c r="A52" i="17"/>
  <c r="A34" i="17"/>
  <c r="A26" i="17"/>
  <c r="A9" i="17"/>
  <c r="A7" i="17"/>
  <c r="A69" i="17"/>
  <c r="A55" i="17"/>
  <c r="A24" i="17"/>
  <c r="A14" i="17"/>
  <c r="A8" i="17"/>
  <c r="A2" i="17"/>
  <c r="A68" i="17"/>
  <c r="A53" i="17"/>
  <c r="A32" i="17"/>
  <c r="A23" i="17"/>
  <c r="A18" i="17"/>
  <c r="A13" i="17"/>
  <c r="A5" i="17"/>
  <c r="A75" i="17"/>
  <c r="A63" i="17"/>
  <c r="A48" i="17"/>
  <c r="A31" i="17"/>
  <c r="A22" i="17"/>
  <c r="A17" i="17"/>
  <c r="A12" i="17"/>
  <c r="A3" i="17"/>
  <c r="A60" i="17"/>
  <c r="A46" i="17"/>
  <c r="A30" i="17"/>
  <c r="A6" i="17"/>
  <c r="A1" i="17"/>
  <c r="G17" i="8"/>
  <c r="Q25" i="8"/>
  <c r="G20" i="8"/>
  <c r="Q20" i="8" s="1"/>
  <c r="G18" i="8"/>
  <c r="Q18" i="8" s="1"/>
  <c r="Q24" i="8"/>
  <c r="G19" i="8"/>
  <c r="Q19" i="8" s="1"/>
  <c r="I251" i="66"/>
  <c r="P1" i="66"/>
  <c r="M8" i="121" s="1"/>
  <c r="P2" i="66"/>
  <c r="M10" i="121" s="1"/>
  <c r="I43" i="66"/>
  <c r="I36" i="66"/>
  <c r="I195" i="66"/>
  <c r="I108" i="66"/>
  <c r="I70" i="66"/>
  <c r="I62" i="66"/>
  <c r="E29" i="13"/>
  <c r="M29" i="13" s="1"/>
  <c r="E31" i="13"/>
  <c r="M31" i="13" s="1"/>
  <c r="F151" i="66" s="1"/>
  <c r="F151" i="72" s="1"/>
  <c r="E30" i="13"/>
  <c r="M30" i="13" s="1"/>
  <c r="F151" i="68" s="1"/>
  <c r="C6" i="80"/>
  <c r="D6" i="85"/>
  <c r="J6" i="75"/>
  <c r="C6" i="90"/>
  <c r="J6" i="76"/>
  <c r="M9" i="100"/>
  <c r="M7" i="101"/>
  <c r="C6" i="66"/>
  <c r="G9" i="99"/>
  <c r="M8" i="58"/>
  <c r="K6" i="64"/>
  <c r="C7" i="70"/>
  <c r="C6" i="68"/>
  <c r="K6" i="63"/>
  <c r="N6" i="61"/>
  <c r="M7" i="60"/>
  <c r="I6" i="104"/>
  <c r="N6" i="65"/>
  <c r="D6" i="52"/>
  <c r="E6" i="108"/>
  <c r="C7" i="107"/>
  <c r="C7" i="106"/>
  <c r="D6" i="43"/>
  <c r="D7" i="40"/>
  <c r="F7" i="28"/>
  <c r="J6" i="24"/>
  <c r="L6" i="20"/>
  <c r="M7" i="57"/>
  <c r="L5" i="55"/>
  <c r="O5" i="53"/>
  <c r="G5" i="51"/>
  <c r="D7" i="110"/>
  <c r="D7" i="42"/>
  <c r="F7" i="29"/>
  <c r="G6" i="23"/>
  <c r="G10" i="95"/>
  <c r="L6" i="59"/>
  <c r="E7" i="50"/>
  <c r="D6" i="46"/>
  <c r="D7" i="39"/>
  <c r="D7" i="38"/>
  <c r="F6" i="98"/>
  <c r="I6" i="33"/>
  <c r="F7" i="30"/>
  <c r="J6" i="25"/>
  <c r="I6" i="115"/>
  <c r="I8" i="14"/>
  <c r="K7" i="13"/>
  <c r="G6" i="11"/>
  <c r="I6" i="3"/>
  <c r="O8" i="112"/>
  <c r="C6" i="72"/>
  <c r="L6" i="56"/>
  <c r="J5" i="47"/>
  <c r="F6" i="35"/>
  <c r="I6" i="119"/>
  <c r="H6" i="22"/>
  <c r="K6" i="18"/>
  <c r="I8" i="15"/>
  <c r="K7" i="12"/>
  <c r="D6" i="10"/>
  <c r="P8" i="113"/>
  <c r="N7" i="5"/>
  <c r="D7" i="41"/>
  <c r="N6" i="118"/>
  <c r="L6" i="34"/>
  <c r="I6" i="8"/>
  <c r="H6" i="97"/>
  <c r="L6" i="62"/>
  <c r="G6" i="105"/>
  <c r="M5" i="117"/>
  <c r="D6" i="109"/>
  <c r="E7" i="36"/>
  <c r="G7" i="32"/>
  <c r="F7" i="31"/>
  <c r="G6" i="26"/>
  <c r="L6" i="21"/>
  <c r="L6" i="19"/>
  <c r="K6" i="17"/>
  <c r="J6" i="16"/>
  <c r="J6" i="9"/>
  <c r="H6" i="89"/>
  <c r="I6" i="4"/>
  <c r="M5" i="49"/>
  <c r="D7" i="37"/>
  <c r="L6" i="94"/>
  <c r="I120" i="2"/>
  <c r="H183" i="90"/>
  <c r="H181" i="90"/>
  <c r="H178" i="90"/>
  <c r="H175" i="90"/>
  <c r="J175" i="90" s="1"/>
  <c r="H171" i="90"/>
  <c r="H168" i="90"/>
  <c r="H166" i="90"/>
  <c r="H164" i="90"/>
  <c r="H162" i="90"/>
  <c r="H155" i="90"/>
  <c r="H153" i="90"/>
  <c r="H151" i="90"/>
  <c r="L151" i="90" s="1"/>
  <c r="H149" i="90"/>
  <c r="H147" i="90"/>
  <c r="L147" i="90" s="1"/>
  <c r="H145" i="90"/>
  <c r="H143" i="90"/>
  <c r="H141" i="90"/>
  <c r="H139" i="90"/>
  <c r="H137" i="90"/>
  <c r="H130" i="90"/>
  <c r="H128" i="90"/>
  <c r="H126" i="90"/>
  <c r="L126" i="90" s="1"/>
  <c r="H124" i="90"/>
  <c r="J124" i="90" s="1"/>
  <c r="H122" i="90"/>
  <c r="H120" i="90"/>
  <c r="H118" i="90"/>
  <c r="H116" i="90"/>
  <c r="H114" i="90"/>
  <c r="H112" i="90"/>
  <c r="H110" i="90"/>
  <c r="H108" i="90"/>
  <c r="L108" i="90" s="1"/>
  <c r="H106" i="90"/>
  <c r="H103" i="90"/>
  <c r="H101" i="90"/>
  <c r="H99" i="90"/>
  <c r="H93" i="90"/>
  <c r="H91" i="90"/>
  <c r="H89" i="90"/>
  <c r="H87" i="90"/>
  <c r="H80" i="90"/>
  <c r="H78" i="90"/>
  <c r="H72" i="90"/>
  <c r="H70" i="90"/>
  <c r="H251" i="90"/>
  <c r="H247" i="90"/>
  <c r="H245" i="90"/>
  <c r="H243" i="90"/>
  <c r="H239" i="90"/>
  <c r="H236" i="90"/>
  <c r="H234" i="90"/>
  <c r="H232" i="90"/>
  <c r="H230" i="90"/>
  <c r="H184" i="90"/>
  <c r="H182" i="90"/>
  <c r="H179" i="90"/>
  <c r="H177" i="90"/>
  <c r="H169" i="90"/>
  <c r="H167" i="90"/>
  <c r="H165" i="90"/>
  <c r="H163" i="90"/>
  <c r="H156" i="90"/>
  <c r="L156" i="90" s="1"/>
  <c r="H154" i="90"/>
  <c r="H152" i="90"/>
  <c r="H150" i="90"/>
  <c r="L150" i="90" s="1"/>
  <c r="H148" i="90"/>
  <c r="H146" i="90"/>
  <c r="H144" i="90"/>
  <c r="H142" i="90"/>
  <c r="H140" i="90"/>
  <c r="H138" i="90"/>
  <c r="H136" i="90"/>
  <c r="H131" i="90"/>
  <c r="H129" i="90"/>
  <c r="L129" i="90" s="1"/>
  <c r="H127" i="90"/>
  <c r="H125" i="90"/>
  <c r="H123" i="90"/>
  <c r="H121" i="90"/>
  <c r="J121" i="90" s="1"/>
  <c r="H119" i="90"/>
  <c r="H117" i="90"/>
  <c r="H115" i="90"/>
  <c r="H113" i="90"/>
  <c r="H111" i="90"/>
  <c r="H109" i="90"/>
  <c r="L109" i="90" s="1"/>
  <c r="H107" i="90"/>
  <c r="L107" i="90" s="1"/>
  <c r="H105" i="90"/>
  <c r="L105" i="90" s="1"/>
  <c r="H102" i="90"/>
  <c r="H100" i="90"/>
  <c r="H92" i="90"/>
  <c r="H90" i="90"/>
  <c r="H88" i="90"/>
  <c r="H79" i="90"/>
  <c r="H77" i="90"/>
  <c r="H71" i="90"/>
  <c r="H69" i="90"/>
  <c r="H66" i="90"/>
  <c r="H64" i="90"/>
  <c r="H62" i="90"/>
  <c r="H59" i="90"/>
  <c r="H57" i="90"/>
  <c r="H55" i="90"/>
  <c r="H248" i="90"/>
  <c r="H231" i="90"/>
  <c r="H225" i="90"/>
  <c r="H221" i="90"/>
  <c r="H215" i="90"/>
  <c r="H210" i="90"/>
  <c r="H206" i="90"/>
  <c r="H200" i="90"/>
  <c r="H196" i="90"/>
  <c r="H192" i="90"/>
  <c r="H61" i="90"/>
  <c r="H246" i="90"/>
  <c r="H238" i="90"/>
  <c r="H229" i="90"/>
  <c r="H224" i="90"/>
  <c r="H214" i="90"/>
  <c r="H209" i="90"/>
  <c r="H205" i="90"/>
  <c r="J205" i="90" s="1"/>
  <c r="H199" i="90"/>
  <c r="H195" i="90"/>
  <c r="H191" i="90"/>
  <c r="H63" i="90"/>
  <c r="H51" i="90"/>
  <c r="H49" i="90"/>
  <c r="H46" i="90"/>
  <c r="H44" i="90"/>
  <c r="H41" i="90"/>
  <c r="H35" i="90"/>
  <c r="H33" i="90"/>
  <c r="H31" i="90"/>
  <c r="H28" i="90"/>
  <c r="H26" i="90"/>
  <c r="H24" i="90"/>
  <c r="H22" i="90"/>
  <c r="H20" i="90"/>
  <c r="H17" i="90"/>
  <c r="H15" i="90"/>
  <c r="H13" i="90"/>
  <c r="H244" i="90"/>
  <c r="H235" i="90"/>
  <c r="H227" i="90"/>
  <c r="H223" i="90"/>
  <c r="H212" i="90"/>
  <c r="H208" i="90"/>
  <c r="H198" i="90"/>
  <c r="H194" i="90"/>
  <c r="H65" i="90"/>
  <c r="H56" i="90"/>
  <c r="H53" i="90"/>
  <c r="H250" i="90"/>
  <c r="H222" i="90"/>
  <c r="H201" i="90"/>
  <c r="H47" i="90"/>
  <c r="H36" i="90"/>
  <c r="H27" i="90"/>
  <c r="H19" i="90"/>
  <c r="H242" i="90"/>
  <c r="H216" i="90"/>
  <c r="H197" i="90"/>
  <c r="H45" i="90"/>
  <c r="H34" i="90"/>
  <c r="H25" i="90"/>
  <c r="H16" i="90"/>
  <c r="H233" i="90"/>
  <c r="H211" i="90"/>
  <c r="H193" i="90"/>
  <c r="H52" i="90"/>
  <c r="H43" i="90"/>
  <c r="H32" i="90"/>
  <c r="H23" i="90"/>
  <c r="H14" i="90"/>
  <c r="H226" i="90"/>
  <c r="H50" i="90"/>
  <c r="H207" i="90"/>
  <c r="H40" i="90"/>
  <c r="H58" i="90"/>
  <c r="H29" i="90"/>
  <c r="H21" i="90"/>
  <c r="M28" i="11"/>
  <c r="M29" i="11" s="1"/>
  <c r="E41" i="13"/>
  <c r="M41" i="13" s="1"/>
  <c r="E32" i="13"/>
  <c r="E36" i="13"/>
  <c r="M36" i="13" s="1"/>
  <c r="E28" i="13"/>
  <c r="M28" i="13" s="1"/>
  <c r="E20" i="13"/>
  <c r="M20" i="13" s="1"/>
  <c r="E40" i="13"/>
  <c r="M40" i="13" s="1"/>
  <c r="E24" i="13"/>
  <c r="M24" i="13" s="1"/>
  <c r="E25" i="13"/>
  <c r="M25" i="13" s="1"/>
  <c r="F149" i="68" s="1"/>
  <c r="E27" i="13"/>
  <c r="M27" i="13" s="1"/>
  <c r="F145" i="66" s="1"/>
  <c r="F145" i="72" s="1"/>
  <c r="E38" i="13"/>
  <c r="M38" i="13" s="1"/>
  <c r="F106" i="66" s="1"/>
  <c r="E18" i="13"/>
  <c r="M18" i="13" s="1"/>
  <c r="H248" i="72"/>
  <c r="H245" i="72"/>
  <c r="H239" i="72"/>
  <c r="H234" i="72"/>
  <c r="H230" i="72"/>
  <c r="H228" i="72"/>
  <c r="H224" i="72"/>
  <c r="H216" i="72"/>
  <c r="H215" i="72"/>
  <c r="H210" i="72"/>
  <c r="H251" i="72"/>
  <c r="H249" i="72"/>
  <c r="H246" i="72"/>
  <c r="H240" i="72"/>
  <c r="H235" i="72"/>
  <c r="H231" i="72"/>
  <c r="H225" i="72"/>
  <c r="H217" i="72"/>
  <c r="H211" i="72"/>
  <c r="H252" i="72"/>
  <c r="H243" i="72"/>
  <c r="H236" i="72"/>
  <c r="H232" i="72"/>
  <c r="H226" i="72"/>
  <c r="H222" i="72"/>
  <c r="H237" i="72"/>
  <c r="H223" i="72"/>
  <c r="H212" i="72"/>
  <c r="H207" i="72"/>
  <c r="H202" i="72"/>
  <c r="H198" i="72"/>
  <c r="H193" i="72"/>
  <c r="H181" i="72"/>
  <c r="H175" i="72"/>
  <c r="H169" i="72"/>
  <c r="H165" i="72"/>
  <c r="H156" i="72"/>
  <c r="L156" i="72" s="1"/>
  <c r="H154" i="72"/>
  <c r="H152" i="72"/>
  <c r="H150" i="72"/>
  <c r="L150" i="72" s="1"/>
  <c r="H148" i="72"/>
  <c r="H146" i="72"/>
  <c r="H144" i="72"/>
  <c r="H141" i="72"/>
  <c r="H138" i="72"/>
  <c r="H117" i="72"/>
  <c r="H113" i="72"/>
  <c r="H100" i="72"/>
  <c r="H93" i="72"/>
  <c r="H89" i="72"/>
  <c r="H247" i="72"/>
  <c r="H244" i="72"/>
  <c r="H208" i="72"/>
  <c r="H199" i="72"/>
  <c r="H194" i="72"/>
  <c r="H182" i="72"/>
  <c r="H177" i="72"/>
  <c r="H171" i="72"/>
  <c r="H166" i="72"/>
  <c r="H162" i="72"/>
  <c r="H142" i="72"/>
  <c r="H130" i="72"/>
  <c r="H128" i="72"/>
  <c r="L128" i="72" s="1"/>
  <c r="H126" i="72"/>
  <c r="L126" i="72" s="1"/>
  <c r="H124" i="72"/>
  <c r="H122" i="72"/>
  <c r="L122" i="72" s="1"/>
  <c r="H120" i="72"/>
  <c r="H118" i="72"/>
  <c r="H114" i="72"/>
  <c r="H111" i="72"/>
  <c r="H109" i="72"/>
  <c r="L109" i="72" s="1"/>
  <c r="H107" i="72"/>
  <c r="L107" i="72" s="1"/>
  <c r="H105" i="72"/>
  <c r="L105" i="72" s="1"/>
  <c r="H101" i="72"/>
  <c r="H90" i="72"/>
  <c r="H233" i="72"/>
  <c r="H227" i="72"/>
  <c r="H213" i="72"/>
  <c r="H209" i="72"/>
  <c r="H200" i="72"/>
  <c r="H195" i="72"/>
  <c r="H183" i="72"/>
  <c r="H178" i="72"/>
  <c r="H167" i="72"/>
  <c r="H163" i="72"/>
  <c r="H155" i="72"/>
  <c r="H153" i="72"/>
  <c r="H151" i="72"/>
  <c r="L151" i="72" s="1"/>
  <c r="H149" i="72"/>
  <c r="H147" i="72"/>
  <c r="L147" i="72" s="1"/>
  <c r="H145" i="72"/>
  <c r="H143" i="72"/>
  <c r="H139" i="72"/>
  <c r="L139" i="72" s="1"/>
  <c r="H136" i="72"/>
  <c r="H115" i="72"/>
  <c r="H102" i="72"/>
  <c r="H91" i="72"/>
  <c r="H87" i="72"/>
  <c r="H185" i="72"/>
  <c r="H168" i="72"/>
  <c r="H125" i="72"/>
  <c r="L125" i="72" s="1"/>
  <c r="H106" i="72"/>
  <c r="H50" i="72"/>
  <c r="H45" i="72"/>
  <c r="H34" i="72"/>
  <c r="H28" i="72"/>
  <c r="H25" i="72"/>
  <c r="H23" i="72"/>
  <c r="H20" i="72"/>
  <c r="H15" i="72"/>
  <c r="H206" i="72"/>
  <c r="H201" i="72"/>
  <c r="H196" i="72"/>
  <c r="H131" i="72"/>
  <c r="H123" i="72"/>
  <c r="H112" i="72"/>
  <c r="H103" i="72"/>
  <c r="H88" i="72"/>
  <c r="H80" i="72"/>
  <c r="H78" i="72"/>
  <c r="H72" i="72"/>
  <c r="H70" i="72"/>
  <c r="H65" i="72"/>
  <c r="H63" i="72"/>
  <c r="H61" i="72"/>
  <c r="H56" i="72"/>
  <c r="H51" i="72"/>
  <c r="H46" i="72"/>
  <c r="H41" i="72"/>
  <c r="H40" i="72"/>
  <c r="H35" i="72"/>
  <c r="H31" i="72"/>
  <c r="H29" i="72"/>
  <c r="H21" i="72"/>
  <c r="H16" i="72"/>
  <c r="H179" i="72"/>
  <c r="H164" i="72"/>
  <c r="H140" i="72"/>
  <c r="H137" i="72"/>
  <c r="H129" i="72"/>
  <c r="H121" i="72"/>
  <c r="H110" i="72"/>
  <c r="H57" i="72"/>
  <c r="H52" i="72"/>
  <c r="H47" i="72"/>
  <c r="H43" i="72"/>
  <c r="H36" i="72"/>
  <c r="H32" i="72"/>
  <c r="H26" i="72"/>
  <c r="H24" i="72"/>
  <c r="H22" i="72"/>
  <c r="H17" i="72"/>
  <c r="H13" i="72"/>
  <c r="L3" i="72"/>
  <c r="H108" i="72"/>
  <c r="L108" i="72" s="1"/>
  <c r="H92" i="72"/>
  <c r="H69" i="72"/>
  <c r="H59" i="72"/>
  <c r="H53" i="72"/>
  <c r="H44" i="72"/>
  <c r="H197" i="72"/>
  <c r="H99" i="72"/>
  <c r="H79" i="72"/>
  <c r="H66" i="72"/>
  <c r="H55" i="72"/>
  <c r="H14" i="72"/>
  <c r="H127" i="72"/>
  <c r="H116" i="72"/>
  <c r="H77" i="72"/>
  <c r="H64" i="72"/>
  <c r="H58" i="72"/>
  <c r="H49" i="72"/>
  <c r="H192" i="72"/>
  <c r="H71" i="72"/>
  <c r="H119" i="72"/>
  <c r="H62" i="72"/>
  <c r="H27" i="72"/>
  <c r="H33" i="72"/>
  <c r="H19" i="72"/>
  <c r="T203" i="68"/>
  <c r="F219" i="68"/>
  <c r="F185" i="90"/>
  <c r="F240" i="90"/>
  <c r="T186" i="68"/>
  <c r="F217" i="90"/>
  <c r="G17" i="66"/>
  <c r="F219" i="72"/>
  <c r="R19" i="59"/>
  <c r="S37" i="59"/>
  <c r="H50" i="82" s="1"/>
  <c r="R50" i="82" s="1"/>
  <c r="D50" i="82" s="1"/>
  <c r="Y39" i="101"/>
  <c r="X39" i="101"/>
  <c r="W39" i="101" s="1"/>
  <c r="X25" i="101"/>
  <c r="W25" i="101" s="1"/>
  <c r="Y25" i="101"/>
  <c r="X20" i="101"/>
  <c r="W20" i="101" s="1"/>
  <c r="Y20" i="101"/>
  <c r="X41" i="101"/>
  <c r="W41" i="101" s="1"/>
  <c r="Y41" i="101"/>
  <c r="X28" i="101"/>
  <c r="W28" i="101" s="1"/>
  <c r="Y28" i="101"/>
  <c r="B49" i="82"/>
  <c r="A49" i="82"/>
  <c r="B18" i="82"/>
  <c r="E36" i="15"/>
  <c r="D35" i="15"/>
  <c r="A12" i="82"/>
  <c r="S32" i="14"/>
  <c r="E35" i="14"/>
  <c r="D34" i="14"/>
  <c r="B7" i="82"/>
  <c r="A7" i="82"/>
  <c r="H36" i="82" l="1"/>
  <c r="R36" i="82" s="1"/>
  <c r="D36" i="82" s="1"/>
  <c r="B36" i="82" s="1"/>
  <c r="J88" i="88"/>
  <c r="I94" i="66"/>
  <c r="L170" i="72"/>
  <c r="F106" i="68"/>
  <c r="G106" i="68" s="1"/>
  <c r="J170" i="90"/>
  <c r="J48" i="72"/>
  <c r="I220" i="66"/>
  <c r="F77" i="68"/>
  <c r="F76" i="66"/>
  <c r="F75" i="68"/>
  <c r="F74" i="66"/>
  <c r="J238" i="72"/>
  <c r="L238" i="72"/>
  <c r="L237" i="90"/>
  <c r="J237" i="90"/>
  <c r="F146" i="66"/>
  <c r="F146" i="72" s="1"/>
  <c r="J146" i="72" s="1"/>
  <c r="F76" i="68"/>
  <c r="F75" i="66"/>
  <c r="L48" i="90"/>
  <c r="J228" i="90"/>
  <c r="L228" i="90" s="1"/>
  <c r="L30" i="90"/>
  <c r="J30" i="90"/>
  <c r="J111" i="72"/>
  <c r="J229" i="72"/>
  <c r="L229" i="72" s="1"/>
  <c r="L30" i="72"/>
  <c r="J30" i="72"/>
  <c r="J251" i="72"/>
  <c r="L251" i="72" s="1"/>
  <c r="F255" i="66"/>
  <c r="F257" i="66" s="1"/>
  <c r="G31" i="8"/>
  <c r="D41" i="5"/>
  <c r="T37" i="5"/>
  <c r="AI250" i="80"/>
  <c r="F253" i="80"/>
  <c r="A25" i="82"/>
  <c r="B6" i="82"/>
  <c r="A6" i="82"/>
  <c r="A38" i="82"/>
  <c r="B38" i="82"/>
  <c r="E253" i="80"/>
  <c r="C5" i="79" s="1"/>
  <c r="D250" i="80"/>
  <c r="B43" i="8"/>
  <c r="F155" i="66"/>
  <c r="F155" i="72" s="1"/>
  <c r="J155" i="72" s="1"/>
  <c r="A24" i="82"/>
  <c r="F154" i="68"/>
  <c r="T154" i="68" s="1"/>
  <c r="H86" i="92"/>
  <c r="J86" i="92" s="1"/>
  <c r="F89" i="92"/>
  <c r="F91" i="92" s="1"/>
  <c r="H78" i="74"/>
  <c r="J78" i="74" s="1"/>
  <c r="F86" i="74"/>
  <c r="D35" i="11"/>
  <c r="C36" i="11"/>
  <c r="B27" i="82"/>
  <c r="L155" i="72"/>
  <c r="L130" i="90"/>
  <c r="I67" i="66"/>
  <c r="F108" i="68"/>
  <c r="F107" i="90" s="1"/>
  <c r="J107" i="90" s="1"/>
  <c r="F155" i="68"/>
  <c r="F154" i="90" s="1"/>
  <c r="J154" i="90" s="1"/>
  <c r="L154" i="90" s="1"/>
  <c r="J154" i="72"/>
  <c r="L154" i="72" s="1"/>
  <c r="F107" i="68"/>
  <c r="T107" i="68" s="1"/>
  <c r="I172" i="66"/>
  <c r="I157" i="66"/>
  <c r="I205" i="66"/>
  <c r="F145" i="68"/>
  <c r="F144" i="90" s="1"/>
  <c r="I132" i="66"/>
  <c r="I186" i="66"/>
  <c r="I243" i="66"/>
  <c r="F148" i="66"/>
  <c r="F148" i="72" s="1"/>
  <c r="J148" i="72" s="1"/>
  <c r="L148" i="72" s="1"/>
  <c r="F152" i="68"/>
  <c r="T152" i="68" s="1"/>
  <c r="I37" i="66"/>
  <c r="I81" i="66"/>
  <c r="F146" i="68"/>
  <c r="F145" i="90" s="1"/>
  <c r="J145" i="90" s="1"/>
  <c r="L145" i="90" s="1"/>
  <c r="F150" i="66"/>
  <c r="F150" i="72" s="1"/>
  <c r="J150" i="72" s="1"/>
  <c r="J151" i="72"/>
  <c r="J153" i="72"/>
  <c r="L153" i="72" s="1"/>
  <c r="B57" i="5"/>
  <c r="J23" i="72"/>
  <c r="L23" i="72" s="1"/>
  <c r="J178" i="90"/>
  <c r="L178" i="90" s="1"/>
  <c r="J145" i="72"/>
  <c r="L145" i="72" s="1"/>
  <c r="H203" i="72"/>
  <c r="J192" i="72"/>
  <c r="L192" i="72" s="1"/>
  <c r="J197" i="72"/>
  <c r="L197" i="72" s="1"/>
  <c r="H37" i="72"/>
  <c r="J13" i="72"/>
  <c r="L13" i="72" s="1"/>
  <c r="J26" i="72"/>
  <c r="L26" i="72" s="1"/>
  <c r="L164" i="72"/>
  <c r="J164" i="72"/>
  <c r="L41" i="72"/>
  <c r="J41" i="72"/>
  <c r="J103" i="72"/>
  <c r="L103" i="72" s="1"/>
  <c r="J20" i="72"/>
  <c r="L20" i="72" s="1"/>
  <c r="L34" i="72"/>
  <c r="J34" i="72"/>
  <c r="L195" i="72"/>
  <c r="J195" i="72"/>
  <c r="J124" i="72"/>
  <c r="L124" i="72" s="1"/>
  <c r="J177" i="72"/>
  <c r="L177" i="72" s="1"/>
  <c r="L93" i="72"/>
  <c r="J93" i="72"/>
  <c r="J181" i="72"/>
  <c r="L181" i="72" s="1"/>
  <c r="H241" i="72"/>
  <c r="J222" i="72"/>
  <c r="L222" i="72" s="1"/>
  <c r="J225" i="72"/>
  <c r="L225" i="72" s="1"/>
  <c r="J215" i="72"/>
  <c r="L215" i="72" s="1"/>
  <c r="L248" i="72"/>
  <c r="J248" i="72"/>
  <c r="F150" i="68"/>
  <c r="F149" i="66"/>
  <c r="F149" i="72" s="1"/>
  <c r="J149" i="72" s="1"/>
  <c r="L149" i="72" s="1"/>
  <c r="F71" i="68"/>
  <c r="F70" i="66"/>
  <c r="J226" i="90"/>
  <c r="L226" i="90" s="1"/>
  <c r="J43" i="90"/>
  <c r="L43" i="90" s="1"/>
  <c r="J233" i="90"/>
  <c r="L233" i="90" s="1"/>
  <c r="L45" i="90"/>
  <c r="J45" i="90"/>
  <c r="J19" i="90"/>
  <c r="L19" i="90" s="1"/>
  <c r="J201" i="90"/>
  <c r="L201" i="90" s="1"/>
  <c r="L56" i="90"/>
  <c r="J56" i="90"/>
  <c r="J208" i="90"/>
  <c r="L208" i="90" s="1"/>
  <c r="J235" i="90"/>
  <c r="L235" i="90" s="1"/>
  <c r="J17" i="90"/>
  <c r="L17" i="90" s="1"/>
  <c r="L26" i="90"/>
  <c r="J26" i="90"/>
  <c r="L35" i="90"/>
  <c r="J35" i="90"/>
  <c r="J49" i="90"/>
  <c r="L49" i="90" s="1"/>
  <c r="J195" i="90"/>
  <c r="L195" i="90" s="1"/>
  <c r="J214" i="90"/>
  <c r="L214" i="90" s="1"/>
  <c r="J200" i="90"/>
  <c r="L200" i="90" s="1"/>
  <c r="H240" i="90"/>
  <c r="J240" i="90" s="1"/>
  <c r="J221" i="90"/>
  <c r="L221" i="90" s="1"/>
  <c r="L55" i="90"/>
  <c r="J55" i="90"/>
  <c r="L92" i="90"/>
  <c r="J92" i="90"/>
  <c r="J115" i="90"/>
  <c r="L115" i="90" s="1"/>
  <c r="J123" i="90"/>
  <c r="L123" i="90" s="1"/>
  <c r="L131" i="90"/>
  <c r="J131" i="90"/>
  <c r="J142" i="90"/>
  <c r="L142" i="90" s="1"/>
  <c r="L163" i="90"/>
  <c r="J163" i="90"/>
  <c r="J177" i="90"/>
  <c r="L177" i="90" s="1"/>
  <c r="J251" i="90"/>
  <c r="L251" i="90" s="1"/>
  <c r="L93" i="90"/>
  <c r="J93" i="90"/>
  <c r="J114" i="90"/>
  <c r="L114" i="90" s="1"/>
  <c r="L122" i="90"/>
  <c r="J122" i="90"/>
  <c r="J143" i="90"/>
  <c r="L143" i="90" s="1"/>
  <c r="J164" i="90"/>
  <c r="L164" i="90" s="1"/>
  <c r="H185" i="90"/>
  <c r="J185" i="90" s="1"/>
  <c r="L175" i="90"/>
  <c r="J246" i="90"/>
  <c r="L246" i="90" s="1"/>
  <c r="J139" i="72"/>
  <c r="J49" i="72"/>
  <c r="L49" i="72" s="1"/>
  <c r="J116" i="72"/>
  <c r="L116" i="72" s="1"/>
  <c r="L44" i="72"/>
  <c r="J44" i="72"/>
  <c r="L92" i="72"/>
  <c r="J92" i="72"/>
  <c r="J17" i="72"/>
  <c r="L17" i="72" s="1"/>
  <c r="J32" i="72"/>
  <c r="L32" i="72" s="1"/>
  <c r="J52" i="72"/>
  <c r="L52" i="72" s="1"/>
  <c r="L129" i="72"/>
  <c r="J129" i="72"/>
  <c r="L179" i="72"/>
  <c r="J179" i="72"/>
  <c r="J31" i="72"/>
  <c r="L31" i="72" s="1"/>
  <c r="J46" i="72"/>
  <c r="L46" i="72" s="1"/>
  <c r="J201" i="72"/>
  <c r="L201" i="72" s="1"/>
  <c r="L45" i="72"/>
  <c r="J45" i="72"/>
  <c r="J168" i="72"/>
  <c r="L168" i="72" s="1"/>
  <c r="J102" i="72"/>
  <c r="L102" i="72" s="1"/>
  <c r="J143" i="72"/>
  <c r="L143" i="72" s="1"/>
  <c r="J167" i="72"/>
  <c r="L167" i="72" s="1"/>
  <c r="J200" i="72"/>
  <c r="L200" i="72" s="1"/>
  <c r="L233" i="72"/>
  <c r="J233" i="72"/>
  <c r="L118" i="72"/>
  <c r="J118" i="72"/>
  <c r="L162" i="72"/>
  <c r="H172" i="72"/>
  <c r="J162" i="72"/>
  <c r="J182" i="72"/>
  <c r="L182" i="72" s="1"/>
  <c r="J244" i="72"/>
  <c r="L244" i="72" s="1"/>
  <c r="J100" i="72"/>
  <c r="L100" i="72" s="1"/>
  <c r="J141" i="72"/>
  <c r="L141" i="72" s="1"/>
  <c r="L165" i="72"/>
  <c r="J165" i="72"/>
  <c r="J193" i="72"/>
  <c r="L193" i="72" s="1"/>
  <c r="J212" i="72"/>
  <c r="L212" i="72" s="1"/>
  <c r="J226" i="72"/>
  <c r="L226" i="72" s="1"/>
  <c r="J252" i="72"/>
  <c r="L252" i="72" s="1"/>
  <c r="J231" i="72"/>
  <c r="L231" i="72" s="1"/>
  <c r="L249" i="72"/>
  <c r="J249" i="72"/>
  <c r="J216" i="72"/>
  <c r="L216" i="72" s="1"/>
  <c r="J234" i="72"/>
  <c r="L234" i="72" s="1"/>
  <c r="J230" i="90"/>
  <c r="L230" i="90" s="1"/>
  <c r="F147" i="66"/>
  <c r="F147" i="72" s="1"/>
  <c r="J147" i="72" s="1"/>
  <c r="F148" i="68"/>
  <c r="F156" i="66"/>
  <c r="F156" i="72" s="1"/>
  <c r="J156" i="72" s="1"/>
  <c r="F157" i="68"/>
  <c r="F63" i="68"/>
  <c r="F62" i="66"/>
  <c r="F73" i="68"/>
  <c r="F72" i="66"/>
  <c r="F69" i="66"/>
  <c r="F70" i="68"/>
  <c r="J40" i="90"/>
  <c r="L40" i="90" s="1"/>
  <c r="J14" i="90"/>
  <c r="L14" i="90" s="1"/>
  <c r="J52" i="90"/>
  <c r="L52" i="90" s="1"/>
  <c r="L16" i="90"/>
  <c r="J16" i="90"/>
  <c r="J197" i="90"/>
  <c r="L197" i="90" s="1"/>
  <c r="J27" i="90"/>
  <c r="L27" i="90" s="1"/>
  <c r="L222" i="90"/>
  <c r="J222" i="90"/>
  <c r="J212" i="90"/>
  <c r="L212" i="90" s="1"/>
  <c r="J244" i="90"/>
  <c r="L244" i="90" s="1"/>
  <c r="J20" i="90"/>
  <c r="L20" i="90" s="1"/>
  <c r="J28" i="90"/>
  <c r="L28" i="90" s="1"/>
  <c r="L41" i="90"/>
  <c r="J41" i="90"/>
  <c r="J51" i="90"/>
  <c r="L51" i="90" s="1"/>
  <c r="J199" i="90"/>
  <c r="L199" i="90" s="1"/>
  <c r="J224" i="90"/>
  <c r="L224" i="90" s="1"/>
  <c r="H67" i="90"/>
  <c r="J206" i="90"/>
  <c r="L206" i="90" s="1"/>
  <c r="J225" i="90"/>
  <c r="L225" i="90" s="1"/>
  <c r="L57" i="90"/>
  <c r="J57" i="90"/>
  <c r="J100" i="90"/>
  <c r="L100" i="90" s="1"/>
  <c r="J117" i="90"/>
  <c r="L117" i="90" s="1"/>
  <c r="L125" i="90"/>
  <c r="J125" i="90"/>
  <c r="H157" i="90"/>
  <c r="J136" i="90"/>
  <c r="L136" i="90" s="1"/>
  <c r="L165" i="90"/>
  <c r="J165" i="90"/>
  <c r="L179" i="90"/>
  <c r="J179" i="90"/>
  <c r="L232" i="90"/>
  <c r="J232" i="90"/>
  <c r="J243" i="90"/>
  <c r="L243" i="90" s="1"/>
  <c r="H94" i="90"/>
  <c r="J87" i="90"/>
  <c r="L87" i="90" s="1"/>
  <c r="H132" i="90"/>
  <c r="J99" i="90"/>
  <c r="L99" i="90" s="1"/>
  <c r="J116" i="90"/>
  <c r="L116" i="90" s="1"/>
  <c r="L124" i="90"/>
  <c r="J137" i="90"/>
  <c r="L137" i="90" s="1"/>
  <c r="J166" i="90"/>
  <c r="L166" i="90" s="1"/>
  <c r="J130" i="90"/>
  <c r="J129" i="90"/>
  <c r="Q17" i="8"/>
  <c r="Q31" i="8" s="1"/>
  <c r="J183" i="90"/>
  <c r="L183" i="90" s="1"/>
  <c r="J128" i="72"/>
  <c r="F108" i="66"/>
  <c r="F109" i="68"/>
  <c r="M32" i="13"/>
  <c r="H9" i="82"/>
  <c r="T20" i="5"/>
  <c r="F64" i="66"/>
  <c r="F65" i="68"/>
  <c r="F78" i="68"/>
  <c r="F77" i="66"/>
  <c r="F79" i="68"/>
  <c r="F78" i="66"/>
  <c r="J21" i="90"/>
  <c r="L21" i="90" s="1"/>
  <c r="J207" i="90"/>
  <c r="L207" i="90" s="1"/>
  <c r="J23" i="90"/>
  <c r="L23" i="90" s="1"/>
  <c r="J193" i="90"/>
  <c r="L193" i="90" s="1"/>
  <c r="J25" i="90"/>
  <c r="L25" i="90" s="1"/>
  <c r="J216" i="90"/>
  <c r="L216" i="90" s="1"/>
  <c r="L36" i="90"/>
  <c r="J36" i="90"/>
  <c r="L194" i="90"/>
  <c r="J194" i="90"/>
  <c r="L223" i="90"/>
  <c r="J223" i="90"/>
  <c r="H37" i="90"/>
  <c r="J13" i="90"/>
  <c r="L13" i="90" s="1"/>
  <c r="J22" i="90"/>
  <c r="L22" i="90" s="1"/>
  <c r="J31" i="90"/>
  <c r="L31" i="90" s="1"/>
  <c r="L44" i="90"/>
  <c r="J44" i="90"/>
  <c r="L205" i="90"/>
  <c r="H217" i="90"/>
  <c r="J217" i="90" s="1"/>
  <c r="J192" i="90"/>
  <c r="L192" i="90" s="1"/>
  <c r="J231" i="90"/>
  <c r="L231" i="90" s="1"/>
  <c r="J59" i="90"/>
  <c r="L59" i="90" s="1"/>
  <c r="H81" i="90"/>
  <c r="J88" i="90"/>
  <c r="L88" i="90" s="1"/>
  <c r="J102" i="90"/>
  <c r="L102" i="90" s="1"/>
  <c r="J111" i="90"/>
  <c r="L111" i="90" s="1"/>
  <c r="J119" i="90"/>
  <c r="L119" i="90" s="1"/>
  <c r="J127" i="90"/>
  <c r="L127" i="90" s="1"/>
  <c r="L138" i="90"/>
  <c r="J138" i="90"/>
  <c r="J167" i="90"/>
  <c r="L167" i="90" s="1"/>
  <c r="J182" i="90"/>
  <c r="L182" i="90" s="1"/>
  <c r="J234" i="90"/>
  <c r="L234" i="90" s="1"/>
  <c r="J245" i="90"/>
  <c r="L245" i="90" s="1"/>
  <c r="L89" i="90"/>
  <c r="J89" i="90"/>
  <c r="J101" i="90"/>
  <c r="L101" i="90" s="1"/>
  <c r="J110" i="90"/>
  <c r="L110" i="90" s="1"/>
  <c r="L118" i="90"/>
  <c r="J118" i="90"/>
  <c r="L139" i="90"/>
  <c r="J139" i="90"/>
  <c r="J168" i="90"/>
  <c r="L168" i="90" s="1"/>
  <c r="J229" i="90"/>
  <c r="L229" i="90" s="1"/>
  <c r="J181" i="90"/>
  <c r="L181" i="90" s="1"/>
  <c r="J125" i="72"/>
  <c r="J27" i="72"/>
  <c r="L27" i="72" s="1"/>
  <c r="L55" i="72"/>
  <c r="J55" i="72"/>
  <c r="H81" i="72"/>
  <c r="J47" i="72"/>
  <c r="L47" i="72" s="1"/>
  <c r="J29" i="72"/>
  <c r="L29" i="72" s="1"/>
  <c r="H67" i="72"/>
  <c r="J196" i="72"/>
  <c r="L196" i="72" s="1"/>
  <c r="J91" i="72"/>
  <c r="L91" i="72" s="1"/>
  <c r="J163" i="72"/>
  <c r="L163" i="72" s="1"/>
  <c r="J227" i="72"/>
  <c r="L227" i="72" s="1"/>
  <c r="J114" i="72"/>
  <c r="L114" i="72" s="1"/>
  <c r="J142" i="72"/>
  <c r="L142" i="72" s="1"/>
  <c r="J208" i="72"/>
  <c r="L208" i="72" s="1"/>
  <c r="L138" i="72"/>
  <c r="J138" i="72"/>
  <c r="J207" i="72"/>
  <c r="L207" i="72" s="1"/>
  <c r="J243" i="72"/>
  <c r="L243" i="72" s="1"/>
  <c r="J246" i="72"/>
  <c r="L246" i="72" s="1"/>
  <c r="J230" i="72"/>
  <c r="L230" i="72" s="1"/>
  <c r="F72" i="68"/>
  <c r="F71" i="66"/>
  <c r="F63" i="66"/>
  <c r="F64" i="68"/>
  <c r="J58" i="90"/>
  <c r="L58" i="90" s="1"/>
  <c r="F147" i="68"/>
  <c r="T147" i="68" s="1"/>
  <c r="J19" i="72"/>
  <c r="L19" i="72" s="1"/>
  <c r="J119" i="72"/>
  <c r="L119" i="72" s="1"/>
  <c r="J58" i="72"/>
  <c r="L58" i="72" s="1"/>
  <c r="J127" i="72"/>
  <c r="L127" i="72" s="1"/>
  <c r="J53" i="72"/>
  <c r="L53" i="72" s="1"/>
  <c r="J22" i="72"/>
  <c r="L22" i="72" s="1"/>
  <c r="L36" i="72"/>
  <c r="J36" i="72"/>
  <c r="L57" i="72"/>
  <c r="J57" i="72"/>
  <c r="J137" i="72"/>
  <c r="L137" i="72" s="1"/>
  <c r="L16" i="72"/>
  <c r="J16" i="72"/>
  <c r="L35" i="72"/>
  <c r="J35" i="72"/>
  <c r="L51" i="72"/>
  <c r="J51" i="72"/>
  <c r="J123" i="72"/>
  <c r="L123" i="72" s="1"/>
  <c r="H218" i="72"/>
  <c r="J206" i="72"/>
  <c r="L206" i="72" s="1"/>
  <c r="J25" i="72"/>
  <c r="L25" i="72" s="1"/>
  <c r="J50" i="72"/>
  <c r="L50" i="72" s="1"/>
  <c r="J185" i="72"/>
  <c r="L185" i="72" s="1"/>
  <c r="J115" i="72"/>
  <c r="L115" i="72" s="1"/>
  <c r="L178" i="72"/>
  <c r="J178" i="72"/>
  <c r="J209" i="72"/>
  <c r="L209" i="72" s="1"/>
  <c r="J90" i="72"/>
  <c r="L90" i="72" s="1"/>
  <c r="J120" i="72"/>
  <c r="L120" i="72" s="1"/>
  <c r="J166" i="72"/>
  <c r="L166" i="72" s="1"/>
  <c r="J194" i="72"/>
  <c r="L194" i="72" s="1"/>
  <c r="J247" i="72"/>
  <c r="L247" i="72" s="1"/>
  <c r="J113" i="72"/>
  <c r="L113" i="72" s="1"/>
  <c r="J169" i="72"/>
  <c r="L169" i="72" s="1"/>
  <c r="J198" i="72"/>
  <c r="L198" i="72" s="1"/>
  <c r="L223" i="72"/>
  <c r="J223" i="72"/>
  <c r="J232" i="72"/>
  <c r="L232" i="72" s="1"/>
  <c r="J211" i="72"/>
  <c r="L211" i="72" s="1"/>
  <c r="J235" i="72"/>
  <c r="L235" i="72" s="1"/>
  <c r="L224" i="72"/>
  <c r="J224" i="72"/>
  <c r="J239" i="72"/>
  <c r="L239" i="72" s="1"/>
  <c r="J239" i="90"/>
  <c r="L239" i="90" s="1"/>
  <c r="J121" i="72"/>
  <c r="L121" i="72" s="1"/>
  <c r="J33" i="72"/>
  <c r="L33" i="72" s="1"/>
  <c r="J14" i="72"/>
  <c r="L14" i="72" s="1"/>
  <c r="H132" i="72"/>
  <c r="J99" i="72"/>
  <c r="L99" i="72" s="1"/>
  <c r="J59" i="72"/>
  <c r="L59" i="72" s="1"/>
  <c r="J24" i="72"/>
  <c r="L24" i="72" s="1"/>
  <c r="J43" i="72"/>
  <c r="L43" i="72" s="1"/>
  <c r="J110" i="72"/>
  <c r="L110" i="72" s="1"/>
  <c r="J140" i="72"/>
  <c r="L140" i="72" s="1"/>
  <c r="J21" i="72"/>
  <c r="L21" i="72" s="1"/>
  <c r="J40" i="72"/>
  <c r="L40" i="72" s="1"/>
  <c r="J56" i="72"/>
  <c r="L56" i="72" s="1"/>
  <c r="J88" i="72"/>
  <c r="L88" i="72" s="1"/>
  <c r="L131" i="72"/>
  <c r="J131" i="72"/>
  <c r="J15" i="72"/>
  <c r="L15" i="72" s="1"/>
  <c r="J28" i="72"/>
  <c r="L28" i="72" s="1"/>
  <c r="H94" i="72"/>
  <c r="J87" i="72"/>
  <c r="L87" i="72" s="1"/>
  <c r="H157" i="72"/>
  <c r="J136" i="72"/>
  <c r="L136" i="72" s="1"/>
  <c r="J183" i="72"/>
  <c r="L183" i="72" s="1"/>
  <c r="J213" i="72"/>
  <c r="L213" i="72" s="1"/>
  <c r="J101" i="72"/>
  <c r="L101" i="72" s="1"/>
  <c r="L111" i="72"/>
  <c r="J171" i="72"/>
  <c r="L171" i="72" s="1"/>
  <c r="J199" i="72"/>
  <c r="L199" i="72" s="1"/>
  <c r="L89" i="72"/>
  <c r="J89" i="72"/>
  <c r="J117" i="72"/>
  <c r="L117" i="72" s="1"/>
  <c r="L146" i="72"/>
  <c r="H186" i="72"/>
  <c r="J175" i="72"/>
  <c r="L175" i="72" s="1"/>
  <c r="J202" i="72"/>
  <c r="L202" i="72" s="1"/>
  <c r="J237" i="72"/>
  <c r="L237" i="72" s="1"/>
  <c r="J236" i="72"/>
  <c r="L236" i="72" s="1"/>
  <c r="J217" i="72"/>
  <c r="L217" i="72" s="1"/>
  <c r="J240" i="72"/>
  <c r="L240" i="72" s="1"/>
  <c r="J210" i="72"/>
  <c r="L210" i="72" s="1"/>
  <c r="J228" i="72"/>
  <c r="L228" i="72" s="1"/>
  <c r="J245" i="72"/>
  <c r="L245" i="72" s="1"/>
  <c r="J130" i="72"/>
  <c r="L130" i="72" s="1"/>
  <c r="F109" i="66"/>
  <c r="F110" i="68"/>
  <c r="F66" i="68"/>
  <c r="F65" i="66"/>
  <c r="F67" i="68"/>
  <c r="F66" i="66"/>
  <c r="F80" i="68"/>
  <c r="F79" i="66"/>
  <c r="J29" i="90"/>
  <c r="L29" i="90" s="1"/>
  <c r="J50" i="90"/>
  <c r="L50" i="90" s="1"/>
  <c r="J32" i="90"/>
  <c r="L32" i="90" s="1"/>
  <c r="J211" i="90"/>
  <c r="L211" i="90" s="1"/>
  <c r="L34" i="90"/>
  <c r="J34" i="90"/>
  <c r="J242" i="90"/>
  <c r="L242" i="90" s="1"/>
  <c r="J47" i="90"/>
  <c r="L47" i="90" s="1"/>
  <c r="J53" i="90"/>
  <c r="L53" i="90" s="1"/>
  <c r="J198" i="90"/>
  <c r="L198" i="90" s="1"/>
  <c r="J227" i="90"/>
  <c r="L227" i="90" s="1"/>
  <c r="J15" i="90"/>
  <c r="L15" i="90" s="1"/>
  <c r="J24" i="90"/>
  <c r="L24" i="90" s="1"/>
  <c r="J33" i="90"/>
  <c r="L33" i="90" s="1"/>
  <c r="J46" i="90"/>
  <c r="L46" i="90" s="1"/>
  <c r="H202" i="90"/>
  <c r="J191" i="90"/>
  <c r="L191" i="90" s="1"/>
  <c r="J209" i="90"/>
  <c r="L209" i="90" s="1"/>
  <c r="J238" i="90"/>
  <c r="L238" i="90" s="1"/>
  <c r="J196" i="90"/>
  <c r="L196" i="90" s="1"/>
  <c r="J215" i="90"/>
  <c r="L215" i="90" s="1"/>
  <c r="L248" i="90"/>
  <c r="J248" i="90"/>
  <c r="J90" i="90"/>
  <c r="L90" i="90" s="1"/>
  <c r="J113" i="90"/>
  <c r="L113" i="90" s="1"/>
  <c r="L121" i="90"/>
  <c r="J140" i="90"/>
  <c r="L140" i="90" s="1"/>
  <c r="J169" i="90"/>
  <c r="L169" i="90" s="1"/>
  <c r="J184" i="90"/>
  <c r="L184" i="90" s="1"/>
  <c r="J236" i="90"/>
  <c r="L236" i="90" s="1"/>
  <c r="L247" i="90"/>
  <c r="J247" i="90"/>
  <c r="J91" i="90"/>
  <c r="L91" i="90" s="1"/>
  <c r="J103" i="90"/>
  <c r="L103" i="90" s="1"/>
  <c r="J112" i="90"/>
  <c r="L112" i="90" s="1"/>
  <c r="J120" i="90"/>
  <c r="L120" i="90" s="1"/>
  <c r="L128" i="90"/>
  <c r="J128" i="90"/>
  <c r="J141" i="90"/>
  <c r="L141" i="90" s="1"/>
  <c r="H172" i="90"/>
  <c r="L162" i="90"/>
  <c r="J162" i="90"/>
  <c r="J171" i="90"/>
  <c r="L171" i="90" s="1"/>
  <c r="J126" i="90"/>
  <c r="J210" i="90"/>
  <c r="L210" i="90" s="1"/>
  <c r="J112" i="72"/>
  <c r="L112" i="72" s="1"/>
  <c r="J126" i="72"/>
  <c r="J122" i="72"/>
  <c r="F218" i="90"/>
  <c r="F241" i="90" s="1"/>
  <c r="T219" i="68"/>
  <c r="F242" i="68"/>
  <c r="F242" i="72"/>
  <c r="B50" i="82"/>
  <c r="A50" i="82"/>
  <c r="D36" i="15"/>
  <c r="E37" i="15"/>
  <c r="D35" i="14"/>
  <c r="E36" i="14"/>
  <c r="F105" i="72"/>
  <c r="G105" i="66"/>
  <c r="F144" i="72"/>
  <c r="T149" i="68"/>
  <c r="F148" i="90"/>
  <c r="J148" i="90" s="1"/>
  <c r="L148" i="90" s="1"/>
  <c r="F155" i="90"/>
  <c r="J155" i="90" s="1"/>
  <c r="L155" i="90" s="1"/>
  <c r="T156" i="68"/>
  <c r="G107" i="66"/>
  <c r="F107" i="72"/>
  <c r="J107" i="72" s="1"/>
  <c r="F106" i="72"/>
  <c r="J106" i="72" s="1"/>
  <c r="L106" i="72" s="1"/>
  <c r="G106" i="66"/>
  <c r="F150" i="90"/>
  <c r="J150" i="90" s="1"/>
  <c r="T151" i="68"/>
  <c r="A36" i="82" l="1"/>
  <c r="J91" i="88"/>
  <c r="T106" i="68"/>
  <c r="F105" i="90"/>
  <c r="J105" i="90" s="1"/>
  <c r="I221" i="66"/>
  <c r="I244" i="66" s="1"/>
  <c r="I252" i="66" s="1"/>
  <c r="I255" i="66" s="1"/>
  <c r="I257" i="66" s="1"/>
  <c r="G75" i="66"/>
  <c r="F75" i="72"/>
  <c r="J75" i="72" s="1"/>
  <c r="L75" i="72" s="1"/>
  <c r="T75" i="68"/>
  <c r="F74" i="90"/>
  <c r="J74" i="90" s="1"/>
  <c r="L74" i="90" s="1"/>
  <c r="T76" i="68"/>
  <c r="F75" i="90"/>
  <c r="J75" i="90" s="1"/>
  <c r="L75" i="90" s="1"/>
  <c r="G76" i="66"/>
  <c r="F76" i="72"/>
  <c r="J76" i="72" s="1"/>
  <c r="L76" i="72" s="1"/>
  <c r="T77" i="68"/>
  <c r="F76" i="90"/>
  <c r="J76" i="90" s="1"/>
  <c r="L76" i="90" s="1"/>
  <c r="F74" i="68"/>
  <c r="F73" i="66"/>
  <c r="G74" i="66"/>
  <c r="F74" i="72"/>
  <c r="J74" i="72" s="1"/>
  <c r="L74" i="72" s="1"/>
  <c r="F151" i="90"/>
  <c r="J151" i="90" s="1"/>
  <c r="F153" i="90"/>
  <c r="J153" i="90" s="1"/>
  <c r="L153" i="90" s="1"/>
  <c r="T108" i="68"/>
  <c r="G108" i="68"/>
  <c r="T41" i="5"/>
  <c r="AI253" i="80"/>
  <c r="C6" i="79"/>
  <c r="F255" i="80"/>
  <c r="D253" i="80"/>
  <c r="E255" i="80"/>
  <c r="T145" i="68"/>
  <c r="H86" i="74"/>
  <c r="J86" i="74" s="1"/>
  <c r="F89" i="74"/>
  <c r="F91" i="74" s="1"/>
  <c r="C37" i="11"/>
  <c r="D36" i="11"/>
  <c r="F106" i="90"/>
  <c r="J106" i="90" s="1"/>
  <c r="L106" i="90" s="1"/>
  <c r="G107" i="68"/>
  <c r="I82" i="66"/>
  <c r="I84" i="66" s="1"/>
  <c r="T155" i="68"/>
  <c r="I159" i="66"/>
  <c r="T146" i="68"/>
  <c r="F146" i="90"/>
  <c r="J146" i="90" s="1"/>
  <c r="L146" i="90" s="1"/>
  <c r="F133" i="68"/>
  <c r="T133" i="68" s="1"/>
  <c r="F132" i="66"/>
  <c r="F66" i="90"/>
  <c r="J66" i="90" s="1"/>
  <c r="L66" i="90" s="1"/>
  <c r="G67" i="68"/>
  <c r="T67" i="68"/>
  <c r="F109" i="72"/>
  <c r="J109" i="72" s="1"/>
  <c r="G109" i="66"/>
  <c r="J186" i="72"/>
  <c r="L186" i="72" s="1"/>
  <c r="H159" i="72"/>
  <c r="G63" i="66"/>
  <c r="F63" i="72"/>
  <c r="J63" i="72" s="1"/>
  <c r="L63" i="72" s="1"/>
  <c r="F77" i="72"/>
  <c r="J77" i="72" s="1"/>
  <c r="L77" i="72" s="1"/>
  <c r="G77" i="66"/>
  <c r="F61" i="66"/>
  <c r="F62" i="68"/>
  <c r="G109" i="68"/>
  <c r="F108" i="90"/>
  <c r="J108" i="90" s="1"/>
  <c r="T109" i="68"/>
  <c r="F81" i="68"/>
  <c r="F80" i="66"/>
  <c r="F72" i="72"/>
  <c r="J72" i="72" s="1"/>
  <c r="L72" i="72" s="1"/>
  <c r="G72" i="66"/>
  <c r="T157" i="68"/>
  <c r="F156" i="90"/>
  <c r="J156" i="90" s="1"/>
  <c r="J172" i="90"/>
  <c r="L172" i="90" s="1"/>
  <c r="F79" i="72"/>
  <c r="J79" i="72" s="1"/>
  <c r="L79" i="72" s="1"/>
  <c r="G79" i="66"/>
  <c r="F65" i="72"/>
  <c r="J65" i="72" s="1"/>
  <c r="L65" i="72" s="1"/>
  <c r="G65" i="66"/>
  <c r="F71" i="72"/>
  <c r="J71" i="72" s="1"/>
  <c r="L71" i="72" s="1"/>
  <c r="G71" i="66"/>
  <c r="J37" i="90"/>
  <c r="L37" i="90" s="1"/>
  <c r="F77" i="90"/>
  <c r="J77" i="90" s="1"/>
  <c r="L77" i="90" s="1"/>
  <c r="G78" i="68"/>
  <c r="T78" i="68"/>
  <c r="G108" i="66"/>
  <c r="F108" i="72"/>
  <c r="J108" i="72" s="1"/>
  <c r="F72" i="90"/>
  <c r="J72" i="90" s="1"/>
  <c r="L72" i="90" s="1"/>
  <c r="T73" i="68"/>
  <c r="G73" i="68"/>
  <c r="J172" i="72"/>
  <c r="L172" i="72" s="1"/>
  <c r="L185" i="90"/>
  <c r="T150" i="68"/>
  <c r="F149" i="90"/>
  <c r="J149" i="90" s="1"/>
  <c r="L149" i="90" s="1"/>
  <c r="J241" i="72"/>
  <c r="L241" i="72" s="1"/>
  <c r="F79" i="90"/>
  <c r="J79" i="90" s="1"/>
  <c r="L79" i="90" s="1"/>
  <c r="G80" i="68"/>
  <c r="T80" i="68"/>
  <c r="F65" i="90"/>
  <c r="J65" i="90" s="1"/>
  <c r="L65" i="90" s="1"/>
  <c r="G66" i="68"/>
  <c r="T66" i="68"/>
  <c r="J94" i="72"/>
  <c r="L94" i="72" s="1"/>
  <c r="F71" i="90"/>
  <c r="J71" i="90" s="1"/>
  <c r="L71" i="90" s="1"/>
  <c r="G72" i="68"/>
  <c r="T72" i="68"/>
  <c r="F78" i="72"/>
  <c r="J78" i="72" s="1"/>
  <c r="L78" i="72" s="1"/>
  <c r="G78" i="66"/>
  <c r="F64" i="90"/>
  <c r="J64" i="90" s="1"/>
  <c r="L64" i="90" s="1"/>
  <c r="G65" i="68"/>
  <c r="T65" i="68"/>
  <c r="J94" i="90"/>
  <c r="L94" i="90" s="1"/>
  <c r="F69" i="90"/>
  <c r="T70" i="68"/>
  <c r="G70" i="68"/>
  <c r="G62" i="66"/>
  <c r="F62" i="72"/>
  <c r="J62" i="72" s="1"/>
  <c r="L62" i="72" s="1"/>
  <c r="F147" i="90"/>
  <c r="J147" i="90" s="1"/>
  <c r="T148" i="68"/>
  <c r="F70" i="72"/>
  <c r="J70" i="72" s="1"/>
  <c r="L70" i="72" s="1"/>
  <c r="G70" i="66"/>
  <c r="J37" i="72"/>
  <c r="L37" i="72" s="1"/>
  <c r="H218" i="90"/>
  <c r="J202" i="90"/>
  <c r="L202" i="90" s="1"/>
  <c r="F66" i="72"/>
  <c r="J66" i="72" s="1"/>
  <c r="L66" i="72" s="1"/>
  <c r="G66" i="66"/>
  <c r="F109" i="90"/>
  <c r="J109" i="90" s="1"/>
  <c r="G110" i="68"/>
  <c r="T110" i="68"/>
  <c r="J218" i="72"/>
  <c r="L218" i="72" s="1"/>
  <c r="F63" i="90"/>
  <c r="J63" i="90" s="1"/>
  <c r="L63" i="90" s="1"/>
  <c r="G64" i="68"/>
  <c r="T64" i="68"/>
  <c r="H82" i="72"/>
  <c r="L217" i="90"/>
  <c r="F78" i="90"/>
  <c r="J78" i="90" s="1"/>
  <c r="L78" i="90" s="1"/>
  <c r="T79" i="68"/>
  <c r="G79" i="68"/>
  <c r="F64" i="72"/>
  <c r="J64" i="72" s="1"/>
  <c r="L64" i="72" s="1"/>
  <c r="G64" i="66"/>
  <c r="F153" i="68"/>
  <c r="F152" i="66"/>
  <c r="I9" i="82"/>
  <c r="U9" i="82" s="1"/>
  <c r="H159" i="90"/>
  <c r="H82" i="90"/>
  <c r="F69" i="72"/>
  <c r="G69" i="66"/>
  <c r="F62" i="90"/>
  <c r="J62" i="90" s="1"/>
  <c r="L62" i="90" s="1"/>
  <c r="T63" i="68"/>
  <c r="G63" i="68"/>
  <c r="L240" i="90"/>
  <c r="F70" i="90"/>
  <c r="J70" i="90" s="1"/>
  <c r="L70" i="90" s="1"/>
  <c r="T71" i="68"/>
  <c r="G71" i="68"/>
  <c r="H219" i="72"/>
  <c r="J203" i="72"/>
  <c r="L203" i="72" s="1"/>
  <c r="F249" i="90"/>
  <c r="F250" i="68"/>
  <c r="T242" i="68"/>
  <c r="F250" i="72"/>
  <c r="D37" i="15"/>
  <c r="D38" i="15"/>
  <c r="D36" i="14"/>
  <c r="E37" i="14"/>
  <c r="J144" i="90"/>
  <c r="L144" i="90" s="1"/>
  <c r="J144" i="72"/>
  <c r="L144" i="72" s="1"/>
  <c r="J105" i="72"/>
  <c r="F82" i="68" l="1"/>
  <c r="T82" i="68" s="1"/>
  <c r="F81" i="66"/>
  <c r="G73" i="66"/>
  <c r="F73" i="72"/>
  <c r="J73" i="72" s="1"/>
  <c r="L73" i="72" s="1"/>
  <c r="T74" i="68"/>
  <c r="F73" i="90"/>
  <c r="J73" i="90" s="1"/>
  <c r="L73" i="90" s="1"/>
  <c r="C38" i="79"/>
  <c r="F38" i="79" s="1"/>
  <c r="I251" i="68"/>
  <c r="F5" i="79"/>
  <c r="D37" i="11"/>
  <c r="C38" i="11"/>
  <c r="I188" i="66"/>
  <c r="I190" i="66"/>
  <c r="F132" i="72"/>
  <c r="J132" i="72" s="1"/>
  <c r="L132" i="72" s="1"/>
  <c r="F132" i="90"/>
  <c r="J132" i="90" s="1"/>
  <c r="L132" i="90" s="1"/>
  <c r="T9" i="82"/>
  <c r="R9" i="82" s="1"/>
  <c r="D9" i="82" s="1"/>
  <c r="F61" i="90"/>
  <c r="T62" i="68"/>
  <c r="G62" i="68"/>
  <c r="F68" i="68"/>
  <c r="H242" i="72"/>
  <c r="J219" i="72"/>
  <c r="L219" i="72" s="1"/>
  <c r="F152" i="72"/>
  <c r="F157" i="66"/>
  <c r="F159" i="66" s="1"/>
  <c r="J69" i="90"/>
  <c r="L69" i="90" s="1"/>
  <c r="G61" i="66"/>
  <c r="F61" i="72"/>
  <c r="F67" i="66"/>
  <c r="T153" i="68"/>
  <c r="F152" i="90"/>
  <c r="F158" i="68"/>
  <c r="H84" i="90"/>
  <c r="G80" i="66"/>
  <c r="F80" i="72"/>
  <c r="J80" i="72" s="1"/>
  <c r="L80" i="72" s="1"/>
  <c r="J69" i="72"/>
  <c r="L69" i="72" s="1"/>
  <c r="H241" i="90"/>
  <c r="J218" i="90"/>
  <c r="L218" i="90" s="1"/>
  <c r="H84" i="72"/>
  <c r="F80" i="90"/>
  <c r="J80" i="90" s="1"/>
  <c r="L80" i="90" s="1"/>
  <c r="T81" i="68"/>
  <c r="G81" i="68"/>
  <c r="F253" i="72"/>
  <c r="F255" i="72" s="1"/>
  <c r="D39" i="15"/>
  <c r="E38" i="15"/>
  <c r="D38" i="14"/>
  <c r="D37" i="14"/>
  <c r="F251" i="68" l="1"/>
  <c r="I253" i="68"/>
  <c r="I255" i="68" s="1"/>
  <c r="C39" i="11"/>
  <c r="D38" i="11"/>
  <c r="T158" i="68"/>
  <c r="F160" i="68"/>
  <c r="T160" i="68" s="1"/>
  <c r="J61" i="72"/>
  <c r="L61" i="72" s="1"/>
  <c r="F67" i="72"/>
  <c r="H249" i="90"/>
  <c r="J241" i="90"/>
  <c r="L241" i="90" s="1"/>
  <c r="J152" i="90"/>
  <c r="L152" i="90" s="1"/>
  <c r="F157" i="90"/>
  <c r="H250" i="72"/>
  <c r="J242" i="72"/>
  <c r="L242" i="72" s="1"/>
  <c r="H188" i="72"/>
  <c r="F81" i="90"/>
  <c r="J81" i="90" s="1"/>
  <c r="L81" i="90" s="1"/>
  <c r="J152" i="72"/>
  <c r="L152" i="72" s="1"/>
  <c r="F157" i="72"/>
  <c r="F67" i="90"/>
  <c r="J61" i="90"/>
  <c r="L61" i="90" s="1"/>
  <c r="F81" i="72"/>
  <c r="J81" i="72" s="1"/>
  <c r="L81" i="72" s="1"/>
  <c r="H187" i="90"/>
  <c r="G176" i="66"/>
  <c r="F82" i="66"/>
  <c r="F84" i="66" s="1"/>
  <c r="G175" i="66"/>
  <c r="G176" i="68"/>
  <c r="T68" i="68"/>
  <c r="F83" i="68"/>
  <c r="B9" i="82"/>
  <c r="A9" i="82"/>
  <c r="E39" i="15"/>
  <c r="D40" i="15"/>
  <c r="E38" i="14"/>
  <c r="D39" i="14"/>
  <c r="F250" i="90" l="1"/>
  <c r="T251" i="68"/>
  <c r="F257" i="68"/>
  <c r="F253" i="68"/>
  <c r="D39" i="11"/>
  <c r="C40" i="11"/>
  <c r="F85" i="68"/>
  <c r="T83" i="68"/>
  <c r="F190" i="66"/>
  <c r="F188" i="66"/>
  <c r="F82" i="72"/>
  <c r="J67" i="72"/>
  <c r="L67" i="72" s="1"/>
  <c r="H253" i="72"/>
  <c r="H255" i="72" s="1"/>
  <c r="J250" i="72"/>
  <c r="L250" i="72" s="1"/>
  <c r="J67" i="90"/>
  <c r="L67" i="90" s="1"/>
  <c r="F82" i="90"/>
  <c r="H252" i="90"/>
  <c r="H254" i="90" s="1"/>
  <c r="J249" i="90"/>
  <c r="L249" i="90" s="1"/>
  <c r="B46" i="41"/>
  <c r="B54" i="24"/>
  <c r="B126" i="110"/>
  <c r="B39" i="53"/>
  <c r="B45" i="36"/>
  <c r="B77" i="3"/>
  <c r="B42" i="36"/>
  <c r="B91" i="55"/>
  <c r="B85" i="97"/>
  <c r="B55" i="24"/>
  <c r="B55" i="12"/>
  <c r="B50" i="13"/>
  <c r="B40" i="43"/>
  <c r="B120" i="110"/>
  <c r="B53" i="24"/>
  <c r="B34" i="53"/>
  <c r="B113" i="115"/>
  <c r="B84" i="57"/>
  <c r="B62" i="22"/>
  <c r="B111" i="115"/>
  <c r="B56" i="49"/>
  <c r="B52" i="8"/>
  <c r="B125" i="110"/>
  <c r="B43" i="37"/>
  <c r="C55" i="56"/>
  <c r="B94" i="55"/>
  <c r="B38" i="39"/>
  <c r="B40" i="36"/>
  <c r="C100" i="11"/>
  <c r="B45" i="8"/>
  <c r="B112" i="115"/>
  <c r="B39" i="37"/>
  <c r="C44" i="59"/>
  <c r="B36" i="53"/>
  <c r="B79" i="3"/>
  <c r="B40" i="38"/>
  <c r="C78" i="17"/>
  <c r="B119" i="110"/>
  <c r="B58" i="22"/>
  <c r="B87" i="89"/>
  <c r="C42" i="59"/>
  <c r="B34" i="37"/>
  <c r="B78" i="89"/>
  <c r="B79" i="97"/>
  <c r="B35" i="53"/>
  <c r="B73" i="3"/>
  <c r="B47" i="12"/>
  <c r="B59" i="22"/>
  <c r="B43" i="40"/>
  <c r="C45" i="59"/>
  <c r="B88" i="97"/>
  <c r="B47" i="41"/>
  <c r="B46" i="40"/>
  <c r="B32" i="47"/>
  <c r="C102" i="11"/>
  <c r="B49" i="13"/>
  <c r="B41" i="41"/>
  <c r="B84" i="14"/>
  <c r="B72" i="3"/>
  <c r="B61" i="22"/>
  <c r="B41" i="53"/>
  <c r="B118" i="110"/>
  <c r="B39" i="42"/>
  <c r="C98" i="11"/>
  <c r="B76" i="57"/>
  <c r="C75" i="17"/>
  <c r="B74" i="3"/>
  <c r="B40" i="40"/>
  <c r="B67" i="22"/>
  <c r="C49" i="59"/>
  <c r="B81" i="3"/>
  <c r="B92" i="55"/>
  <c r="B44" i="8"/>
  <c r="B116" i="115"/>
  <c r="B123" i="110"/>
  <c r="B43" i="41"/>
  <c r="B40" i="47"/>
  <c r="C94" i="11"/>
  <c r="B44" i="46"/>
  <c r="B45" i="43"/>
  <c r="B85" i="57"/>
  <c r="B76" i="14"/>
  <c r="C80" i="17"/>
  <c r="B44" i="38"/>
  <c r="B56" i="12"/>
  <c r="B51" i="13"/>
  <c r="B58" i="49"/>
  <c r="C81" i="17"/>
  <c r="B43" i="42"/>
  <c r="B77" i="14"/>
  <c r="B57" i="13"/>
  <c r="B82" i="97"/>
  <c r="B52" i="24"/>
  <c r="B44" i="42"/>
  <c r="B74" i="15"/>
  <c r="B78" i="14"/>
  <c r="B122" i="110"/>
  <c r="B78" i="3"/>
  <c r="B40" i="37"/>
  <c r="B38" i="40"/>
  <c r="B37" i="46"/>
  <c r="B51" i="8"/>
  <c r="C103" i="11"/>
  <c r="B82" i="14"/>
  <c r="B98" i="55"/>
  <c r="C53" i="56"/>
  <c r="B81" i="15"/>
  <c r="B40" i="42"/>
  <c r="B55" i="13"/>
  <c r="B96" i="55"/>
  <c r="B39" i="36"/>
  <c r="B38" i="47"/>
  <c r="B60" i="5"/>
  <c r="B48" i="41"/>
  <c r="B118" i="115"/>
  <c r="B75" i="3"/>
  <c r="B87" i="97"/>
  <c r="C51" i="56"/>
  <c r="C54" i="56"/>
  <c r="B124" i="110"/>
  <c r="B115" i="115"/>
  <c r="B78" i="15"/>
  <c r="B120" i="115"/>
  <c r="B43" i="46"/>
  <c r="B78" i="57"/>
  <c r="B58" i="13"/>
  <c r="B66" i="5"/>
  <c r="B84" i="89"/>
  <c r="B47" i="39"/>
  <c r="C52" i="56"/>
  <c r="B54" i="49"/>
  <c r="B49" i="12"/>
  <c r="B54" i="13"/>
  <c r="B50" i="49"/>
  <c r="B41" i="47"/>
  <c r="B47" i="36"/>
  <c r="B80" i="3"/>
  <c r="B119" i="115"/>
  <c r="B93" i="55"/>
  <c r="B42" i="42"/>
  <c r="C58" i="56"/>
  <c r="C57" i="56"/>
  <c r="B56" i="24"/>
  <c r="B38" i="38"/>
  <c r="B60" i="22"/>
  <c r="B36" i="37"/>
  <c r="B52" i="13"/>
  <c r="B121" i="110"/>
  <c r="C66" i="17"/>
  <c r="B40" i="53"/>
  <c r="B85" i="89"/>
  <c r="B39" i="39"/>
  <c r="B76" i="3"/>
  <c r="B57" i="49"/>
  <c r="C48" i="59"/>
  <c r="B57" i="24"/>
  <c r="B66" i="22"/>
  <c r="B45" i="41"/>
  <c r="B37" i="47"/>
  <c r="B45" i="38"/>
  <c r="B44" i="39"/>
  <c r="B65" i="5"/>
  <c r="C79" i="17"/>
  <c r="C43" i="59"/>
  <c r="B64" i="22"/>
  <c r="B42" i="37"/>
  <c r="B82" i="89"/>
  <c r="B48" i="12"/>
  <c r="B61" i="24"/>
  <c r="B80" i="97"/>
  <c r="B83" i="89"/>
  <c r="C73" i="17"/>
  <c r="B73" i="15"/>
  <c r="B81" i="89"/>
  <c r="C99" i="11"/>
  <c r="C50" i="59"/>
  <c r="B43" i="38"/>
  <c r="B47" i="8"/>
  <c r="B48" i="36"/>
  <c r="B44" i="41"/>
  <c r="B58" i="5"/>
  <c r="B82" i="15"/>
  <c r="B55" i="49"/>
  <c r="B53" i="13"/>
  <c r="B32" i="53"/>
  <c r="B65" i="22"/>
  <c r="C95" i="11"/>
  <c r="B49" i="43"/>
  <c r="B51" i="49"/>
  <c r="B35" i="47"/>
  <c r="B33" i="47"/>
  <c r="B47" i="38"/>
  <c r="B54" i="12"/>
  <c r="B64" i="5"/>
  <c r="B52" i="49"/>
  <c r="B59" i="5"/>
  <c r="B39" i="47"/>
  <c r="C51" i="59"/>
  <c r="B43" i="36"/>
  <c r="B44" i="40"/>
  <c r="B56" i="13"/>
  <c r="B51" i="12"/>
  <c r="B34" i="47"/>
  <c r="B46" i="42"/>
  <c r="B45" i="42"/>
  <c r="B50" i="8"/>
  <c r="B48" i="43"/>
  <c r="B41" i="46"/>
  <c r="B39" i="40"/>
  <c r="B42" i="41"/>
  <c r="C46" i="59"/>
  <c r="B97" i="55"/>
  <c r="B62" i="5"/>
  <c r="B114" i="115"/>
  <c r="C59" i="56"/>
  <c r="B38" i="53"/>
  <c r="B59" i="24"/>
  <c r="B42" i="38"/>
  <c r="B41" i="40"/>
  <c r="B53" i="49"/>
  <c r="B39" i="46"/>
  <c r="B81" i="97"/>
  <c r="C101" i="11"/>
  <c r="B42" i="39"/>
  <c r="B79" i="15"/>
  <c r="B45" i="39"/>
  <c r="B61" i="5"/>
  <c r="B49" i="8"/>
  <c r="B37" i="53"/>
  <c r="B80" i="14"/>
  <c r="C47" i="59"/>
  <c r="B33" i="53"/>
  <c r="B83" i="57"/>
  <c r="B42" i="46"/>
  <c r="C77" i="17"/>
  <c r="B36" i="47"/>
  <c r="B40" i="46"/>
  <c r="B38" i="46"/>
  <c r="B41" i="37"/>
  <c r="B43" i="43"/>
  <c r="C76" i="17"/>
  <c r="B80" i="57"/>
  <c r="B40" i="39"/>
  <c r="B77" i="15"/>
  <c r="B42" i="43"/>
  <c r="B44" i="43"/>
  <c r="B37" i="37"/>
  <c r="B41" i="38"/>
  <c r="B46" i="8"/>
  <c r="B79" i="89"/>
  <c r="B75" i="15"/>
  <c r="B58" i="24"/>
  <c r="B35" i="46"/>
  <c r="B39" i="38"/>
  <c r="B46" i="43"/>
  <c r="B41" i="42"/>
  <c r="B63" i="5"/>
  <c r="C56" i="56"/>
  <c r="B77" i="57"/>
  <c r="B42" i="40"/>
  <c r="B79" i="14"/>
  <c r="B85" i="14"/>
  <c r="B117" i="115"/>
  <c r="B46" i="38"/>
  <c r="B41" i="39"/>
  <c r="B60" i="24"/>
  <c r="B38" i="42"/>
  <c r="B86" i="89"/>
  <c r="B95" i="55"/>
  <c r="C74" i="17"/>
  <c r="B81" i="14"/>
  <c r="B41" i="43"/>
  <c r="B81" i="57"/>
  <c r="B46" i="36"/>
  <c r="B79" i="57"/>
  <c r="B47" i="40"/>
  <c r="B39" i="41"/>
  <c r="C97" i="11"/>
  <c r="B44" i="36"/>
  <c r="B80" i="89"/>
  <c r="B36" i="46"/>
  <c r="B50" i="12"/>
  <c r="B47" i="42"/>
  <c r="B45" i="40"/>
  <c r="C50" i="56"/>
  <c r="B40" i="41"/>
  <c r="C96" i="11"/>
  <c r="B49" i="49"/>
  <c r="B82" i="57"/>
  <c r="B76" i="15"/>
  <c r="B80" i="15"/>
  <c r="B46" i="39"/>
  <c r="B52" i="12"/>
  <c r="B53" i="12"/>
  <c r="B90" i="55"/>
  <c r="B127" i="110"/>
  <c r="B47" i="43"/>
  <c r="B38" i="37"/>
  <c r="B48" i="8"/>
  <c r="B35" i="37"/>
  <c r="B99" i="55"/>
  <c r="B43" i="39"/>
  <c r="B84" i="97"/>
  <c r="B63" i="22"/>
  <c r="B41" i="36"/>
  <c r="B86" i="97"/>
  <c r="B83" i="14"/>
  <c r="B83" i="97"/>
  <c r="J157" i="72"/>
  <c r="L157" i="72" s="1"/>
  <c r="F159" i="72"/>
  <c r="J159" i="72" s="1"/>
  <c r="L159" i="72" s="1"/>
  <c r="J157" i="90"/>
  <c r="L157" i="90" s="1"/>
  <c r="F159" i="90"/>
  <c r="J159" i="90" s="1"/>
  <c r="L159" i="90" s="1"/>
  <c r="E40" i="15"/>
  <c r="D41" i="15"/>
  <c r="E39" i="14"/>
  <c r="D40" i="14"/>
  <c r="F255" i="68" l="1"/>
  <c r="T253" i="68"/>
  <c r="J250" i="90"/>
  <c r="L250" i="90" s="1"/>
  <c r="F252" i="90"/>
  <c r="F254" i="90" s="1"/>
  <c r="C41" i="11"/>
  <c r="D40" i="11"/>
  <c r="I33" i="60"/>
  <c r="I53" i="60"/>
  <c r="I49" i="60"/>
  <c r="I41" i="60"/>
  <c r="I17" i="60"/>
  <c r="S17" i="60" s="1"/>
  <c r="I54" i="60"/>
  <c r="I40" i="60"/>
  <c r="I19" i="60"/>
  <c r="I38" i="60"/>
  <c r="I42" i="60"/>
  <c r="I34" i="60"/>
  <c r="I24" i="60"/>
  <c r="I45" i="60"/>
  <c r="I48" i="60"/>
  <c r="I37" i="60"/>
  <c r="I30" i="60"/>
  <c r="I47" i="60"/>
  <c r="I29" i="60"/>
  <c r="I28" i="60"/>
  <c r="I26" i="60"/>
  <c r="I31" i="60"/>
  <c r="I52" i="60"/>
  <c r="I55" i="60"/>
  <c r="I44" i="60"/>
  <c r="I23" i="60"/>
  <c r="I50" i="60"/>
  <c r="I43" i="60"/>
  <c r="I32" i="60"/>
  <c r="I16" i="60"/>
  <c r="I18" i="60"/>
  <c r="I20" i="60"/>
  <c r="I51" i="60"/>
  <c r="I27" i="60"/>
  <c r="I22" i="60"/>
  <c r="I46" i="60"/>
  <c r="I21" i="60"/>
  <c r="I25" i="60"/>
  <c r="I39" i="60"/>
  <c r="J82" i="90"/>
  <c r="L82" i="90" s="1"/>
  <c r="F84" i="90"/>
  <c r="J82" i="72"/>
  <c r="L82" i="72" s="1"/>
  <c r="F84" i="72"/>
  <c r="T85" i="68"/>
  <c r="F188" i="68"/>
  <c r="D42" i="15"/>
  <c r="E41" i="15"/>
  <c r="D41" i="14"/>
  <c r="E40" i="14"/>
  <c r="N170" i="90" l="1"/>
  <c r="N237" i="90"/>
  <c r="N170" i="72"/>
  <c r="N238" i="72"/>
  <c r="N48" i="90"/>
  <c r="N73" i="90"/>
  <c r="N74" i="90"/>
  <c r="N75" i="90"/>
  <c r="N76" i="90"/>
  <c r="N228" i="90"/>
  <c r="N30" i="90"/>
  <c r="N48" i="72"/>
  <c r="N73" i="72"/>
  <c r="N74" i="72"/>
  <c r="N75" i="72"/>
  <c r="N76" i="72"/>
  <c r="N229" i="72"/>
  <c r="N30" i="72"/>
  <c r="D41" i="11"/>
  <c r="C42" i="11"/>
  <c r="D42" i="11" s="1"/>
  <c r="S25" i="60"/>
  <c r="S21" i="61"/>
  <c r="N210" i="90"/>
  <c r="N147" i="90"/>
  <c r="N105" i="90"/>
  <c r="N62" i="90"/>
  <c r="N13" i="90"/>
  <c r="N214" i="90"/>
  <c r="N152" i="90"/>
  <c r="N125" i="90"/>
  <c r="N93" i="90"/>
  <c r="N51" i="90"/>
  <c r="N16" i="90"/>
  <c r="N208" i="90"/>
  <c r="N149" i="90"/>
  <c r="N107" i="90"/>
  <c r="N45" i="90"/>
  <c r="N233" i="90"/>
  <c r="N167" i="90"/>
  <c r="N127" i="90"/>
  <c r="N91" i="90"/>
  <c r="N49" i="90"/>
  <c r="N247" i="90"/>
  <c r="N206" i="90"/>
  <c r="N162" i="90"/>
  <c r="N119" i="90"/>
  <c r="N72" i="90"/>
  <c r="N43" i="90"/>
  <c r="N242" i="90"/>
  <c r="N194" i="90"/>
  <c r="N138" i="90"/>
  <c r="N89" i="90"/>
  <c r="N46" i="90"/>
  <c r="N238" i="90"/>
  <c r="N200" i="90"/>
  <c r="N136" i="90"/>
  <c r="N108" i="90"/>
  <c r="N53" i="90"/>
  <c r="N19" i="90"/>
  <c r="N153" i="90"/>
  <c r="N225" i="90"/>
  <c r="N55" i="90"/>
  <c r="N15" i="90"/>
  <c r="N33" i="90"/>
  <c r="N243" i="90"/>
  <c r="N195" i="90"/>
  <c r="N139" i="90"/>
  <c r="N99" i="90"/>
  <c r="N47" i="90"/>
  <c r="N246" i="90"/>
  <c r="N205" i="90"/>
  <c r="N144" i="90"/>
  <c r="N120" i="90"/>
  <c r="N71" i="90"/>
  <c r="N41" i="90"/>
  <c r="N239" i="90"/>
  <c r="N201" i="90"/>
  <c r="N137" i="90"/>
  <c r="N88" i="90"/>
  <c r="N28" i="90"/>
  <c r="N224" i="90"/>
  <c r="N154" i="90"/>
  <c r="N114" i="90"/>
  <c r="N69" i="90"/>
  <c r="N32" i="90"/>
  <c r="N236" i="90"/>
  <c r="N199" i="90"/>
  <c r="N151" i="90"/>
  <c r="N117" i="90"/>
  <c r="N66" i="90"/>
  <c r="N35" i="90"/>
  <c r="N231" i="90"/>
  <c r="N165" i="90"/>
  <c r="N129" i="90"/>
  <c r="J84" i="90"/>
  <c r="L84" i="90" s="1"/>
  <c r="N29" i="90"/>
  <c r="N229" i="90"/>
  <c r="N192" i="90"/>
  <c r="N123" i="90"/>
  <c r="N87" i="90"/>
  <c r="N44" i="90"/>
  <c r="N245" i="90"/>
  <c r="N92" i="90"/>
  <c r="N212" i="90"/>
  <c r="N70" i="90"/>
  <c r="N101" i="90"/>
  <c r="N234" i="90"/>
  <c r="N232" i="90"/>
  <c r="N166" i="90"/>
  <c r="N128" i="90"/>
  <c r="N90" i="90"/>
  <c r="N31" i="90"/>
  <c r="N235" i="90"/>
  <c r="N198" i="90"/>
  <c r="N142" i="90"/>
  <c r="N116" i="90"/>
  <c r="N65" i="90"/>
  <c r="N34" i="90"/>
  <c r="N230" i="90"/>
  <c r="N193" i="90"/>
  <c r="N122" i="90"/>
  <c r="N78" i="90"/>
  <c r="N20" i="90"/>
  <c r="N211" i="90"/>
  <c r="N146" i="90"/>
  <c r="N104" i="90"/>
  <c r="N63" i="90"/>
  <c r="N23" i="90"/>
  <c r="N227" i="90"/>
  <c r="N191" i="90"/>
  <c r="N143" i="90"/>
  <c r="N109" i="90"/>
  <c r="N57" i="90"/>
  <c r="N26" i="90"/>
  <c r="N222" i="90"/>
  <c r="N156" i="90"/>
  <c r="N112" i="90"/>
  <c r="N79" i="90"/>
  <c r="N21" i="90"/>
  <c r="N216" i="90"/>
  <c r="N163" i="90"/>
  <c r="N118" i="90"/>
  <c r="N77" i="90"/>
  <c r="N36" i="90"/>
  <c r="N115" i="90"/>
  <c r="N40" i="90"/>
  <c r="N145" i="90"/>
  <c r="N141" i="90"/>
  <c r="N168" i="90"/>
  <c r="N126" i="90"/>
  <c r="N223" i="90"/>
  <c r="N155" i="90"/>
  <c r="N113" i="90"/>
  <c r="N80" i="90"/>
  <c r="N22" i="90"/>
  <c r="N226" i="90"/>
  <c r="N169" i="90"/>
  <c r="N130" i="90"/>
  <c r="N102" i="90"/>
  <c r="N56" i="90"/>
  <c r="N25" i="90"/>
  <c r="N221" i="90"/>
  <c r="N164" i="90"/>
  <c r="N111" i="90"/>
  <c r="N59" i="90"/>
  <c r="N244" i="90"/>
  <c r="N196" i="90"/>
  <c r="N140" i="90"/>
  <c r="N100" i="90"/>
  <c r="N54" i="90"/>
  <c r="N14" i="90"/>
  <c r="N215" i="90"/>
  <c r="N171" i="90"/>
  <c r="N124" i="90"/>
  <c r="N103" i="90"/>
  <c r="N52" i="90"/>
  <c r="N17" i="90"/>
  <c r="N209" i="90"/>
  <c r="N148" i="90"/>
  <c r="N106" i="90"/>
  <c r="N61" i="90"/>
  <c r="N248" i="90"/>
  <c r="N207" i="90"/>
  <c r="N150" i="90"/>
  <c r="N110" i="90"/>
  <c r="N58" i="90"/>
  <c r="N27" i="90"/>
  <c r="N197" i="90"/>
  <c r="N24" i="90"/>
  <c r="N121" i="90"/>
  <c r="N131" i="90"/>
  <c r="N50" i="90"/>
  <c r="N64" i="90"/>
  <c r="F187" i="90"/>
  <c r="S17" i="61"/>
  <c r="S21" i="60"/>
  <c r="S32" i="60"/>
  <c r="S28" i="61"/>
  <c r="S22" i="61"/>
  <c r="S26" i="60"/>
  <c r="S30" i="60"/>
  <c r="S26" i="61"/>
  <c r="S20" i="61"/>
  <c r="S24" i="60"/>
  <c r="S15" i="61"/>
  <c r="S19" i="60"/>
  <c r="S16" i="61"/>
  <c r="S20" i="60"/>
  <c r="S24" i="61"/>
  <c r="S28" i="60"/>
  <c r="S30" i="61"/>
  <c r="S34" i="60"/>
  <c r="N211" i="72"/>
  <c r="N147" i="72"/>
  <c r="N102" i="72"/>
  <c r="N56" i="72"/>
  <c r="N25" i="72"/>
  <c r="N227" i="72"/>
  <c r="N169" i="72"/>
  <c r="N130" i="72"/>
  <c r="N88" i="72"/>
  <c r="N28" i="72"/>
  <c r="N222" i="72"/>
  <c r="N164" i="72"/>
  <c r="N122" i="72"/>
  <c r="N91" i="72"/>
  <c r="N49" i="72"/>
  <c r="N245" i="72"/>
  <c r="N197" i="72"/>
  <c r="N140" i="72"/>
  <c r="N103" i="72"/>
  <c r="N52" i="72"/>
  <c r="N17" i="72"/>
  <c r="N216" i="72"/>
  <c r="N171" i="72"/>
  <c r="N129" i="72"/>
  <c r="N89" i="72"/>
  <c r="N46" i="72"/>
  <c r="N232" i="72"/>
  <c r="N165" i="72"/>
  <c r="N126" i="72"/>
  <c r="N92" i="72"/>
  <c r="N50" i="72"/>
  <c r="N15" i="72"/>
  <c r="N213" i="72"/>
  <c r="N145" i="72"/>
  <c r="N110" i="72"/>
  <c r="N58" i="72"/>
  <c r="N27" i="72"/>
  <c r="N230" i="72"/>
  <c r="N193" i="72"/>
  <c r="N128" i="72"/>
  <c r="N99" i="72"/>
  <c r="N47" i="72"/>
  <c r="N244" i="72"/>
  <c r="N196" i="72"/>
  <c r="N139" i="72"/>
  <c r="N93" i="72"/>
  <c r="N51" i="72"/>
  <c r="N16" i="72"/>
  <c r="N215" i="72"/>
  <c r="N152" i="72"/>
  <c r="N125" i="72"/>
  <c r="N78" i="72"/>
  <c r="N20" i="72"/>
  <c r="N209" i="72"/>
  <c r="N149" i="72"/>
  <c r="N114" i="72"/>
  <c r="N69" i="72"/>
  <c r="N32" i="72"/>
  <c r="N234" i="72"/>
  <c r="N167" i="72"/>
  <c r="N119" i="72"/>
  <c r="N72" i="72"/>
  <c r="N43" i="72"/>
  <c r="N248" i="72"/>
  <c r="N207" i="72"/>
  <c r="N162" i="72"/>
  <c r="N124" i="72"/>
  <c r="J84" i="72"/>
  <c r="L84" i="72" s="1"/>
  <c r="N29" i="72"/>
  <c r="N223" i="72"/>
  <c r="N156" i="72"/>
  <c r="N121" i="72"/>
  <c r="N70" i="72"/>
  <c r="N40" i="72"/>
  <c r="N246" i="72"/>
  <c r="N198" i="72"/>
  <c r="N141" i="72"/>
  <c r="N108" i="72"/>
  <c r="N53" i="72"/>
  <c r="N19" i="72"/>
  <c r="N217" i="72"/>
  <c r="N163" i="72"/>
  <c r="N123" i="72"/>
  <c r="N90" i="72"/>
  <c r="N31" i="72"/>
  <c r="N233" i="72"/>
  <c r="N166" i="72"/>
  <c r="N120" i="72"/>
  <c r="N71" i="72"/>
  <c r="N41" i="72"/>
  <c r="N247" i="72"/>
  <c r="N206" i="72"/>
  <c r="N144" i="72"/>
  <c r="N111" i="72"/>
  <c r="N59" i="72"/>
  <c r="N240" i="72"/>
  <c r="N202" i="72"/>
  <c r="N137" i="72"/>
  <c r="N104" i="72"/>
  <c r="N63" i="72"/>
  <c r="N23" i="72"/>
  <c r="N225" i="72"/>
  <c r="N154" i="72"/>
  <c r="N117" i="72"/>
  <c r="N66" i="72"/>
  <c r="N35" i="72"/>
  <c r="N237" i="72"/>
  <c r="N200" i="72"/>
  <c r="N151" i="72"/>
  <c r="N112" i="72"/>
  <c r="N79" i="72"/>
  <c r="N21" i="72"/>
  <c r="N210" i="72"/>
  <c r="N148" i="72"/>
  <c r="N115" i="72"/>
  <c r="N64" i="72"/>
  <c r="N33" i="72"/>
  <c r="N235" i="72"/>
  <c r="N168" i="72"/>
  <c r="N131" i="72"/>
  <c r="N87" i="72"/>
  <c r="N44" i="72"/>
  <c r="N249" i="72"/>
  <c r="N208" i="72"/>
  <c r="N150" i="72"/>
  <c r="N113" i="72"/>
  <c r="N80" i="72"/>
  <c r="N22" i="72"/>
  <c r="N224" i="72"/>
  <c r="N155" i="72"/>
  <c r="N116" i="72"/>
  <c r="N65" i="72"/>
  <c r="N34" i="72"/>
  <c r="N236" i="72"/>
  <c r="N199" i="72"/>
  <c r="N142" i="72"/>
  <c r="N107" i="72"/>
  <c r="N45" i="72"/>
  <c r="N231" i="72"/>
  <c r="N194" i="72"/>
  <c r="N127" i="72"/>
  <c r="N100" i="72"/>
  <c r="N54" i="72"/>
  <c r="N14" i="72"/>
  <c r="N212" i="72"/>
  <c r="N146" i="72"/>
  <c r="N109" i="72"/>
  <c r="N57" i="72"/>
  <c r="N26" i="72"/>
  <c r="N228" i="72"/>
  <c r="N192" i="72"/>
  <c r="N143" i="72"/>
  <c r="N106" i="72"/>
  <c r="N61" i="72"/>
  <c r="N243" i="72"/>
  <c r="N195" i="72"/>
  <c r="N138" i="72"/>
  <c r="N101" i="72"/>
  <c r="N55" i="72"/>
  <c r="N24" i="72"/>
  <c r="N226" i="72"/>
  <c r="N153" i="72"/>
  <c r="N118" i="72"/>
  <c r="N77" i="72"/>
  <c r="N36" i="72"/>
  <c r="N239" i="72"/>
  <c r="N201" i="72"/>
  <c r="N136" i="72"/>
  <c r="N105" i="72"/>
  <c r="N62" i="72"/>
  <c r="N13" i="72"/>
  <c r="F188" i="72"/>
  <c r="S18" i="61"/>
  <c r="S22" i="60"/>
  <c r="S14" i="61"/>
  <c r="S18" i="60"/>
  <c r="S29" i="60"/>
  <c r="S25" i="61"/>
  <c r="S27" i="60"/>
  <c r="S23" i="61"/>
  <c r="S16" i="60"/>
  <c r="I35" i="60"/>
  <c r="M88" i="121" s="1"/>
  <c r="S23" i="60"/>
  <c r="S19" i="61"/>
  <c r="S31" i="60"/>
  <c r="S27" i="61"/>
  <c r="S29" i="61"/>
  <c r="S33" i="60"/>
  <c r="E42" i="15"/>
  <c r="D43" i="15"/>
  <c r="E41" i="14"/>
  <c r="D42" i="14"/>
  <c r="I56" i="60" l="1"/>
  <c r="I58" i="60" s="1"/>
  <c r="K58" i="60" s="1"/>
  <c r="S35" i="60"/>
  <c r="S31" i="61"/>
  <c r="S32" i="61" s="1"/>
  <c r="L4" i="72"/>
  <c r="L4" i="90"/>
  <c r="D44" i="15"/>
  <c r="E43" i="15"/>
  <c r="D43" i="14"/>
  <c r="E42" i="14"/>
  <c r="E44" i="15" l="1"/>
  <c r="D45" i="15"/>
  <c r="E45" i="15" s="1"/>
  <c r="E43" i="14"/>
  <c r="D44" i="14"/>
  <c r="D45" i="14" l="1"/>
  <c r="E45" i="14" s="1"/>
  <c r="E4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D18" authorId="0" shapeId="0" xr:uid="{00000000-0006-0000-0700-000001000000}">
      <text>
        <r>
          <rPr>
            <sz val="8"/>
            <color indexed="81"/>
            <rFont val="Tahoma"/>
            <family val="2"/>
          </rPr>
          <t xml:space="preserve">Cells in this column contain a formula to populate beginning bal for agencies using ws905 - do not key over these beg bal amts. If ws905 is NA for your agency and the cell is displaying as a blank cell, key your beginning bal over the formula.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Helen Vozzo</author>
    <author>Helen K. Vozzo</author>
  </authors>
  <commentList>
    <comment ref="C7" authorId="0" shapeId="0" xr:uid="{00000000-0006-0000-5200-000001000000}">
      <text>
        <r>
          <rPr>
            <sz val="8"/>
            <color indexed="81"/>
            <rFont val="Tahoma"/>
            <family val="2"/>
          </rPr>
          <t xml:space="preserve">Complete the Index sheet first. This cell uses the agency number from the Index Sheet to populate the GASB fund number from the NetAssets table.
</t>
        </r>
      </text>
    </comment>
    <comment ref="F86" authorId="1" shapeId="0" xr:uid="{00000000-0006-0000-5200-000002000000}">
      <text>
        <r>
          <rPr>
            <sz val="9"/>
            <color indexed="81"/>
            <rFont val="Tahoma"/>
            <family val="2"/>
          </rPr>
          <t xml:space="preserve">New F/S element starting FY 2013 w/ implementation of GASB 63
</t>
        </r>
      </text>
    </comment>
    <comment ref="B87" authorId="1" shapeId="0" xr:uid="{00000000-0006-0000-5200-000003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88" authorId="1" shapeId="0" xr:uid="{00000000-0006-0000-5200-000004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0" authorId="1" shapeId="0" xr:uid="{00000000-0006-0000-5200-000005000000}">
      <text>
        <r>
          <rPr>
            <sz val="8"/>
            <color indexed="81"/>
            <rFont val="Tahoma"/>
            <family val="2"/>
          </rPr>
          <t>Starting FY2015 with implementation of GASB 68 - for new NCAS Acct 129710 Deferred outflows for pensions. For more info, see acct definition and the GASB Resources webpage available from the OSC homepage www.osc.nc.gov.</t>
        </r>
      </text>
    </comment>
    <comment ref="B92" authorId="1" shapeId="0" xr:uid="{00000000-0006-0000-5200-000006000000}">
      <text>
        <r>
          <rPr>
            <sz val="8"/>
            <color indexed="81"/>
            <rFont val="Tahoma"/>
            <family val="2"/>
          </rPr>
          <t>Starting FY2015 with implementation of GASB 69 Government Combinations and Disposals of Government Operations. For new NCAS Acct 129705 Excess consideration provided for acquisition. For more info, see acct definition and the GASB Resources webpage available from the OSC homepage www.osc.nc.gov</t>
        </r>
      </text>
    </comment>
    <comment ref="B93" authorId="1" shapeId="0" xr:uid="{00000000-0006-0000-5200-000007000000}">
      <text>
        <r>
          <rPr>
            <sz val="8"/>
            <color indexed="81"/>
            <rFont val="Tahoma"/>
            <family val="2"/>
          </rPr>
          <t>Starting FY2014 for GASB65-  new acct 129703 Other Deferred outflow of resources, per GASB 65 that are not classified in a more specific account.For more info go to GASB Resources webpage available from OSC home page www.osc.nc.gov</t>
        </r>
        <r>
          <rPr>
            <sz val="9"/>
            <color indexed="81"/>
            <rFont val="Tahoma"/>
            <family val="2"/>
          </rPr>
          <t xml:space="preserve">
</t>
        </r>
        <r>
          <rPr>
            <sz val="8"/>
            <color indexed="81"/>
            <rFont val="Tahoma"/>
            <family val="2"/>
          </rPr>
          <t>FY15 updated caption from "Deferred outflows-other" to "Other deferred outflows" to be consistent w/ CAFR.</t>
        </r>
      </text>
    </comment>
    <comment ref="B127" authorId="1" shapeId="0" xr:uid="{00000000-0006-0000-5200-000008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28" authorId="1" shapeId="0" xr:uid="{00000000-0006-0000-5200-000009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B152" authorId="1" shapeId="0" xr:uid="{00000000-0006-0000-5200-00000A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53" authorId="1" shapeId="0" xr:uid="{00000000-0006-0000-5200-00000B000000}">
      <text>
        <r>
          <rPr>
            <sz val="8"/>
            <color indexed="81"/>
            <rFont val="Tahoma"/>
            <family val="2"/>
          </rPr>
          <t>Starting FY15 with implementation of GASB68 for NCAS acct 229150 Net pension liability-noncurrent</t>
        </r>
      </text>
    </comment>
    <comment ref="F161" authorId="1" shapeId="0" xr:uid="{00000000-0006-0000-5200-00000C000000}">
      <text>
        <r>
          <rPr>
            <sz val="9"/>
            <color indexed="81"/>
            <rFont val="Tahoma"/>
            <family val="2"/>
          </rPr>
          <t xml:space="preserve">New F/S element starting FY 2013 w/ implementation of GASB 63
</t>
        </r>
      </text>
    </comment>
    <comment ref="B162" authorId="1" shapeId="0" xr:uid="{00000000-0006-0000-5200-00000D000000}">
      <text>
        <r>
          <rPr>
            <sz val="7"/>
            <color indexed="81"/>
            <rFont val="Tahoma"/>
            <family val="2"/>
          </rPr>
          <t xml:space="preserve">ForFY13 acct229201 Accum Incr in fair val of hedging deriv (new acct title) goes here. Former acct title is Deferred inflow of resources
</t>
        </r>
      </text>
    </comment>
    <comment ref="B163" authorId="1" shapeId="0" xr:uid="{00000000-0006-0000-5200-00000E000000}">
      <text>
        <r>
          <rPr>
            <sz val="7"/>
            <color indexed="81"/>
            <rFont val="Tahoma"/>
            <family val="2"/>
          </rPr>
          <t>For FY13, new NCAS acct 229202 added for implementation of GASB60 Service Concession Arrangements</t>
        </r>
      </text>
    </comment>
    <comment ref="B164" authorId="1" shapeId="0" xr:uid="{00000000-0006-0000-5200-00000F000000}">
      <text>
        <r>
          <rPr>
            <sz val="7"/>
            <color indexed="81"/>
            <rFont val="Tahoma"/>
            <family val="2"/>
          </rPr>
          <t xml:space="preserve">Added FY14 for GASB65,NCAS acct 229203 Def gain on refunding bonds. For more info refer to GASB Resources webpage available from OSC homepage www.osc.nc.gov
</t>
        </r>
      </text>
    </comment>
    <comment ref="B165" authorId="1" shapeId="0" xr:uid="{00000000-0006-0000-5200-000010000000}">
      <text>
        <r>
          <rPr>
            <sz val="7"/>
            <color indexed="81"/>
            <rFont val="Tahoma"/>
            <family val="2"/>
          </rPr>
          <t>Added FY14 for GASB65;  NCAS acct 229204 Def Inflows-nonexchange transactions.  Refer to GASB Resources webpage available from OSC homepage www.osc.nc.gov</t>
        </r>
      </text>
    </comment>
    <comment ref="B166" authorId="1" shapeId="0" xr:uid="{00000000-0006-0000-5200-000011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68" authorId="1" shapeId="0" xr:uid="{00000000-0006-0000-5200-000012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1" authorId="1" shapeId="0" xr:uid="{00000000-0006-0000-5200-000013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205" authorId="1" shapeId="0" xr:uid="{00000000-0006-0000-5200-000014000000}">
      <text>
        <r>
          <rPr>
            <sz val="9"/>
            <color indexed="81"/>
            <rFont val="Tahoma"/>
            <family val="2"/>
          </rPr>
          <t xml:space="preserve">FY15-Includes new acct for GASB 68 - NCAS acct 531595 Pension expense .
</t>
        </r>
      </text>
    </comment>
    <comment ref="B221" authorId="0" shapeId="0" xr:uid="{00000000-0006-0000-5200-000015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22" authorId="0" shapeId="0" xr:uid="{00000000-0006-0000-5200-000016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23" authorId="0" shapeId="0" xr:uid="{00000000-0006-0000-5200-000017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42" authorId="0" shapeId="0" xr:uid="{00000000-0006-0000-5200-000018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C7" authorId="0" shapeId="0" xr:uid="{00000000-0006-0000-5A00-000001000000}">
      <text>
        <r>
          <rPr>
            <sz val="8"/>
            <color indexed="81"/>
            <rFont val="Tahoma"/>
            <family val="2"/>
          </rPr>
          <t xml:space="preserve">Complete the Index sheet first. This cell uses the agency number from the Index Sheet to populate the GASB fund number from the NetAssets table.
</t>
        </r>
      </text>
    </comment>
    <comment ref="B222" authorId="0" shapeId="0" xr:uid="{00000000-0006-0000-5A00-000002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23" authorId="0" shapeId="0" xr:uid="{00000000-0006-0000-5A00-000003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24" authorId="0" shapeId="0" xr:uid="{00000000-0006-0000-5A00-000004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43" authorId="0" shapeId="0" xr:uid="{00000000-0006-0000-5A00-000005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D7" authorId="0" shapeId="0" xr:uid="{00000000-0006-0000-5B00-000001000000}">
      <text>
        <r>
          <rPr>
            <sz val="8"/>
            <color indexed="81"/>
            <rFont val="Tahoma"/>
            <family val="2"/>
          </rPr>
          <t>Complete the Index sheet first. This cell uses the agency number from the Index Sheet to populate the GASB fund number from the NetAssets 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G14" authorId="0" shapeId="0" xr:uid="{00000000-0006-0000-0800-000001000000}">
      <text>
        <r>
          <rPr>
            <sz val="8"/>
            <color indexed="81"/>
            <rFont val="Tahoma"/>
            <family val="2"/>
          </rPr>
          <t>Cells in this column contain a formula to populate the beginning bal for agencies using ws905 - do not key over these beg bal amts.  If ws905 is NA for your agency and the cell is displaying as blank, key your beginning bal over the formula.</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E15" authorId="0" shapeId="0" xr:uid="{00000000-0006-0000-0D00-000001000000}">
      <text>
        <r>
          <rPr>
            <sz val="8"/>
            <color indexed="81"/>
            <rFont val="Tahoma"/>
            <family val="2"/>
          </rPr>
          <t xml:space="preserve">Cells in this column contain a formula to populate beginning bal for agencies using ws905 - do not key over these beg bal amts. If ws905 is NA for your agency and the cell is displaying as a blank cell, key your beginning bal over the formula.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H32" authorId="0" shapeId="0" xr:uid="{00000000-0006-0000-3B00-000001000000}">
      <text>
        <r>
          <rPr>
            <sz val="9"/>
            <color indexed="81"/>
            <rFont val="Tahoma"/>
            <family val="2"/>
          </rPr>
          <t xml:space="preserve">Refer to captions on ws 905 for more info
</t>
        </r>
      </text>
    </comment>
    <comment ref="H48" authorId="0" shapeId="0" xr:uid="{00000000-0006-0000-3B00-000002000000}">
      <text>
        <r>
          <rPr>
            <sz val="9"/>
            <color indexed="81"/>
            <rFont val="Tahoma"/>
            <family val="2"/>
          </rPr>
          <t xml:space="preserve">Refer to captions on ws 905 for more info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Helen Vozzo</author>
    <author>Administrator</author>
    <author>Helen K. Vozzo</author>
    <author>Sisson, Virginia P</author>
    <author>Debbie Dryer</author>
    <author>tc={A615783C-1191-4045-98F6-5DA93EB3548F}</author>
    <author>tc={E88BAAE7-59B6-49B2-BFA5-5FE8C4DBA888}</author>
    <author>tc={0665821F-2F78-4D93-BB0F-0CF65F131A8B}</author>
  </authors>
  <commentList>
    <comment ref="C7" authorId="0" shapeId="0" xr:uid="{00000000-0006-0000-4A00-000001000000}">
      <text>
        <r>
          <rPr>
            <sz val="8"/>
            <color indexed="81"/>
            <rFont val="Tahoma"/>
            <family val="2"/>
          </rPr>
          <t xml:space="preserve">Complete the Index sheet first. This cell uses the agency number from the Index Sheet to populate the GASB fund number from the NetAssets table.
</t>
        </r>
      </text>
    </comment>
    <comment ref="B17" authorId="0" shapeId="0" xr:uid="{00000000-0006-0000-4A00-000002000000}">
      <text>
        <r>
          <rPr>
            <sz val="8"/>
            <color indexed="81"/>
            <rFont val="Tahoma"/>
            <family val="2"/>
          </rPr>
          <t xml:space="preserve">Added securities lending caption in 2011. This is not applicable for universities but adding in case other agencies need.  This caption is on the NCAS CAFR 11p balance sheet.
</t>
        </r>
      </text>
    </comment>
    <comment ref="B25" authorId="1" shapeId="0" xr:uid="{00000000-0006-0000-4A00-000003000000}">
      <text>
        <r>
          <rPr>
            <sz val="9"/>
            <color indexed="81"/>
            <rFont val="Tahoma"/>
            <family val="2"/>
          </rPr>
          <t>Complete w/s 616 first and total will automatically populate here.</t>
        </r>
      </text>
    </comment>
    <comment ref="B44" authorId="0" shapeId="0" xr:uid="{00000000-0006-0000-4A00-000004000000}">
      <text>
        <r>
          <rPr>
            <sz val="8"/>
            <color indexed="81"/>
            <rFont val="Tahoma"/>
            <family val="2"/>
          </rPr>
          <t xml:space="preserve">'Intergovernmental receivables - noncurrent' is not a caption in DSS, but we had it on the offline agency template in 2010 so we are keeping it on the 905 template.
</t>
        </r>
      </text>
    </comment>
    <comment ref="B50" authorId="2" shapeId="0" xr:uid="{00000000-0006-0000-4A00-000005000000}">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B54" authorId="0" shapeId="0" xr:uid="{00000000-0006-0000-4A00-000006000000}">
      <text>
        <r>
          <rPr>
            <sz val="8"/>
            <color indexed="81"/>
            <rFont val="Tahoma"/>
            <family val="2"/>
          </rPr>
          <t xml:space="preserve">Added caption back to template in 2009. Did not have in 2008 but did in prior years.  Rolls w/ Restricted investments for CAFR. Do not have this caption on DSS. Kept on template because SEAA uses this caption.  (Note: Post GASB 61, SEAA is no longer a major CU and no longer completes 905.)  </t>
        </r>
      </text>
    </comment>
    <comment ref="B60" authorId="0" shapeId="0" xr:uid="{00000000-0006-0000-4A00-000007000000}">
      <text>
        <r>
          <rPr>
            <sz val="8"/>
            <color indexed="81"/>
            <rFont val="Tahoma"/>
            <family val="2"/>
          </rPr>
          <t xml:space="preserve">Complete the 201 worksheet first and the totals will populate here.
</t>
        </r>
      </text>
    </comment>
    <comment ref="B66" authorId="2" shapeId="0" xr:uid="{00000000-0006-0000-4A00-000008000000}">
      <text>
        <r>
          <rPr>
            <sz val="9"/>
            <color indexed="81"/>
            <rFont val="Tahoma"/>
            <family val="2"/>
          </rPr>
          <t>Added to template in 2012</t>
        </r>
      </text>
    </comment>
    <comment ref="B68" authorId="0" shapeId="0" xr:uid="{00000000-0006-0000-4A00-000009000000}">
      <text>
        <r>
          <rPr>
            <sz val="8"/>
            <color indexed="81"/>
            <rFont val="Tahoma"/>
            <family val="2"/>
          </rPr>
          <t xml:space="preserve">Complete ws 201 first and totals will populate from 201
</t>
        </r>
      </text>
    </comment>
    <comment ref="B80" authorId="0" shapeId="0" xr:uid="{00000000-0006-0000-4A00-00000A000000}">
      <text>
        <r>
          <rPr>
            <sz val="8"/>
            <color indexed="81"/>
            <rFont val="Tahoma"/>
            <family val="2"/>
          </rPr>
          <t>Removed amortization in 2012</t>
        </r>
      </text>
    </comment>
    <comment ref="D86" authorId="2" shapeId="0" xr:uid="{00000000-0006-0000-4A00-00000B000000}">
      <text>
        <r>
          <rPr>
            <sz val="9"/>
            <color indexed="81"/>
            <rFont val="Tahoma"/>
            <family val="2"/>
          </rPr>
          <t xml:space="preserve">New F/S element starting FY 2013 w/ implementation of GASB 63
</t>
        </r>
      </text>
    </comment>
    <comment ref="B87" authorId="2" shapeId="0" xr:uid="{00000000-0006-0000-4A00-00000C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88" authorId="2" shapeId="0" xr:uid="{00000000-0006-0000-4A00-00000D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89" authorId="3" shapeId="0" xr:uid="{2A661E8B-9782-4660-AA0E-0252D714E2BF}">
      <text>
        <r>
          <rPr>
            <sz val="9"/>
            <color indexed="81"/>
            <rFont val="Tahoma"/>
            <family val="2"/>
          </rPr>
          <t>New caption for 2019 - GASB 83</t>
        </r>
      </text>
    </comment>
    <comment ref="B90" authorId="2" shapeId="0" xr:uid="{00000000-0006-0000-4A00-00000E000000}">
      <text>
        <r>
          <rPr>
            <sz val="8"/>
            <color indexed="81"/>
            <rFont val="Tahoma"/>
            <family val="2"/>
          </rPr>
          <t xml:space="preserve">Added in FY2015 with the implementation of GASB 68 - for new NCAS Acct 129710 Deferred outflows for pensions. </t>
        </r>
      </text>
    </comment>
    <comment ref="B92" authorId="2" shapeId="0" xr:uid="{00000000-0006-0000-4A00-00000F000000}">
      <text>
        <r>
          <rPr>
            <sz val="8"/>
            <color indexed="81"/>
            <rFont val="Tahoma"/>
            <family val="2"/>
          </rPr>
          <t>Added in FY2015 with the implementation of GASB 69 Government Combinations and Disposals of Government Operations. For new NCAS Acct 129705 Excess consideration provided for acquisition.</t>
        </r>
      </text>
    </comment>
    <comment ref="B93" authorId="2" shapeId="0" xr:uid="{00000000-0006-0000-4A00-000010000000}">
      <text>
        <r>
          <rPr>
            <sz val="8"/>
            <color indexed="81"/>
            <rFont val="Tahoma"/>
            <family val="2"/>
          </rPr>
          <t xml:space="preserve">Added in FY2014 for GASB 65-  new acct 129703 Other Deferred outflow of resources, per GASB 65 that are not classified in a more specific account. </t>
        </r>
      </text>
    </comment>
    <comment ref="D98" authorId="0" shapeId="0" xr:uid="{00000000-0006-0000-4A00-000011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 account to the accounts payable caption.
</t>
        </r>
      </text>
    </comment>
    <comment ref="B99" authorId="0" shapeId="0" xr:uid="{00000000-0006-0000-4A00-000012000000}">
      <text>
        <r>
          <rPr>
            <sz val="8"/>
            <color indexed="81"/>
            <rFont val="Tahoma"/>
            <family val="2"/>
          </rPr>
          <t xml:space="preserve">In 2011, Accounts payable began including Other payables, which had been a separate subcaption in prior years.
</t>
        </r>
      </text>
    </comment>
    <comment ref="B104" authorId="0" shapeId="0" xr:uid="{00000000-0006-0000-4A00-000013000000}">
      <text>
        <r>
          <rPr>
            <b/>
            <sz val="8"/>
            <color indexed="81"/>
            <rFont val="Tahoma"/>
            <family val="2"/>
          </rPr>
          <t>Short-term debt caption added 5/27/09 for FY 2009. For 2011 adding detail captions  - see below:
Revolving line of credit and loans payable, commercial paper, anticipation notes.  Amts  should tie to w/s 310</t>
        </r>
        <r>
          <rPr>
            <sz val="8"/>
            <color indexed="81"/>
            <rFont val="Tahoma"/>
            <family val="2"/>
          </rPr>
          <t xml:space="preserve">
</t>
        </r>
      </text>
    </comment>
    <comment ref="B105" authorId="0" shapeId="0" xr:uid="{00000000-0006-0000-4A00-000014000000}">
      <text>
        <r>
          <rPr>
            <sz val="8"/>
            <color indexed="81"/>
            <rFont val="Tahoma"/>
            <family val="2"/>
          </rPr>
          <t xml:space="preserve">Caption title on NCAS CAFR 11p does not include loans payable, but title on template broader to include loans.
</t>
        </r>
      </text>
    </comment>
    <comment ref="B111" authorId="1" shapeId="0" xr:uid="{00000000-0006-0000-4A00-000015000000}">
      <text>
        <r>
          <rPr>
            <b/>
            <sz val="9"/>
            <color indexed="81"/>
            <rFont val="Tahoma"/>
            <family val="2"/>
          </rPr>
          <t>Complete w/s 616 first and total will populate here on 905.</t>
        </r>
      </text>
    </comment>
    <comment ref="B115" authorId="0" shapeId="0" xr:uid="{00000000-0006-0000-4A00-000016000000}">
      <text>
        <r>
          <rPr>
            <sz val="8"/>
            <color indexed="81"/>
            <rFont val="Tahoma"/>
            <family val="2"/>
          </rPr>
          <t xml:space="preserve">Added Obligations under securities lending caption for 2011. </t>
        </r>
        <r>
          <rPr>
            <b/>
            <sz val="8"/>
            <color indexed="81"/>
            <rFont val="Tahoma"/>
            <family val="2"/>
          </rPr>
          <t>This is not applicable for universities</t>
        </r>
        <r>
          <rPr>
            <sz val="8"/>
            <color indexed="81"/>
            <rFont val="Tahoma"/>
            <family val="2"/>
          </rPr>
          <t xml:space="preserve"> but adding in case other agencies need, and this caption is on the NCAS CAFR 11p balance sheet.</t>
        </r>
      </text>
    </comment>
    <comment ref="B117" authorId="0" shapeId="0" xr:uid="{00000000-0006-0000-4A00-000017000000}">
      <text>
        <r>
          <rPr>
            <sz val="8"/>
            <color indexed="81"/>
            <rFont val="Tahoma"/>
            <family val="2"/>
          </rPr>
          <t>SEAA uses this for Due to IRS Sec 529 (college savings) plan participants</t>
        </r>
      </text>
    </comment>
    <comment ref="B125" authorId="0" shapeId="0" xr:uid="{00000000-0006-0000-4A00-000018000000}">
      <text>
        <r>
          <rPr>
            <sz val="8"/>
            <color indexed="81"/>
            <rFont val="Tahoma"/>
            <family val="2"/>
          </rPr>
          <t>Caption added in 2009 - see w/s 322</t>
        </r>
      </text>
    </comment>
    <comment ref="B126" authorId="3" shapeId="0" xr:uid="{AA5FDBE1-56C3-4838-8705-2BDD85B8BCCA}">
      <text>
        <r>
          <rPr>
            <sz val="9"/>
            <color indexed="81"/>
            <rFont val="Tahoma"/>
            <family val="2"/>
          </rPr>
          <t>New caption for 2019 - GASB 83</t>
        </r>
      </text>
    </comment>
    <comment ref="B127" authorId="2" shapeId="0" xr:uid="{00000000-0006-0000-4A00-000019000000}">
      <text>
        <r>
          <rPr>
            <sz val="9"/>
            <color indexed="81"/>
            <rFont val="Tahoma"/>
            <family val="2"/>
          </rPr>
          <t>In FY 2015, we updated this caption from Accrued vacation leave to Compensated absences to match w/s 310 and CAFR terminology</t>
        </r>
        <r>
          <rPr>
            <b/>
            <sz val="9"/>
            <color indexed="81"/>
            <rFont val="Tahoma"/>
            <family val="2"/>
          </rPr>
          <t xml:space="preserve">
 </t>
        </r>
        <r>
          <rPr>
            <sz val="9"/>
            <color indexed="81"/>
            <rFont val="Tahoma"/>
            <family val="2"/>
          </rPr>
          <t xml:space="preserve">
</t>
        </r>
      </text>
    </comment>
    <comment ref="B128" authorId="2" shapeId="0" xr:uid="{00000000-0006-0000-4A00-00001A000000}">
      <text>
        <r>
          <rPr>
            <sz val="8"/>
            <color indexed="81"/>
            <rFont val="Tahoma"/>
            <family val="2"/>
          </rPr>
          <t>Added caption in FY 2015 with the implementation of GASB 68.  Because our pension plans are so well funded, we will not need to report a current  portion.  There is no NCAS account set up for a current portion of the Net pension liability.</t>
        </r>
      </text>
    </comment>
    <comment ref="B131" authorId="0" shapeId="0" xr:uid="{00000000-0006-0000-4A00-00001B000000}">
      <text>
        <r>
          <rPr>
            <sz val="8"/>
            <color indexed="81"/>
            <rFont val="Tahoma"/>
            <family val="2"/>
          </rPr>
          <t>Added to template in 2011.  This is a NOT a caption on the CAFR 11p; however, it is on the 310 worksheet.</t>
        </r>
      </text>
    </comment>
    <comment ref="D135" authorId="0" shapeId="0" xr:uid="{00000000-0006-0000-4A00-00001C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liabilities-noncurrent account to the accounts payable-noncurrent caption.
</t>
        </r>
      </text>
    </comment>
    <comment ref="B136" authorId="0" shapeId="0" xr:uid="{00000000-0006-0000-4A00-00001D000000}">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B139" authorId="0" shapeId="0" xr:uid="{00000000-0006-0000-4A00-00001E000000}">
      <text>
        <r>
          <rPr>
            <sz val="8"/>
            <color indexed="81"/>
            <rFont val="Tahoma"/>
            <family val="2"/>
          </rPr>
          <t>Complete w/s 535 first</t>
        </r>
      </text>
    </comment>
    <comment ref="B142" authorId="0" shapeId="0" xr:uid="{00000000-0006-0000-4A00-00001F000000}">
      <text>
        <r>
          <rPr>
            <sz val="8"/>
            <color indexed="81"/>
            <rFont val="Tahoma"/>
            <family val="2"/>
          </rPr>
          <t>SEAA uses this for Due to IRS Sec 529 (college savings) plan participants</t>
        </r>
      </text>
    </comment>
    <comment ref="B143" authorId="0" shapeId="0" xr:uid="{00000000-0006-0000-4A00-000020000000}">
      <text>
        <r>
          <rPr>
            <sz val="8"/>
            <color indexed="81"/>
            <rFont val="Tahoma"/>
            <family val="2"/>
          </rPr>
          <t>New caption for implementation of GASB 53 Derivatives for 2010</t>
        </r>
      </text>
    </comment>
    <comment ref="B146" authorId="0" shapeId="0" xr:uid="{00000000-0006-0000-4A00-000021000000}">
      <text>
        <r>
          <rPr>
            <sz val="8"/>
            <color indexed="81"/>
            <rFont val="Tahoma"/>
            <family val="2"/>
          </rPr>
          <t xml:space="preserve">Not new, but updating title for 2011 to be consistent with NCAS CAFR 11p caption
</t>
        </r>
      </text>
    </comment>
    <comment ref="B148" authorId="2" shapeId="0" xr:uid="{00000000-0006-0000-4A00-000022000000}">
      <text>
        <r>
          <rPr>
            <b/>
            <sz val="9"/>
            <color indexed="81"/>
            <rFont val="Tahoma"/>
            <family val="2"/>
          </rPr>
          <t>FY 2014</t>
        </r>
        <r>
          <rPr>
            <sz val="9"/>
            <color indexed="81"/>
            <rFont val="Tahoma"/>
            <family val="2"/>
          </rPr>
          <t>added workers comp line on 905-to feed from ws 310</t>
        </r>
      </text>
    </comment>
    <comment ref="B149" authorId="0" shapeId="0" xr:uid="{00000000-0006-0000-4A00-000023000000}">
      <text>
        <r>
          <rPr>
            <sz val="8"/>
            <color indexed="81"/>
            <rFont val="Tahoma"/>
            <family val="2"/>
          </rPr>
          <t>Adding to template for 2011; this is a caption on NCAS CAFR 11p</t>
        </r>
        <r>
          <rPr>
            <sz val="8"/>
            <color indexed="81"/>
            <rFont val="Tahoma"/>
            <family val="2"/>
          </rPr>
          <t xml:space="preserve">
</t>
        </r>
      </text>
    </comment>
    <comment ref="B150" authorId="0" shapeId="0" xr:uid="{00000000-0006-0000-4A00-000024000000}">
      <text>
        <r>
          <rPr>
            <sz val="8"/>
            <color indexed="81"/>
            <rFont val="Tahoma"/>
            <family val="2"/>
          </rPr>
          <t xml:space="preserve">New caption for 2009 - see w/s322
</t>
        </r>
      </text>
    </comment>
    <comment ref="B151" authorId="3" shapeId="0" xr:uid="{DA25F59C-7F39-4E63-853D-B530C0019156}">
      <text>
        <r>
          <rPr>
            <sz val="9"/>
            <color indexed="81"/>
            <rFont val="Tahoma"/>
            <family val="2"/>
          </rPr>
          <t>New Captionfor 2019 - GASB 83</t>
        </r>
      </text>
    </comment>
    <comment ref="B152" authorId="2" shapeId="0" xr:uid="{00000000-0006-0000-4A00-000025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53" authorId="2" shapeId="0" xr:uid="{00000000-0006-0000-4A00-000026000000}">
      <text>
        <r>
          <rPr>
            <sz val="8"/>
            <color indexed="81"/>
            <rFont val="Tahoma"/>
            <family val="2"/>
          </rPr>
          <t>Starting FY15 with implementation of GASB68 for NCAS acct 229150 Net pension liability-noncurrent</t>
        </r>
      </text>
    </comment>
    <comment ref="B155" authorId="0" shapeId="0" xr:uid="{00000000-0006-0000-4A00-000027000000}">
      <text>
        <r>
          <rPr>
            <sz val="8"/>
            <color indexed="81"/>
            <rFont val="Tahoma"/>
            <family val="2"/>
          </rPr>
          <t>Adding to template for 2011; this is a caption on NCAS CAFR 11p</t>
        </r>
      </text>
    </comment>
    <comment ref="B156" authorId="0" shapeId="0" xr:uid="{00000000-0006-0000-4A00-000028000000}">
      <text>
        <r>
          <rPr>
            <sz val="8"/>
            <color indexed="81"/>
            <rFont val="Tahoma"/>
            <family val="2"/>
          </rPr>
          <t>Adding to template for 2011; this is a NOT a caption on NCAS CAFR 11p, however it is on worksheet 310.</t>
        </r>
      </text>
    </comment>
    <comment ref="D161" authorId="2" shapeId="0" xr:uid="{00000000-0006-0000-4A00-000029000000}">
      <text>
        <r>
          <rPr>
            <sz val="9"/>
            <color indexed="81"/>
            <rFont val="Tahoma"/>
            <family val="2"/>
          </rPr>
          <t xml:space="preserve">New F/S element starting FY 2013 w/ implementation of GASB 63
</t>
        </r>
      </text>
    </comment>
    <comment ref="B162" authorId="2" shapeId="0" xr:uid="{00000000-0006-0000-4A00-00002A000000}">
      <text>
        <r>
          <rPr>
            <sz val="7"/>
            <color indexed="81"/>
            <rFont val="Tahoma"/>
            <family val="2"/>
          </rPr>
          <t xml:space="preserve">ForFY13 acct229201 Accum Incr in fair val of hedging deriv (new acct title) goes here. Former acct title is Deferred inflow of resources
</t>
        </r>
      </text>
    </comment>
    <comment ref="B163" authorId="2" shapeId="0" xr:uid="{00000000-0006-0000-4A00-00002B000000}">
      <text>
        <r>
          <rPr>
            <sz val="7"/>
            <color indexed="81"/>
            <rFont val="Tahoma"/>
            <family val="2"/>
          </rPr>
          <t>For FY13, new NCAS acct 229202 added for implementation of GASB60 Service Concession Arrangements</t>
        </r>
      </text>
    </comment>
    <comment ref="B164" authorId="2" shapeId="0" xr:uid="{00000000-0006-0000-4A00-00002C000000}">
      <text>
        <r>
          <rPr>
            <sz val="7"/>
            <color indexed="81"/>
            <rFont val="Tahoma"/>
            <family val="2"/>
          </rPr>
          <t xml:space="preserve">Added FY14 for GASB65,NCAS acct 229203 Def gain on refunding bonds. For more info refer to GASB Resources webpage available from OSC homepage www.osc.nc.gov
</t>
        </r>
      </text>
    </comment>
    <comment ref="B165" authorId="2" shapeId="0" xr:uid="{00000000-0006-0000-4A00-00002D000000}">
      <text>
        <r>
          <rPr>
            <sz val="7"/>
            <color indexed="81"/>
            <rFont val="Tahoma"/>
            <family val="2"/>
          </rPr>
          <t>Added FY14 for GASB65;  NCAS acct 229204 Def Inflows-nonexchange transactions.  Refer to GASB Resources webpage available from OSC homepage www.osc.nc.gov</t>
        </r>
      </text>
    </comment>
    <comment ref="B166" authorId="2" shapeId="0" xr:uid="{00000000-0006-0000-4A00-00002E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68" authorId="2" shapeId="0" xr:uid="{00000000-0006-0000-4A00-00002F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69" authorId="2" shapeId="0" xr:uid="{00000000-0006-0000-4A00-000030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1" authorId="2" shapeId="0" xr:uid="{00000000-0006-0000-4A00-000031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174" authorId="2" shapeId="0" xr:uid="{00000000-0006-0000-4A00-000032000000}">
      <text>
        <r>
          <rPr>
            <sz val="9"/>
            <color indexed="81"/>
            <rFont val="Tahoma"/>
            <family val="2"/>
          </rPr>
          <t xml:space="preserve">For GASB63 effective for FY2013, changed from Net assets to Net position </t>
        </r>
      </text>
    </comment>
    <comment ref="B175" authorId="2" shapeId="0" xr:uid="{00000000-0006-0000-4A00-000033000000}">
      <text>
        <r>
          <rPr>
            <sz val="8"/>
            <color indexed="81"/>
            <rFont val="Tahoma"/>
            <family val="2"/>
          </rPr>
          <t>For GASB63 effective for FY2013 new title for this component of net position. (former title is Invested in capital assets, net of related debt.)</t>
        </r>
        <r>
          <rPr>
            <sz val="9"/>
            <color indexed="81"/>
            <rFont val="Tahoma"/>
            <family val="2"/>
          </rPr>
          <t xml:space="preserve">
</t>
        </r>
      </text>
    </comment>
    <comment ref="E188" authorId="2" shapeId="0" xr:uid="{00000000-0006-0000-4A00-000034000000}">
      <text>
        <r>
          <rPr>
            <sz val="9"/>
            <color indexed="81"/>
            <rFont val="Tahoma"/>
            <family val="2"/>
          </rPr>
          <t xml:space="preserve">New equation based on GASB63 effective FY2013
</t>
        </r>
      </text>
    </comment>
    <comment ref="B194" authorId="0" shapeId="0" xr:uid="{00000000-0006-0000-4A00-000035000000}">
      <text>
        <r>
          <rPr>
            <sz val="8"/>
            <color indexed="81"/>
            <rFont val="Tahoma"/>
            <family val="2"/>
          </rPr>
          <t xml:space="preserve">added net 2011
</t>
        </r>
      </text>
    </comment>
    <comment ref="B195" authorId="0" shapeId="0" xr:uid="{00000000-0006-0000-4A00-000036000000}">
      <text>
        <r>
          <rPr>
            <sz val="8"/>
            <color indexed="81"/>
            <rFont val="Tahoma"/>
            <family val="2"/>
          </rPr>
          <t>Adding to template for 2011; this is a caption on NCAS CAFR 11p</t>
        </r>
      </text>
    </comment>
    <comment ref="B196" authorId="0" shapeId="0" xr:uid="{00000000-0006-0000-4A00-000037000000}">
      <text>
        <r>
          <rPr>
            <sz val="8"/>
            <color indexed="81"/>
            <rFont val="Tahoma"/>
            <family val="2"/>
          </rPr>
          <t>Adding to template for 2011; this is a caption on NCAS CAFR 11p</t>
        </r>
      </text>
    </comment>
    <comment ref="B197" authorId="0" shapeId="0" xr:uid="{00000000-0006-0000-4A00-000038000000}">
      <text>
        <r>
          <rPr>
            <sz val="8"/>
            <color indexed="81"/>
            <rFont val="Tahoma"/>
            <family val="2"/>
          </rPr>
          <t>Adding to template for 2011; this is a caption on NCAS CAFR 11p</t>
        </r>
      </text>
    </comment>
    <comment ref="B208" authorId="2" shapeId="0" xr:uid="{00000000-0006-0000-4A00-000039000000}">
      <text>
        <r>
          <rPr>
            <sz val="9"/>
            <color indexed="81"/>
            <rFont val="Tahoma"/>
            <family val="2"/>
          </rPr>
          <t xml:space="preserve">FY15-Includes new acct for GASB 68 - NCAS acct 531595 Pension expense .
</t>
        </r>
      </text>
    </comment>
    <comment ref="B209" authorId="4" shapeId="0" xr:uid="{00000000-0006-0000-4A00-00003A000000}">
      <text>
        <r>
          <rPr>
            <sz val="9"/>
            <color indexed="81"/>
            <rFont val="Tahoma"/>
            <family val="2"/>
          </rPr>
          <t xml:space="preserve">Beginning FY2013, includes capital outlay/noncap equip
</t>
        </r>
      </text>
    </comment>
    <comment ref="B213" authorId="2" shapeId="0" xr:uid="{00000000-0006-0000-4A00-00003B000000}">
      <text>
        <r>
          <rPr>
            <sz val="8"/>
            <color indexed="81"/>
            <rFont val="Tahoma"/>
            <family val="2"/>
          </rPr>
          <t>FY2012 removed amortization from caption title</t>
        </r>
      </text>
    </comment>
    <comment ref="B215" authorId="0" shapeId="0" xr:uid="{00000000-0006-0000-4A00-00003C000000}">
      <text>
        <r>
          <rPr>
            <sz val="8"/>
            <color indexed="81"/>
            <rFont val="Tahoma"/>
            <family val="2"/>
          </rPr>
          <t xml:space="preserve">Added to template 2011; this is a caption on the NCAS operating statement
</t>
        </r>
      </text>
    </comment>
    <comment ref="B216" authorId="0" shapeId="0" xr:uid="{00000000-0006-0000-4A00-00003D000000}">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B224" authorId="0" shapeId="0" xr:uid="{00000000-0006-0000-4A00-00003E000000}">
      <text>
        <r>
          <rPr>
            <sz val="8"/>
            <color indexed="81"/>
            <rFont val="Tahoma"/>
            <family val="2"/>
          </rPr>
          <t>Caption added to template 2011. State appropriations are funds appropriated by the legislature for general use by a specific agency. For NCAS agencies, this represents the 439100 account balance in the general fund budget code. This caption should not include state aid-program or state capital aid or state capital appropriations in a 4xxxx capital projects budget code.</t>
        </r>
      </text>
    </comment>
    <comment ref="B227" authorId="5" shapeId="0" xr:uid="{A615783C-1191-4045-98F6-5DA93EB3548F}">
      <text>
        <t>[Threaded comment]
Your version of Excel allows you to read this threaded comment; however, any edits to it will get removed if the file is opened in a newer version of Excel. Learn more: https://go.microsoft.com/fwlink/?linkid=870924
Comment:
    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t>
      </text>
    </comment>
    <comment ref="B229" authorId="6" shapeId="0" xr:uid="{E88BAAE7-59B6-49B2-BFA5-5FE8C4DBA888}">
      <text>
        <t>[Threaded comment]
Your version of Excel allows you to read this threaded comment; however, any edits to it will get removed if the file is opened in a newer version of Excel. Learn more: https://go.microsoft.com/fwlink/?linkid=870924
Comment:
    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
      </text>
    </comment>
    <comment ref="B231" authorId="7" shapeId="0" xr:uid="{0665821F-2F78-4D93-BB0F-0CF65F131A8B}">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B239" authorId="0" shapeId="0" xr:uid="{00000000-0006-0000-4A00-00003F000000}">
      <text>
        <r>
          <rPr>
            <sz val="8"/>
            <color indexed="81"/>
            <rFont val="Tahoma"/>
            <family val="2"/>
          </rPr>
          <t>Added to template 2011; this is a caption on the NCAS operating statement</t>
        </r>
      </text>
    </comment>
    <comment ref="B245" authorId="0" shapeId="0" xr:uid="{00000000-0006-0000-4A00-000040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B246" authorId="0" shapeId="0" xr:uid="{00000000-0006-0000-4A00-000041000000}">
      <text>
        <r>
          <rPr>
            <sz val="8"/>
            <color indexed="81"/>
            <rFont val="Tahoma"/>
            <family val="2"/>
          </rPr>
          <t>Capital grants include federal, state and local capital grants, including the ARRA energy grants from the NC Dept of Commerce.</t>
        </r>
      </text>
    </comment>
    <comment ref="B248" authorId="0" shapeId="0" xr:uid="{00000000-0006-0000-4A00-000042000000}">
      <text>
        <r>
          <rPr>
            <sz val="8"/>
            <color indexed="81"/>
            <rFont val="Tahoma"/>
            <family val="2"/>
          </rPr>
          <t>Added to template 2011; this is a caption on the NCAS operating statement</t>
        </r>
      </text>
    </comment>
    <comment ref="B249" authorId="0" shapeId="0" xr:uid="{00000000-0006-0000-4A00-000043000000}">
      <text>
        <r>
          <rPr>
            <sz val="8"/>
            <color indexed="81"/>
            <rFont val="Tahoma"/>
            <family val="2"/>
          </rPr>
          <t>Added to template 2011; this is a caption on the NCAS operating statement. Complete ws 565 first.</t>
        </r>
      </text>
    </comment>
    <comment ref="F253" authorId="0" shapeId="0" xr:uid="{00000000-0006-0000-4A00-000044000000}">
      <text>
        <r>
          <rPr>
            <sz val="8"/>
            <color indexed="81"/>
            <rFont val="Tahoma"/>
            <family val="2"/>
          </rPr>
          <t xml:space="preserve">Complete the Index sheet first. This cell uses the agency number from the Index Sheet to populate the beginning net position number from the table built from the prior year CAFR ending net position balance .  Any difference  including audit adjustments must be entered on the restatements line.
</t>
        </r>
      </text>
    </comment>
    <comment ref="B254" authorId="2" shapeId="0" xr:uid="{00000000-0006-0000-4A00-000045000000}">
      <text>
        <r>
          <rPr>
            <sz val="9"/>
            <color indexed="81"/>
            <rFont val="Tahoma"/>
            <family val="2"/>
          </rPr>
          <t>Tie to ws 430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Helen Vozzo</author>
    <author>Helen K. Vozzo</author>
    <author>Administrator</author>
    <author>Debbie Dryer</author>
    <author>tc={C46C3533-8015-459F-8AF8-C93EA45BF696}</author>
  </authors>
  <commentList>
    <comment ref="C5" authorId="0" shapeId="0" xr:uid="{00000000-0006-0000-4C00-000001000000}">
      <text>
        <r>
          <rPr>
            <sz val="8"/>
            <color indexed="81"/>
            <rFont val="Tahoma"/>
            <family val="2"/>
          </rPr>
          <t>Complete the Index sheet first.</t>
        </r>
      </text>
    </comment>
    <comment ref="C7" authorId="0" shapeId="0" xr:uid="{00000000-0006-0000-4C00-000002000000}">
      <text>
        <r>
          <rPr>
            <sz val="8"/>
            <color indexed="81"/>
            <rFont val="Tahoma"/>
            <family val="2"/>
          </rPr>
          <t xml:space="preserve">Complete the Index sheet first. This cell uses the agency number from the Index Sheet to populate the GASB fund number from the NetAssets table.
</t>
        </r>
      </text>
    </comment>
    <comment ref="B18" authorId="0" shapeId="0" xr:uid="{00000000-0006-0000-4C00-000003000000}">
      <text>
        <r>
          <rPr>
            <sz val="8"/>
            <color indexed="81"/>
            <rFont val="Tahoma"/>
            <family val="2"/>
          </rPr>
          <t xml:space="preserve">Added securities lending caption in 2011. This is not applicable for universities but added in case other agencies need.  This caption is on the NCAS CAFR 11p balance sheet.
</t>
        </r>
      </text>
    </comment>
    <comment ref="F25" authorId="0" shapeId="0" xr:uid="{00000000-0006-0000-4C00-000004000000}">
      <text>
        <r>
          <rPr>
            <sz val="8"/>
            <color indexed="81"/>
            <rFont val="Tahoma"/>
            <family val="2"/>
          </rPr>
          <t xml:space="preserve">Complete ws525 first
</t>
        </r>
      </text>
    </comment>
    <comment ref="F26" authorId="0" shapeId="0" xr:uid="{00000000-0006-0000-4C00-000005000000}">
      <text>
        <r>
          <rPr>
            <sz val="8"/>
            <color indexed="81"/>
            <rFont val="Tahoma"/>
            <family val="2"/>
          </rPr>
          <t>Complete worksheet 616 and the total will automatically populate here.</t>
        </r>
      </text>
    </comment>
    <comment ref="F27" authorId="0" shapeId="0" xr:uid="{00000000-0006-0000-4C00-000006000000}">
      <text>
        <r>
          <rPr>
            <sz val="8"/>
            <color indexed="81"/>
            <rFont val="Tahoma"/>
            <family val="2"/>
          </rPr>
          <t>Complete ws 515 first</t>
        </r>
      </text>
    </comment>
    <comment ref="B45" authorId="0" shapeId="0" xr:uid="{00000000-0006-0000-4C00-000007000000}">
      <text>
        <r>
          <rPr>
            <sz val="8"/>
            <color indexed="81"/>
            <rFont val="Tahoma"/>
            <family val="2"/>
          </rPr>
          <t xml:space="preserve">'Intergovernmental receivables - noncurrent' is not a caption in DSS, but we had it on the offline agency template in 2010 so we are keeping it on the 905 template.
</t>
        </r>
      </text>
    </comment>
    <comment ref="B51" authorId="1" shapeId="0" xr:uid="{00000000-0006-0000-4C00-000008000000}">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B55" authorId="0" shapeId="0" xr:uid="{00000000-0006-0000-4C00-000009000000}">
      <text>
        <r>
          <rPr>
            <sz val="8"/>
            <color indexed="81"/>
            <rFont val="Tahoma"/>
            <family val="2"/>
          </rPr>
          <t xml:space="preserve">Added caption back to template in 2009. Did not have in 2008 but did in prior years.  Rolls w/ Restricted investments for CAFR. Do not have this caption on DSS. Kept on template because SEAA uses this caption.  (Note: Post GASB 61, SEAA is no longer a major CU and no longer completes 905.)  </t>
        </r>
      </text>
    </comment>
    <comment ref="F56" authorId="0" shapeId="0" xr:uid="{00000000-0006-0000-4C00-00000A000000}">
      <text>
        <r>
          <rPr>
            <sz val="8"/>
            <color indexed="81"/>
            <rFont val="Tahoma"/>
            <family val="2"/>
          </rPr>
          <t>Complete ws 525 first</t>
        </r>
      </text>
    </comment>
    <comment ref="F57" authorId="0" shapeId="0" xr:uid="{00000000-0006-0000-4C00-00000B000000}">
      <text>
        <r>
          <rPr>
            <sz val="8"/>
            <color indexed="81"/>
            <rFont val="Tahoma"/>
            <family val="2"/>
          </rPr>
          <t>Complete ws 515 first</t>
        </r>
      </text>
    </comment>
    <comment ref="B61" authorId="0" shapeId="0" xr:uid="{00000000-0006-0000-4C00-00000C000000}">
      <text>
        <r>
          <rPr>
            <sz val="8"/>
            <color indexed="81"/>
            <rFont val="Tahoma"/>
            <family val="2"/>
          </rPr>
          <t xml:space="preserve">Complete the 201 worksheet first and the totals will populate here.
</t>
        </r>
      </text>
    </comment>
    <comment ref="B69" authorId="0" shapeId="0" xr:uid="{00000000-0006-0000-4C00-00000D000000}">
      <text>
        <r>
          <rPr>
            <sz val="8"/>
            <color indexed="81"/>
            <rFont val="Tahoma"/>
            <family val="2"/>
          </rPr>
          <t xml:space="preserve">Complete worksheet 201 first and totals will populate here.
</t>
        </r>
      </text>
    </comment>
    <comment ref="F81" authorId="0" shapeId="0" xr:uid="{00000000-0006-0000-4C00-00000E000000}">
      <text>
        <r>
          <rPr>
            <sz val="8"/>
            <color indexed="81"/>
            <rFont val="Tahoma"/>
            <family val="2"/>
          </rPr>
          <t xml:space="preserve">Complete ws 210 first
</t>
        </r>
      </text>
    </comment>
    <comment ref="D87" authorId="1" shapeId="0" xr:uid="{00000000-0006-0000-4C00-00000F000000}">
      <text>
        <r>
          <rPr>
            <sz val="9"/>
            <color indexed="81"/>
            <rFont val="Tahoma"/>
            <family val="2"/>
          </rPr>
          <t xml:space="preserve">New F/S element starting FY 2013 w/ implementation of GASB 63
</t>
        </r>
      </text>
    </comment>
    <comment ref="B88" authorId="1" shapeId="0" xr:uid="{00000000-0006-0000-4C00-000010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89" authorId="1" shapeId="0" xr:uid="{00000000-0006-0000-4C00-000011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0" authorId="1" shapeId="0" xr:uid="{C5B99692-3024-4023-A70C-4119EFF816D9}">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1" authorId="1" shapeId="0" xr:uid="{00000000-0006-0000-4C00-000012000000}">
      <text>
        <r>
          <rPr>
            <sz val="8"/>
            <color indexed="81"/>
            <rFont val="Tahoma"/>
            <family val="2"/>
          </rPr>
          <t>Added in FY2015 with the implementation of GASB 68 - for new NCAS Acct 129710 Deferred outflows for pensions.</t>
        </r>
      </text>
    </comment>
    <comment ref="B93" authorId="1" shapeId="0" xr:uid="{00000000-0006-0000-4C00-000013000000}">
      <text>
        <r>
          <rPr>
            <sz val="8"/>
            <color indexed="81"/>
            <rFont val="Tahoma"/>
            <family val="2"/>
          </rPr>
          <t>Added in FY2015 with the implementation of GASB 69 Government Combinations and Disposals of Government Operations. For new NCAS Acct 129705 Excess consideration provided for acquisition.</t>
        </r>
      </text>
    </comment>
    <comment ref="B94" authorId="1" shapeId="0" xr:uid="{00000000-0006-0000-4C00-000014000000}">
      <text>
        <r>
          <rPr>
            <sz val="8"/>
            <color indexed="81"/>
            <rFont val="Tahoma"/>
            <family val="2"/>
          </rPr>
          <t xml:space="preserve">Added in FY 2014 for the implementation of GASB 65-  new acct 129703 Other Deferred outflow of resources, per GASB 65 that are not classified in a more specific account. In FY15, updated caption from "Deferred outflows-other" to "Other deferred outflows" to be consistent w/ CAFR. </t>
        </r>
      </text>
    </comment>
    <comment ref="D99" authorId="0" shapeId="0" xr:uid="{00000000-0006-0000-4C00-000015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 account to the accounts payable caption.
</t>
        </r>
      </text>
    </comment>
    <comment ref="B100" authorId="0" shapeId="0" xr:uid="{00000000-0006-0000-4C00-000016000000}">
      <text>
        <r>
          <rPr>
            <sz val="8"/>
            <color indexed="81"/>
            <rFont val="Tahoma"/>
            <family val="2"/>
          </rPr>
          <t xml:space="preserve">For 2011 Accounts payable includes Other payables which had been a separate subcaption in prior years.
</t>
        </r>
      </text>
    </comment>
    <comment ref="B105" authorId="0" shapeId="0" xr:uid="{00000000-0006-0000-4C00-000017000000}">
      <text>
        <r>
          <rPr>
            <b/>
            <sz val="8"/>
            <color indexed="81"/>
            <rFont val="Tahoma"/>
            <family val="2"/>
          </rPr>
          <t>Short-term debt caption added 5/27/09 for FY 2009. For 2011 adding detail captions  - see below:
Revolving line of credit and loans payable, commercial paper, anticipation notes.  Amts  should tie to w/s 310</t>
        </r>
        <r>
          <rPr>
            <sz val="8"/>
            <color indexed="81"/>
            <rFont val="Tahoma"/>
            <family val="2"/>
          </rPr>
          <t xml:space="preserve">
</t>
        </r>
      </text>
    </comment>
    <comment ref="B106" authorId="0" shapeId="0" xr:uid="{00000000-0006-0000-4C00-000018000000}">
      <text>
        <r>
          <rPr>
            <sz val="8"/>
            <color indexed="81"/>
            <rFont val="Tahoma"/>
            <family val="2"/>
          </rPr>
          <t xml:space="preserve">Caption title on NCAS CAFR 11p does not include loans payable, but title on template broader to include loans.
</t>
        </r>
      </text>
    </comment>
    <comment ref="F106" authorId="0" shapeId="0" xr:uid="{00000000-0006-0000-4C00-000019000000}">
      <text>
        <r>
          <rPr>
            <sz val="8"/>
            <color indexed="81"/>
            <rFont val="Tahoma"/>
            <family val="2"/>
          </rPr>
          <t>Complete ws 310 Short term debt section first</t>
        </r>
      </text>
    </comment>
    <comment ref="F107" authorId="0" shapeId="0" xr:uid="{00000000-0006-0000-4C00-00001A000000}">
      <text>
        <r>
          <rPr>
            <sz val="8"/>
            <color indexed="81"/>
            <rFont val="Tahoma"/>
            <family val="2"/>
          </rPr>
          <t>Complete ws 310 Short term debt section first</t>
        </r>
      </text>
    </comment>
    <comment ref="F108" authorId="0" shapeId="0" xr:uid="{F86AE7BB-6987-465A-95B8-F7ABB449A360}">
      <text>
        <r>
          <rPr>
            <sz val="8"/>
            <color indexed="81"/>
            <rFont val="Tahoma"/>
            <family val="2"/>
          </rPr>
          <t>Complete ws 310 Short term debt section first</t>
        </r>
      </text>
    </comment>
    <comment ref="F109" authorId="0" shapeId="0" xr:uid="{51E186D8-1727-4300-9BC5-6A917E51DD89}">
      <text>
        <r>
          <rPr>
            <sz val="8"/>
            <color indexed="81"/>
            <rFont val="Tahoma"/>
            <family val="2"/>
          </rPr>
          <t>Complete ws 310 Short term debt section first</t>
        </r>
      </text>
    </comment>
    <comment ref="F110" authorId="0" shapeId="0" xr:uid="{00000000-0006-0000-4C00-00001B000000}">
      <text>
        <r>
          <rPr>
            <sz val="8"/>
            <color indexed="81"/>
            <rFont val="Tahoma"/>
            <family val="2"/>
          </rPr>
          <t>Complete ws 310 Short term debt section first</t>
        </r>
      </text>
    </comment>
    <comment ref="F111" authorId="0" shapeId="0" xr:uid="{00000000-0006-0000-4C00-00001C000000}">
      <text>
        <r>
          <rPr>
            <sz val="8"/>
            <color indexed="81"/>
            <rFont val="Tahoma"/>
            <family val="2"/>
          </rPr>
          <t>Complete ws 530 first</t>
        </r>
      </text>
    </comment>
    <comment ref="F112" authorId="2" shapeId="0" xr:uid="{00000000-0006-0000-4C00-00001D000000}">
      <text>
        <r>
          <rPr>
            <sz val="9"/>
            <color indexed="81"/>
            <rFont val="Tahoma"/>
            <family val="2"/>
          </rPr>
          <t>Complete worksheet 616 first and the total will automatically populate here.</t>
        </r>
      </text>
    </comment>
    <comment ref="F113" authorId="0" shapeId="0" xr:uid="{00000000-0006-0000-4C00-00001E000000}">
      <text>
        <r>
          <rPr>
            <sz val="8"/>
            <color indexed="81"/>
            <rFont val="Tahoma"/>
            <family val="2"/>
          </rPr>
          <t xml:space="preserve">Complete ws 520 first
</t>
        </r>
      </text>
    </comment>
    <comment ref="B116" authorId="0" shapeId="0" xr:uid="{00000000-0006-0000-4C00-00001F000000}">
      <text>
        <r>
          <rPr>
            <sz val="8"/>
            <color indexed="81"/>
            <rFont val="Tahoma"/>
            <family val="2"/>
          </rPr>
          <t>Added Obligations under securities lending caption for 2011. This is not applicable for universities but adding in case other agencies need, and this caption is on the NCAS CAFR 11p balance sheet.</t>
        </r>
      </text>
    </comment>
    <comment ref="B118" authorId="0" shapeId="0" xr:uid="{00000000-0006-0000-4C00-000020000000}">
      <text>
        <r>
          <rPr>
            <sz val="8"/>
            <color indexed="81"/>
            <rFont val="Tahoma"/>
            <family val="2"/>
          </rPr>
          <t>SEAA uses this for Due to IRS Sec 529 (college savings) plan participants</t>
        </r>
      </text>
    </comment>
    <comment ref="B119" authorId="0" shapeId="0" xr:uid="{00000000-0006-0000-4C00-000021000000}">
      <text>
        <r>
          <rPr>
            <sz val="8"/>
            <color indexed="81"/>
            <rFont val="Tahoma"/>
            <family val="2"/>
          </rPr>
          <t>New caption for implementation of GASB 53 Derivatives for 2010</t>
        </r>
      </text>
    </comment>
    <comment ref="F120" authorId="0" shapeId="0" xr:uid="{57F0012E-8353-475C-BB4C-7464E8F7C418}">
      <text>
        <r>
          <rPr>
            <sz val="8"/>
            <color indexed="81"/>
            <rFont val="Tahoma"/>
            <family val="2"/>
          </rPr>
          <t xml:space="preserve">Complete ws 310 first
</t>
        </r>
      </text>
    </comment>
    <comment ref="F121" authorId="0" shapeId="0" xr:uid="{00000000-0006-0000-4C00-000023000000}">
      <text>
        <r>
          <rPr>
            <sz val="8"/>
            <color indexed="81"/>
            <rFont val="Tahoma"/>
            <family val="2"/>
          </rPr>
          <t xml:space="preserve">Complete ws 310 first
</t>
        </r>
      </text>
    </comment>
    <comment ref="B122" authorId="0" shapeId="0" xr:uid="{00000000-0006-0000-4C00-000024000000}">
      <text>
        <r>
          <rPr>
            <sz val="8"/>
            <color indexed="81"/>
            <rFont val="Tahoma"/>
            <family val="2"/>
          </rPr>
          <t xml:space="preserve">Not new, but updating title for 2011 to be consistent with NCAS CAFR 11p caption. From ws 310
</t>
        </r>
      </text>
    </comment>
    <comment ref="F122" authorId="0" shapeId="0" xr:uid="{00000000-0006-0000-4C00-000025000000}">
      <text>
        <r>
          <rPr>
            <sz val="8"/>
            <color indexed="81"/>
            <rFont val="Tahoma"/>
            <family val="2"/>
          </rPr>
          <t xml:space="preserve">Complete ws 310 first
</t>
        </r>
      </text>
    </comment>
    <comment ref="F123" authorId="0" shapeId="0" xr:uid="{00000000-0006-0000-4C00-000026000000}">
      <text>
        <r>
          <rPr>
            <sz val="8"/>
            <color indexed="81"/>
            <rFont val="Tahoma"/>
            <family val="2"/>
          </rPr>
          <t xml:space="preserve">Complete ws 310 first
</t>
        </r>
      </text>
    </comment>
    <comment ref="B124" authorId="1" shapeId="0" xr:uid="{00000000-0006-0000-4C00-000027000000}">
      <text>
        <r>
          <rPr>
            <b/>
            <sz val="9"/>
            <color indexed="81"/>
            <rFont val="Tahoma"/>
            <family val="2"/>
          </rPr>
          <t>FY 2014-</t>
        </r>
        <r>
          <rPr>
            <sz val="9"/>
            <color indexed="81"/>
            <rFont val="Tahoma"/>
            <family val="2"/>
          </rPr>
          <t>added workers comp line on 905-to feed from ws 310</t>
        </r>
      </text>
    </comment>
    <comment ref="F124" authorId="0" shapeId="0" xr:uid="{00000000-0006-0000-4C00-000028000000}">
      <text>
        <r>
          <rPr>
            <sz val="8"/>
            <color indexed="81"/>
            <rFont val="Tahoma"/>
            <family val="2"/>
          </rPr>
          <t xml:space="preserve">Complete ws 310 first
</t>
        </r>
      </text>
    </comment>
    <comment ref="B125" authorId="0" shapeId="0" xr:uid="{00000000-0006-0000-4C00-000029000000}">
      <text>
        <r>
          <rPr>
            <sz val="8"/>
            <color indexed="81"/>
            <rFont val="Tahoma"/>
            <family val="2"/>
          </rPr>
          <t>Adding to template for 2011; this is a caption on NCAS CAFR 11p</t>
        </r>
        <r>
          <rPr>
            <sz val="8"/>
            <color indexed="81"/>
            <rFont val="Tahoma"/>
            <family val="2"/>
          </rPr>
          <t xml:space="preserve">
</t>
        </r>
      </text>
    </comment>
    <comment ref="F125" authorId="0" shapeId="0" xr:uid="{00000000-0006-0000-4C00-00002A000000}">
      <text>
        <r>
          <rPr>
            <sz val="8"/>
            <color indexed="81"/>
            <rFont val="Tahoma"/>
            <family val="2"/>
          </rPr>
          <t xml:space="preserve">Complete ws 310 first
</t>
        </r>
      </text>
    </comment>
    <comment ref="B126" authorId="0" shapeId="0" xr:uid="{00000000-0006-0000-4C00-00002B000000}">
      <text>
        <r>
          <rPr>
            <sz val="8"/>
            <color indexed="81"/>
            <rFont val="Tahoma"/>
            <family val="2"/>
          </rPr>
          <t>New caption for 2009 - see w/s 322</t>
        </r>
      </text>
    </comment>
    <comment ref="F126" authorId="0" shapeId="0" xr:uid="{00000000-0006-0000-4C00-00002C000000}">
      <text>
        <r>
          <rPr>
            <sz val="8"/>
            <color indexed="81"/>
            <rFont val="Tahoma"/>
            <family val="2"/>
          </rPr>
          <t xml:space="preserve">Complete ws 310 first
</t>
        </r>
      </text>
    </comment>
    <comment ref="B127" authorId="0" shapeId="0" xr:uid="{D59201A0-4D9B-4F6F-942C-8BE686C03943}">
      <text>
        <r>
          <rPr>
            <sz val="8"/>
            <color indexed="81"/>
            <rFont val="Tahoma"/>
            <family val="2"/>
          </rPr>
          <t>New caption for 2009 - see w/s 322</t>
        </r>
      </text>
    </comment>
    <comment ref="F127" authorId="0" shapeId="0" xr:uid="{6C99DE0E-115D-4DE3-8795-0725B95118A6}">
      <text>
        <r>
          <rPr>
            <sz val="8"/>
            <color indexed="81"/>
            <rFont val="Tahoma"/>
            <family val="2"/>
          </rPr>
          <t xml:space="preserve">Complete ws 310 first
</t>
        </r>
      </text>
    </comment>
    <comment ref="B128" authorId="1" shapeId="0" xr:uid="{00000000-0006-0000-4C00-00002D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F128" authorId="0" shapeId="0" xr:uid="{00000000-0006-0000-4C00-00002E000000}">
      <text>
        <r>
          <rPr>
            <sz val="8"/>
            <color indexed="81"/>
            <rFont val="Tahoma"/>
            <family val="2"/>
          </rPr>
          <t xml:space="preserve">Complete ws 310 first
</t>
        </r>
      </text>
    </comment>
    <comment ref="B129" authorId="1" shapeId="0" xr:uid="{00000000-0006-0000-4C00-00002F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F129" authorId="0" shapeId="0" xr:uid="{00000000-0006-0000-4C00-000030000000}">
      <text>
        <r>
          <rPr>
            <sz val="8"/>
            <color indexed="81"/>
            <rFont val="Tahoma"/>
            <family val="2"/>
          </rPr>
          <t xml:space="preserve">Complete ws 310 first
</t>
        </r>
      </text>
    </comment>
    <comment ref="F130" authorId="0" shapeId="0" xr:uid="{00000000-0006-0000-4C00-000031000000}">
      <text>
        <r>
          <rPr>
            <sz val="8"/>
            <color indexed="81"/>
            <rFont val="Tahoma"/>
            <family val="2"/>
          </rPr>
          <t xml:space="preserve">Complete ws 310 first
</t>
        </r>
      </text>
    </comment>
    <comment ref="B131" authorId="0" shapeId="0" xr:uid="{00000000-0006-0000-4C00-000032000000}">
      <text>
        <r>
          <rPr>
            <sz val="8"/>
            <color indexed="81"/>
            <rFont val="Tahoma"/>
            <family val="2"/>
          </rPr>
          <t>Adding to template for 2011; this is a caption on NCAS CAFR 11p</t>
        </r>
      </text>
    </comment>
    <comment ref="F131" authorId="0" shapeId="0" xr:uid="{00000000-0006-0000-4C00-000033000000}">
      <text>
        <r>
          <rPr>
            <sz val="8"/>
            <color indexed="81"/>
            <rFont val="Tahoma"/>
            <family val="2"/>
          </rPr>
          <t xml:space="preserve">Complete ws 310 first
</t>
        </r>
      </text>
    </comment>
    <comment ref="B132" authorId="0" shapeId="0" xr:uid="{00000000-0006-0000-4C00-000034000000}">
      <text>
        <r>
          <rPr>
            <sz val="8"/>
            <color indexed="81"/>
            <rFont val="Tahoma"/>
            <family val="2"/>
          </rPr>
          <t>Adding to template for 2011; this is a NOT a caption on NCAS CAFR 11p, however it is on the 310 worksheet</t>
        </r>
      </text>
    </comment>
    <comment ref="F132" authorId="0" shapeId="0" xr:uid="{00000000-0006-0000-4C00-000035000000}">
      <text>
        <r>
          <rPr>
            <sz val="8"/>
            <color indexed="81"/>
            <rFont val="Tahoma"/>
            <family val="2"/>
          </rPr>
          <t xml:space="preserve">Complete ws 310 first
</t>
        </r>
      </text>
    </comment>
    <comment ref="D136" authorId="0" shapeId="0" xr:uid="{00000000-0006-0000-4C00-000036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liabilities-noncurrent account to the accounts payable-noncurrent caption.
</t>
        </r>
      </text>
    </comment>
    <comment ref="B137" authorId="0" shapeId="0" xr:uid="{00000000-0006-0000-4C00-000037000000}">
      <text>
        <r>
          <rPr>
            <sz val="8"/>
            <color indexed="81"/>
            <rFont val="Tahoma"/>
            <family val="2"/>
          </rPr>
          <t xml:space="preserve">The noncurrent accounts payable caption is new on the template for 2011, but it was an existing caption on the DSS CAFR 11P reports.  The noncurrent investment derivative liability would be included in this caption as well as other payables-noncurrent which had a separate subcaption in prior years.
</t>
        </r>
      </text>
    </comment>
    <comment ref="B140" authorId="0" shapeId="0" xr:uid="{00000000-0006-0000-4C00-000038000000}">
      <text>
        <r>
          <rPr>
            <sz val="8"/>
            <color indexed="81"/>
            <rFont val="Tahoma"/>
            <family val="2"/>
          </rPr>
          <t xml:space="preserve">Complete ws 535 first
</t>
        </r>
      </text>
    </comment>
    <comment ref="B143" authorId="0" shapeId="0" xr:uid="{00000000-0006-0000-4C00-000039000000}">
      <text>
        <r>
          <rPr>
            <sz val="8"/>
            <color indexed="81"/>
            <rFont val="Tahoma"/>
            <family val="2"/>
          </rPr>
          <t>SEAA uses this for Due to IRS Sec 529 (college savings) plan participants</t>
        </r>
      </text>
    </comment>
    <comment ref="B144" authorId="0" shapeId="0" xr:uid="{00000000-0006-0000-4C00-00003A000000}">
      <text>
        <r>
          <rPr>
            <sz val="8"/>
            <color indexed="81"/>
            <rFont val="Tahoma"/>
            <family val="2"/>
          </rPr>
          <t>New caption for implementation of GASB 53 Derivatives for 2010</t>
        </r>
      </text>
    </comment>
    <comment ref="F145" authorId="0" shapeId="0" xr:uid="{21647E50-C47E-46A5-9FC8-B6154C5391D5}">
      <text>
        <r>
          <rPr>
            <sz val="8"/>
            <color indexed="81"/>
            <rFont val="Tahoma"/>
            <family val="2"/>
          </rPr>
          <t xml:space="preserve">Complete ws 310 first
</t>
        </r>
      </text>
    </comment>
    <comment ref="F146" authorId="0" shapeId="0" xr:uid="{00000000-0006-0000-4C00-00003C000000}">
      <text>
        <r>
          <rPr>
            <sz val="8"/>
            <color indexed="81"/>
            <rFont val="Tahoma"/>
            <family val="2"/>
          </rPr>
          <t xml:space="preserve">Complete ws 310 first
</t>
        </r>
      </text>
    </comment>
    <comment ref="B147" authorId="0" shapeId="0" xr:uid="{00000000-0006-0000-4C00-00003D000000}">
      <text>
        <r>
          <rPr>
            <sz val="8"/>
            <color indexed="81"/>
            <rFont val="Tahoma"/>
            <family val="2"/>
          </rPr>
          <t xml:space="preserve">Not new, but updating title for 2011 to be consistent with NCAS CAFR 11p caption
</t>
        </r>
      </text>
    </comment>
    <comment ref="F147" authorId="0" shapeId="0" xr:uid="{00000000-0006-0000-4C00-00003E000000}">
      <text>
        <r>
          <rPr>
            <sz val="8"/>
            <color indexed="81"/>
            <rFont val="Tahoma"/>
            <family val="2"/>
          </rPr>
          <t xml:space="preserve">Complete ws 310 first
</t>
        </r>
      </text>
    </comment>
    <comment ref="F148" authorId="0" shapeId="0" xr:uid="{00000000-0006-0000-4C00-00003F000000}">
      <text>
        <r>
          <rPr>
            <sz val="8"/>
            <color indexed="81"/>
            <rFont val="Tahoma"/>
            <family val="2"/>
          </rPr>
          <t xml:space="preserve">Complete ws 310 first
</t>
        </r>
      </text>
    </comment>
    <comment ref="B149" authorId="1" shapeId="0" xr:uid="{00000000-0006-0000-4C00-000040000000}">
      <text>
        <r>
          <rPr>
            <b/>
            <sz val="9"/>
            <color indexed="81"/>
            <rFont val="Tahoma"/>
            <family val="2"/>
          </rPr>
          <t>FY 2014</t>
        </r>
        <r>
          <rPr>
            <sz val="9"/>
            <color indexed="81"/>
            <rFont val="Tahoma"/>
            <family val="2"/>
          </rPr>
          <t>added workers comp line on 905-to feed from ws 310</t>
        </r>
      </text>
    </comment>
    <comment ref="F149" authorId="0" shapeId="0" xr:uid="{00000000-0006-0000-4C00-000041000000}">
      <text>
        <r>
          <rPr>
            <sz val="8"/>
            <color indexed="81"/>
            <rFont val="Tahoma"/>
            <family val="2"/>
          </rPr>
          <t xml:space="preserve">Complete ws 310 first
</t>
        </r>
      </text>
    </comment>
    <comment ref="B150" authorId="0" shapeId="0" xr:uid="{00000000-0006-0000-4C00-000042000000}">
      <text>
        <r>
          <rPr>
            <sz val="8"/>
            <color indexed="81"/>
            <rFont val="Tahoma"/>
            <family val="2"/>
          </rPr>
          <t>Adding to template for 2011; this is a caption on NCAS CAFR 11p</t>
        </r>
        <r>
          <rPr>
            <sz val="8"/>
            <color indexed="81"/>
            <rFont val="Tahoma"/>
            <family val="2"/>
          </rPr>
          <t xml:space="preserve">
</t>
        </r>
      </text>
    </comment>
    <comment ref="F150" authorId="0" shapeId="0" xr:uid="{00000000-0006-0000-4C00-000043000000}">
      <text>
        <r>
          <rPr>
            <sz val="8"/>
            <color indexed="81"/>
            <rFont val="Tahoma"/>
            <family val="2"/>
          </rPr>
          <t xml:space="preserve">Complete ws 310 first
</t>
        </r>
      </text>
    </comment>
    <comment ref="B151" authorId="0" shapeId="0" xr:uid="{00000000-0006-0000-4C00-000044000000}">
      <text>
        <r>
          <rPr>
            <sz val="8"/>
            <color indexed="81"/>
            <rFont val="Tahoma"/>
            <family val="2"/>
          </rPr>
          <t xml:space="preserve">New caption for 2009 - see w/s322
</t>
        </r>
      </text>
    </comment>
    <comment ref="F151" authorId="0" shapeId="0" xr:uid="{00000000-0006-0000-4C00-000045000000}">
      <text>
        <r>
          <rPr>
            <sz val="8"/>
            <color indexed="81"/>
            <rFont val="Tahoma"/>
            <family val="2"/>
          </rPr>
          <t xml:space="preserve">Complete ws 310 first
</t>
        </r>
      </text>
    </comment>
    <comment ref="B152" authorId="0" shapeId="0" xr:uid="{6BDA2ACF-E4DC-42E1-9747-2C8E8B3F5CD9}">
      <text>
        <r>
          <rPr>
            <sz val="8"/>
            <color indexed="81"/>
            <rFont val="Tahoma"/>
            <family val="2"/>
          </rPr>
          <t xml:space="preserve">New caption for 2009 - see w/s322
</t>
        </r>
      </text>
    </comment>
    <comment ref="F152" authorId="0" shapeId="0" xr:uid="{BADB8C6A-B7EC-48E0-87B9-578911B32079}">
      <text>
        <r>
          <rPr>
            <sz val="8"/>
            <color indexed="81"/>
            <rFont val="Tahoma"/>
            <family val="2"/>
          </rPr>
          <t xml:space="preserve">Complete ws 310 first
</t>
        </r>
      </text>
    </comment>
    <comment ref="B153" authorId="1" shapeId="0" xr:uid="{00000000-0006-0000-4C00-000046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F153" authorId="0" shapeId="0" xr:uid="{00000000-0006-0000-4C00-000047000000}">
      <text>
        <r>
          <rPr>
            <sz val="8"/>
            <color indexed="81"/>
            <rFont val="Tahoma"/>
            <family val="2"/>
          </rPr>
          <t xml:space="preserve">Complete ws 310 first
</t>
        </r>
      </text>
    </comment>
    <comment ref="B154" authorId="1" shapeId="0" xr:uid="{00000000-0006-0000-4C00-000048000000}">
      <text>
        <r>
          <rPr>
            <sz val="8"/>
            <color indexed="81"/>
            <rFont val="Tahoma"/>
            <family val="2"/>
          </rPr>
          <t>Starting FY15 with implementation of GASB68 for NCAS acct 229150 Net pension liability-noncurrent</t>
        </r>
      </text>
    </comment>
    <comment ref="F154" authorId="0" shapeId="0" xr:uid="{00000000-0006-0000-4C00-000049000000}">
      <text>
        <r>
          <rPr>
            <sz val="8"/>
            <color indexed="81"/>
            <rFont val="Tahoma"/>
            <family val="2"/>
          </rPr>
          <t xml:space="preserve">Complete ws 310 first
</t>
        </r>
      </text>
    </comment>
    <comment ref="F155" authorId="0" shapeId="0" xr:uid="{00000000-0006-0000-4C00-00004A000000}">
      <text>
        <r>
          <rPr>
            <sz val="8"/>
            <color indexed="81"/>
            <rFont val="Tahoma"/>
            <family val="2"/>
          </rPr>
          <t xml:space="preserve">Complete ws 310 first
</t>
        </r>
      </text>
    </comment>
    <comment ref="B156" authorId="0" shapeId="0" xr:uid="{00000000-0006-0000-4C00-00004B000000}">
      <text>
        <r>
          <rPr>
            <sz val="8"/>
            <color indexed="81"/>
            <rFont val="Tahoma"/>
            <family val="2"/>
          </rPr>
          <t>Adding to template for 2011; this is a caption on NCAS CAFR 11p</t>
        </r>
      </text>
    </comment>
    <comment ref="F156" authorId="0" shapeId="0" xr:uid="{00000000-0006-0000-4C00-00004C000000}">
      <text>
        <r>
          <rPr>
            <sz val="8"/>
            <color indexed="81"/>
            <rFont val="Tahoma"/>
            <family val="2"/>
          </rPr>
          <t xml:space="preserve">Complete ws 310 first
</t>
        </r>
      </text>
    </comment>
    <comment ref="B157" authorId="0" shapeId="0" xr:uid="{00000000-0006-0000-4C00-00004D000000}">
      <text>
        <r>
          <rPr>
            <sz val="8"/>
            <color indexed="81"/>
            <rFont val="Tahoma"/>
            <family val="2"/>
          </rPr>
          <t>Adding to template for 2011; this is a NOT a caption on NCAS CAFR 11p, however it is on worksheet 310.</t>
        </r>
      </text>
    </comment>
    <comment ref="F157" authorId="0" shapeId="0" xr:uid="{00000000-0006-0000-4C00-00004E000000}">
      <text>
        <r>
          <rPr>
            <sz val="8"/>
            <color indexed="81"/>
            <rFont val="Tahoma"/>
            <family val="2"/>
          </rPr>
          <t xml:space="preserve">Complete ws 310 first
</t>
        </r>
      </text>
    </comment>
    <comment ref="D162" authorId="1" shapeId="0" xr:uid="{00000000-0006-0000-4C00-00004F000000}">
      <text>
        <r>
          <rPr>
            <sz val="9"/>
            <color indexed="81"/>
            <rFont val="Tahoma"/>
            <family val="2"/>
          </rPr>
          <t xml:space="preserve">New F/S element starting FY 2013 w/ implementation of GASB 63
</t>
        </r>
      </text>
    </comment>
    <comment ref="B163" authorId="1" shapeId="0" xr:uid="{00000000-0006-0000-4C00-000050000000}">
      <text>
        <r>
          <rPr>
            <sz val="7"/>
            <color indexed="81"/>
            <rFont val="Tahoma"/>
            <family val="2"/>
          </rPr>
          <t xml:space="preserve">ForFY13 acct229201 Accum Incr in fair val of hedging deriv (new acct title) goes here. Former acct title is Deferred inflow of resources
</t>
        </r>
      </text>
    </comment>
    <comment ref="B164" authorId="1" shapeId="0" xr:uid="{00000000-0006-0000-4C00-000051000000}">
      <text>
        <r>
          <rPr>
            <sz val="7"/>
            <color indexed="81"/>
            <rFont val="Tahoma"/>
            <family val="2"/>
          </rPr>
          <t xml:space="preserve">For FY13, new acct added for implementation of GASB60 Service Concession Arrangements
</t>
        </r>
      </text>
    </comment>
    <comment ref="B165" authorId="1" shapeId="0" xr:uid="{00000000-0006-0000-4C00-000052000000}">
      <text>
        <r>
          <rPr>
            <sz val="7"/>
            <color indexed="81"/>
            <rFont val="Tahoma"/>
            <family val="2"/>
          </rPr>
          <t xml:space="preserve">Added FY14 for GASB65,NCAS acct 229203 Def gain on refunding bonds. For more info refer to GASB Resources webpage available from OSC homepage www.osc.nc.gov
</t>
        </r>
      </text>
    </comment>
    <comment ref="B166" authorId="1" shapeId="0" xr:uid="{00000000-0006-0000-4C00-000053000000}">
      <text>
        <r>
          <rPr>
            <sz val="7"/>
            <color indexed="81"/>
            <rFont val="Tahoma"/>
            <family val="2"/>
          </rPr>
          <t>Added FY14 for GASB65;  NCAS acct 229204 Def Inflows-nonexchange transactions.  Refer to GASB Resources webpage available from OSC homepage www.osc.nc.gov</t>
        </r>
      </text>
    </comment>
    <comment ref="B167" authorId="1" shapeId="0" xr:uid="{00000000-0006-0000-4C00-000054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69" authorId="1" shapeId="0" xr:uid="{00000000-0006-0000-4C00-000055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2" authorId="1" shapeId="0" xr:uid="{00000000-0006-0000-4C00-000056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176" authorId="1" shapeId="0" xr:uid="{00000000-0006-0000-4C00-000057000000}">
      <text>
        <r>
          <rPr>
            <sz val="8"/>
            <color indexed="81"/>
            <rFont val="Tahoma"/>
            <family val="2"/>
          </rPr>
          <t>For GASB63 effective for FY2013 new title for this component of net position. (former title is Invested in capital assets, net of related debt.)</t>
        </r>
        <r>
          <rPr>
            <sz val="9"/>
            <color indexed="81"/>
            <rFont val="Tahoma"/>
            <family val="2"/>
          </rPr>
          <t xml:space="preserve">
</t>
        </r>
      </text>
    </comment>
    <comment ref="B177" authorId="0" shapeId="0" xr:uid="{00000000-0006-0000-4C00-000058000000}">
      <text>
        <r>
          <rPr>
            <sz val="8"/>
            <color indexed="81"/>
            <rFont val="Tahoma"/>
            <family val="2"/>
          </rPr>
          <t xml:space="preserve">Added Nonexpendable 7-10-09 - needed by Rex Healthcare.  For 2011 breaking out nonexpendable; in prior year, not detailed, only one line.
</t>
        </r>
      </text>
    </comment>
    <comment ref="B192" authorId="0" shapeId="0" xr:uid="{00000000-0006-0000-4C00-000059000000}">
      <text>
        <r>
          <rPr>
            <sz val="8"/>
            <color indexed="81"/>
            <rFont val="Tahoma"/>
            <family val="2"/>
          </rPr>
          <t xml:space="preserve">added net 2011
</t>
        </r>
      </text>
    </comment>
    <comment ref="B193" authorId="0" shapeId="0" xr:uid="{00000000-0006-0000-4C00-00005A000000}">
      <text>
        <r>
          <rPr>
            <sz val="8"/>
            <color indexed="81"/>
            <rFont val="Tahoma"/>
            <family val="2"/>
          </rPr>
          <t>Adding to template for 2011; this is a caption on NCAS CAFR 11p</t>
        </r>
      </text>
    </comment>
    <comment ref="B194" authorId="0" shapeId="0" xr:uid="{00000000-0006-0000-4C00-00005B000000}">
      <text>
        <r>
          <rPr>
            <sz val="8"/>
            <color indexed="81"/>
            <rFont val="Tahoma"/>
            <family val="2"/>
          </rPr>
          <t>Adding to template for 2011; this is a caption on NCAS CAFR 11p</t>
        </r>
      </text>
    </comment>
    <comment ref="B195" authorId="0" shapeId="0" xr:uid="{00000000-0006-0000-4C00-00005C000000}">
      <text>
        <r>
          <rPr>
            <sz val="8"/>
            <color indexed="81"/>
            <rFont val="Tahoma"/>
            <family val="2"/>
          </rPr>
          <t>Adding to template for 2011; this is a caption on NCAS CAFR 11p</t>
        </r>
      </text>
    </comment>
    <comment ref="B206" authorId="1" shapeId="0" xr:uid="{00000000-0006-0000-4C00-00005D000000}">
      <text>
        <r>
          <rPr>
            <sz val="9"/>
            <color indexed="81"/>
            <rFont val="Tahoma"/>
            <family val="2"/>
          </rPr>
          <t xml:space="preserve">FY15-Includes new acct for GASB 68 - NCAS acct 531595 Pension expense .
</t>
        </r>
      </text>
    </comment>
    <comment ref="B207" authorId="3" shapeId="0" xr:uid="{00000000-0006-0000-4C00-00005E000000}">
      <text>
        <r>
          <rPr>
            <sz val="9"/>
            <color indexed="81"/>
            <rFont val="Tahoma"/>
            <family val="2"/>
          </rPr>
          <t>Beginning FY2013, includes capital outlay/noncap equip.</t>
        </r>
        <r>
          <rPr>
            <sz val="9"/>
            <color indexed="81"/>
            <rFont val="Tahoma"/>
            <family val="2"/>
          </rPr>
          <t xml:space="preserve">
</t>
        </r>
      </text>
    </comment>
    <comment ref="B213" authorId="0" shapeId="0" xr:uid="{00000000-0006-0000-4C00-00005F000000}">
      <text>
        <r>
          <rPr>
            <sz val="8"/>
            <color indexed="81"/>
            <rFont val="Tahoma"/>
            <family val="2"/>
          </rPr>
          <t xml:space="preserve">Added to template 2011; this is a caption on the NCAS operting statement
</t>
        </r>
      </text>
    </comment>
    <comment ref="B214" authorId="0" shapeId="0" xr:uid="{00000000-0006-0000-4C00-000060000000}">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B222" authorId="0" shapeId="0" xr:uid="{00000000-0006-0000-4C00-000061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23" authorId="0" shapeId="0" xr:uid="{00000000-0006-0000-4C00-000062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24" authorId="0" shapeId="0" xr:uid="{00000000-0006-0000-4C00-000063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29" authorId="4" shapeId="0" xr:uid="{C46C3533-8015-459F-8AF8-C93EA45BF696}">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B237" authorId="0" shapeId="0" xr:uid="{00000000-0006-0000-4C00-000064000000}">
      <text>
        <r>
          <rPr>
            <sz val="8"/>
            <color indexed="81"/>
            <rFont val="Tahoma"/>
            <family val="2"/>
          </rPr>
          <t>Added to template 2011; this is a caption on the NCAS operating statement</t>
        </r>
      </text>
    </comment>
    <comment ref="B243" authorId="0" shapeId="0" xr:uid="{00000000-0006-0000-4C00-000065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B244" authorId="0" shapeId="0" xr:uid="{00000000-0006-0000-4C00-000066000000}">
      <text>
        <r>
          <rPr>
            <sz val="8"/>
            <color indexed="81"/>
            <rFont val="Tahoma"/>
            <family val="2"/>
          </rPr>
          <t>Capital grants include federal, state and local capital grants, including the ARRA energy grants from the NC Dept of Commerce.</t>
        </r>
      </text>
    </comment>
    <comment ref="B246" authorId="0" shapeId="0" xr:uid="{00000000-0006-0000-4C00-000067000000}">
      <text>
        <r>
          <rPr>
            <sz val="8"/>
            <color indexed="81"/>
            <rFont val="Tahoma"/>
            <family val="2"/>
          </rPr>
          <t>Added to template 2011; this is a caption on the NCAS operting statement</t>
        </r>
      </text>
    </comment>
    <comment ref="B247" authorId="0" shapeId="0" xr:uid="{00000000-0006-0000-4C00-000068000000}">
      <text>
        <r>
          <rPr>
            <sz val="8"/>
            <color indexed="81"/>
            <rFont val="Tahoma"/>
            <family val="2"/>
          </rPr>
          <t>Added to template 2011; this is a caption on the NCAS operting statement. ws 565</t>
        </r>
      </text>
    </comment>
    <comment ref="F247" authorId="0" shapeId="0" xr:uid="{00000000-0006-0000-4C00-000069000000}">
      <text>
        <r>
          <rPr>
            <sz val="8"/>
            <color indexed="81"/>
            <rFont val="Tahoma"/>
            <family val="2"/>
          </rPr>
          <t xml:space="preserve">Complete ws 565 first
</t>
        </r>
      </text>
    </comment>
    <comment ref="H251" authorId="0" shapeId="0" xr:uid="{00000000-0006-0000-4C00-00006A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I251" authorId="0" shapeId="0" xr:uid="{00000000-0006-0000-4C00-00006B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J251" authorId="0" shapeId="0" xr:uid="{00000000-0006-0000-4C00-00006C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K251" authorId="0" shapeId="0" xr:uid="{00000000-0006-0000-4C00-00006D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L251" authorId="0" shapeId="0" xr:uid="{00000000-0006-0000-4C00-00006E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M251" authorId="0" shapeId="0" xr:uid="{00000000-0006-0000-4C00-00006F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N251" authorId="0" shapeId="0" xr:uid="{00000000-0006-0000-4C00-000070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O251" authorId="0" shapeId="0" xr:uid="{00000000-0006-0000-4C00-000071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P251" authorId="0" shapeId="0" xr:uid="{C4744EC8-08B3-401B-A7E2-20328CD3746C}">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Q251" authorId="0" shapeId="0" xr:uid="{AF14EC8E-5C2D-4EDB-9028-37A79A0C51D6}">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R251" authorId="0" shapeId="0" xr:uid="{00000000-0006-0000-4C00-000074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S251" authorId="0" shapeId="0" xr:uid="{00000000-0006-0000-4C00-000075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J85" authorId="0" shapeId="0" xr:uid="{00000000-0006-0000-4D00-000001000000}">
      <text>
        <r>
          <rPr>
            <sz val="8"/>
            <color indexed="81"/>
            <rFont val="Tahoma"/>
            <family val="2"/>
          </rPr>
          <t>Complete the Index sheet first. This cell uses the agency number from the Index Sheet to populate the beginning net asets number from the NetAssets table built from the prior year CAFR ending net asset balance.  Any difference must be entered on the restatement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J85" authorId="0" shapeId="0" xr:uid="{00000000-0006-0000-4E00-000001000000}">
      <text>
        <r>
          <rPr>
            <sz val="8"/>
            <color indexed="81"/>
            <rFont val="Tahoma"/>
            <family val="2"/>
          </rPr>
          <t>Complete the Index sheet first. This cell uses the agency number from the Index Sheet to populate the beginning net asets number from the NetAssets table built from the prior year CAFR ending net asset balance.  Any difference must be entered on the restatement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Helen Vozzo</author>
    <author>Helen K. Vozzo</author>
  </authors>
  <commentList>
    <comment ref="C7" authorId="0" shapeId="0" xr:uid="{00000000-0006-0000-5100-000001000000}">
      <text>
        <r>
          <rPr>
            <sz val="8"/>
            <color indexed="81"/>
            <rFont val="Tahoma"/>
            <family val="2"/>
          </rPr>
          <t xml:space="preserve">Complete the Index sheet first. This cell uses the agency number from the Index Sheet to populate the GASB fund number from the NetAssets table.
</t>
        </r>
      </text>
    </comment>
    <comment ref="F86" authorId="1" shapeId="0" xr:uid="{00000000-0006-0000-5100-000002000000}">
      <text>
        <r>
          <rPr>
            <sz val="9"/>
            <color indexed="81"/>
            <rFont val="Tahoma"/>
            <family val="2"/>
          </rPr>
          <t xml:space="preserve">New F/S element starting FY 2013 w/ implementation of GASB 63
</t>
        </r>
      </text>
    </comment>
    <comment ref="B87" authorId="1" shapeId="0" xr:uid="{00000000-0006-0000-5100-000003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88" authorId="1" shapeId="0" xr:uid="{00000000-0006-0000-5100-000004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0" authorId="1" shapeId="0" xr:uid="{00000000-0006-0000-5100-000005000000}">
      <text>
        <r>
          <rPr>
            <sz val="8"/>
            <color indexed="81"/>
            <rFont val="Tahoma"/>
            <family val="2"/>
          </rPr>
          <t>Starting FY2015 with implementation of GASB 68 - for new NCAS Acct 129710 Deferred outflows for pensions. For more info, see acct definition and the GASB Resources webpage available from the OSC homepage www.osc.nc.gov.</t>
        </r>
      </text>
    </comment>
    <comment ref="B92" authorId="1" shapeId="0" xr:uid="{00000000-0006-0000-5100-000006000000}">
      <text>
        <r>
          <rPr>
            <sz val="8"/>
            <color indexed="81"/>
            <rFont val="Tahoma"/>
            <family val="2"/>
          </rPr>
          <t>Starting FY2015 with implementation of GASB 69 Government Combinations and Disposals of Government Operations. For new NCAS Acct 129705 Excess consideration provided for acquisition. For more info, see acct definition and the GASB Resources webpage available from the OSC homepage www.osc.nc.gov</t>
        </r>
      </text>
    </comment>
    <comment ref="B93" authorId="1" shapeId="0" xr:uid="{00000000-0006-0000-5100-000007000000}">
      <text>
        <r>
          <rPr>
            <sz val="8"/>
            <color indexed="81"/>
            <rFont val="Tahoma"/>
            <family val="2"/>
          </rPr>
          <t>Starting FY2014 for GASB65-  new acct 129703 Other Deferred outflow of resources, per GASB 65 that are not classified in a more specific account.For more info go to GASB Resources webpage available from OSC home page www.osc.nc.gov</t>
        </r>
        <r>
          <rPr>
            <sz val="9"/>
            <color indexed="81"/>
            <rFont val="Tahoma"/>
            <family val="2"/>
          </rPr>
          <t xml:space="preserve">
</t>
        </r>
        <r>
          <rPr>
            <sz val="8"/>
            <color indexed="81"/>
            <rFont val="Tahoma"/>
            <family val="2"/>
          </rPr>
          <t>FY15 updated caption from "Deferred outflows-other" to "Other deferred outflows" to be consistent w/ CAFR.</t>
        </r>
      </text>
    </comment>
    <comment ref="B127" authorId="1" shapeId="0" xr:uid="{00000000-0006-0000-5100-000008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28" authorId="1" shapeId="0" xr:uid="{00000000-0006-0000-5100-000009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B152" authorId="1" shapeId="0" xr:uid="{00000000-0006-0000-5100-00000A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53" authorId="1" shapeId="0" xr:uid="{00000000-0006-0000-5100-00000B000000}">
      <text>
        <r>
          <rPr>
            <sz val="8"/>
            <color indexed="81"/>
            <rFont val="Tahoma"/>
            <family val="2"/>
          </rPr>
          <t>Starting FY15 with implementation of GASB68 for NCAS acct 229150 Net pension liability-noncurrent</t>
        </r>
      </text>
    </comment>
    <comment ref="F161" authorId="1" shapeId="0" xr:uid="{00000000-0006-0000-5100-00000C000000}">
      <text>
        <r>
          <rPr>
            <sz val="9"/>
            <color indexed="81"/>
            <rFont val="Tahoma"/>
            <family val="2"/>
          </rPr>
          <t xml:space="preserve">New F/S element starting FY 2013 w/ implementation of GASB 63
</t>
        </r>
      </text>
    </comment>
    <comment ref="B162" authorId="1" shapeId="0" xr:uid="{00000000-0006-0000-5100-00000D000000}">
      <text>
        <r>
          <rPr>
            <sz val="7"/>
            <color indexed="81"/>
            <rFont val="Tahoma"/>
            <family val="2"/>
          </rPr>
          <t xml:space="preserve">ForFY13 acct229201 Accum Incr in fair val of hedging deriv (new acct title) goes here. Former acct title is Deferred inflow of resources
</t>
        </r>
      </text>
    </comment>
    <comment ref="B163" authorId="1" shapeId="0" xr:uid="{00000000-0006-0000-5100-00000E000000}">
      <text>
        <r>
          <rPr>
            <sz val="7"/>
            <color indexed="81"/>
            <rFont val="Tahoma"/>
            <family val="2"/>
          </rPr>
          <t>For FY13, new NCAS acct 229202 added for implementation of GASB60 Service Concession Arrangements</t>
        </r>
      </text>
    </comment>
    <comment ref="B164" authorId="1" shapeId="0" xr:uid="{00000000-0006-0000-5100-00000F000000}">
      <text>
        <r>
          <rPr>
            <sz val="7"/>
            <color indexed="81"/>
            <rFont val="Tahoma"/>
            <family val="2"/>
          </rPr>
          <t xml:space="preserve">Added FY14 for GASB65,NCAS acct 229203 Def gain on refunding bonds. For more info refer to GASB Resources webpage available from OSC homepage www.osc.nc.gov
</t>
        </r>
      </text>
    </comment>
    <comment ref="B165" authorId="1" shapeId="0" xr:uid="{00000000-0006-0000-5100-000010000000}">
      <text>
        <r>
          <rPr>
            <sz val="7"/>
            <color indexed="81"/>
            <rFont val="Tahoma"/>
            <family val="2"/>
          </rPr>
          <t>Added FY14 for GASB65;  NCAS acct 229204 Def Inflows-nonexchange transactions.  Refer to GASB Resources webpage available from OSC homepage www.osc.nc.gov</t>
        </r>
      </text>
    </comment>
    <comment ref="B166" authorId="1" shapeId="0" xr:uid="{00000000-0006-0000-5100-000011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68" authorId="1" shapeId="0" xr:uid="{00000000-0006-0000-5100-000012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1" authorId="1" shapeId="0" xr:uid="{00000000-0006-0000-5100-000013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206" authorId="1" shapeId="0" xr:uid="{00000000-0006-0000-5100-000014000000}">
      <text>
        <r>
          <rPr>
            <sz val="9"/>
            <color indexed="81"/>
            <rFont val="Tahoma"/>
            <family val="2"/>
          </rPr>
          <t xml:space="preserve">FY15-Includes new acct for GASB 68 - NCAS acct 531595 Pension expense .
</t>
        </r>
      </text>
    </comment>
    <comment ref="B222" authorId="0" shapeId="0" xr:uid="{00000000-0006-0000-5100-000015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23" authorId="0" shapeId="0" xr:uid="{00000000-0006-0000-5100-000016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24" authorId="0" shapeId="0" xr:uid="{00000000-0006-0000-5100-000017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43" authorId="0" shapeId="0" xr:uid="{00000000-0006-0000-5100-000018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List>
</comments>
</file>

<file path=xl/sharedStrings.xml><?xml version="1.0" encoding="utf-8"?>
<sst xmlns="http://schemas.openxmlformats.org/spreadsheetml/2006/main" count="12967" uniqueCount="5905">
  <si>
    <t>K</t>
  </si>
  <si>
    <t>Number of regular term students(FTE)</t>
  </si>
  <si>
    <t>Health and Human Services</t>
  </si>
  <si>
    <t>Cases disposed as a % of cases filed-Superior Court</t>
  </si>
  <si>
    <t>Operating Statement</t>
  </si>
  <si>
    <t>Functional Expenditures</t>
  </si>
  <si>
    <t>East Carolina University</t>
  </si>
  <si>
    <t>North Carolina Central University</t>
  </si>
  <si>
    <t>Fees, licenses and fines</t>
  </si>
  <si>
    <t>Summarize by Bank Name</t>
  </si>
  <si>
    <t>Uncollateralized</t>
  </si>
  <si>
    <t>Financial Institution</t>
  </si>
  <si>
    <t>Bank Balances</t>
  </si>
  <si>
    <t>required to be disclosed under GASB 40 should be disclosed.  When state law has not addressed a risk, such as interest rate risk, the disclosure should</t>
  </si>
  <si>
    <t>Clients served by developmental disabilities facilities</t>
  </si>
  <si>
    <t>Children served through subsidized child care</t>
  </si>
  <si>
    <t>Number of returns filed electronically</t>
  </si>
  <si>
    <t>Number of individual refunds direct deposited</t>
  </si>
  <si>
    <t>162</t>
  </si>
  <si>
    <t>170</t>
  </si>
  <si>
    <t>200</t>
  </si>
  <si>
    <t>3ZZ</t>
  </si>
  <si>
    <t>410</t>
  </si>
  <si>
    <t>1361</t>
  </si>
  <si>
    <t>1362</t>
  </si>
  <si>
    <t>430</t>
  </si>
  <si>
    <t>436</t>
  </si>
  <si>
    <t>450</t>
  </si>
  <si>
    <t>451</t>
  </si>
  <si>
    <t>460</t>
  </si>
  <si>
    <t>461</t>
  </si>
  <si>
    <t>500</t>
  </si>
  <si>
    <t>600</t>
  </si>
  <si>
    <t>601</t>
  </si>
  <si>
    <t>670</t>
  </si>
  <si>
    <t>1199</t>
  </si>
  <si>
    <t>900</t>
  </si>
  <si>
    <t>990</t>
  </si>
  <si>
    <t>R10</t>
  </si>
  <si>
    <t>RG0</t>
  </si>
  <si>
    <t>Function</t>
  </si>
  <si>
    <t>Beginning FRU #</t>
  </si>
  <si>
    <t>Ending FRU #</t>
  </si>
  <si>
    <t>Beginning GASB #</t>
  </si>
  <si>
    <t>Ending GASB #</t>
  </si>
  <si>
    <t>GARVEE bonds</t>
  </si>
  <si>
    <t>CG</t>
  </si>
  <si>
    <t>Community College System Office</t>
  </si>
  <si>
    <t>State Board of Elections</t>
  </si>
  <si>
    <t>RX</t>
  </si>
  <si>
    <t>Message</t>
  </si>
  <si>
    <t>Interest rate range is invalid.</t>
  </si>
  <si>
    <t>More than one type of payable has been selected.</t>
  </si>
  <si>
    <t>Error Code</t>
  </si>
  <si>
    <t>Investments Held Outside the State Treasurer - Additional Level of Detail</t>
  </si>
  <si>
    <t>Investments Held Outside the State Treasurer - Concentration of Credit Risk</t>
  </si>
  <si>
    <t xml:space="preserve">Department of the State Treasurer </t>
  </si>
  <si>
    <t>Your Comments and Suggestions</t>
  </si>
  <si>
    <t>Check:  Restatements column Balance Sheet, net should equal Restatements column Operating</t>
  </si>
  <si>
    <t>Statement, net.</t>
  </si>
  <si>
    <t>"questioned" or "disallowed" costs.</t>
  </si>
  <si>
    <t>Operating Indicators By Function</t>
  </si>
  <si>
    <t>Capital Asset Impairments</t>
  </si>
  <si>
    <t>Capital Asset Statistics</t>
  </si>
  <si>
    <t>U60</t>
  </si>
  <si>
    <t>U65</t>
  </si>
  <si>
    <t>U70</t>
  </si>
  <si>
    <t>U75</t>
  </si>
  <si>
    <t>Elizabeth City State University</t>
  </si>
  <si>
    <t>Fayetteville State University</t>
  </si>
  <si>
    <t>Investment Type</t>
  </si>
  <si>
    <t>Less Than 1</t>
  </si>
  <si>
    <t>1 to 5</t>
  </si>
  <si>
    <t>6 to 10</t>
  </si>
  <si>
    <t>More Than 10</t>
  </si>
  <si>
    <t>Investments Subject to Interest Rate Risk:</t>
  </si>
  <si>
    <t>Total Investment Subject to Interest Rate Risk</t>
  </si>
  <si>
    <t>Investments Not Subject to Interest Rate Risk:</t>
  </si>
  <si>
    <t>The maturity of a mutual bond fund should be based on the weighted</t>
  </si>
  <si>
    <t>Add issuance premium</t>
  </si>
  <si>
    <t>Compensated absences</t>
  </si>
  <si>
    <t>Final Maturity Date of Total Outstanding Debt</t>
  </si>
  <si>
    <t xml:space="preserve">Note:  </t>
  </si>
  <si>
    <t>GASB 5200</t>
  </si>
  <si>
    <t>Total</t>
  </si>
  <si>
    <t>Yes</t>
  </si>
  <si>
    <t>No</t>
  </si>
  <si>
    <t>of historical cost that was written off).</t>
  </si>
  <si>
    <t>(b)  Less: The amount of insurance recoveries to be netted against above.</t>
  </si>
  <si>
    <t>(c)  Net impairment loss (or gain) recognized during the fiscal year.</t>
  </si>
  <si>
    <t>6.</t>
  </si>
  <si>
    <t xml:space="preserve">The amount of any insurance recoveries not netted against impairment </t>
  </si>
  <si>
    <t>7.</t>
  </si>
  <si>
    <t>Annuity and life income payable</t>
  </si>
  <si>
    <t>All</t>
  </si>
  <si>
    <r>
      <t xml:space="preserve">    This agency has </t>
    </r>
    <r>
      <rPr>
        <b/>
        <sz val="10"/>
        <rFont val="Arial"/>
        <family val="2"/>
      </rPr>
      <t>NO</t>
    </r>
    <r>
      <rPr>
        <sz val="10"/>
        <rFont val="Arial"/>
        <family val="2"/>
      </rPr>
      <t xml:space="preserve"> material contingent liabilities requiring disclosure</t>
    </r>
  </si>
  <si>
    <t>This agency has such items that exceed $10 million.</t>
  </si>
  <si>
    <r>
      <t xml:space="preserve">Any significant transactions or other events that are </t>
    </r>
    <r>
      <rPr>
        <b/>
        <u/>
        <sz val="10"/>
        <rFont val="Arial"/>
        <family val="2"/>
      </rPr>
      <t>either</t>
    </r>
    <r>
      <rPr>
        <sz val="10"/>
        <rFont val="Arial"/>
        <family val="2"/>
      </rPr>
      <t xml:space="preserve"> unusual </t>
    </r>
    <r>
      <rPr>
        <b/>
        <u/>
        <sz val="10"/>
        <rFont val="Arial"/>
        <family val="2"/>
      </rPr>
      <t>or</t>
    </r>
    <r>
      <rPr>
        <sz val="10"/>
        <rFont val="Arial"/>
        <family val="2"/>
      </rPr>
      <t xml:space="preserve"> infrequent but </t>
    </r>
    <r>
      <rPr>
        <b/>
        <u/>
        <sz val="10"/>
        <rFont val="Arial"/>
        <family val="2"/>
      </rPr>
      <t>not within the</t>
    </r>
    <r>
      <rPr>
        <sz val="10"/>
        <rFont val="Arial"/>
        <family val="2"/>
      </rPr>
      <t xml:space="preserve"> </t>
    </r>
  </si>
  <si>
    <t>Description — Reason for Significant Change</t>
  </si>
  <si>
    <t xml:space="preserve">List any other material contingent liabilities of your agency that require possible disclosure in accordance with the </t>
  </si>
  <si>
    <t>Analytical Review</t>
  </si>
  <si>
    <t>Capital Assets</t>
  </si>
  <si>
    <t>Trust Dept. or Agent</t>
  </si>
  <si>
    <t>All Other</t>
  </si>
  <si>
    <t>Total high school graduates</t>
  </si>
  <si>
    <t>Total students K-12</t>
  </si>
  <si>
    <t>Public Safety, Corrections and Regulation</t>
  </si>
  <si>
    <t>Visitation to NC Zoo</t>
  </si>
  <si>
    <t>Graduate intention to pursue further education</t>
  </si>
  <si>
    <t>Hunting licenses sold</t>
  </si>
  <si>
    <t>Higher Education</t>
  </si>
  <si>
    <t>Fishing licenses sold</t>
  </si>
  <si>
    <t>Vessels registered</t>
  </si>
  <si>
    <t>Number of students(annualized FTE)</t>
  </si>
  <si>
    <t>Number of certificates and degrees awarded</t>
  </si>
  <si>
    <t>Due from component unit</t>
  </si>
  <si>
    <t>Other current assets</t>
  </si>
  <si>
    <t>Capital assets</t>
  </si>
  <si>
    <t>A</t>
  </si>
  <si>
    <t>B</t>
  </si>
  <si>
    <t>the year end package for next year.  Thank you.</t>
  </si>
  <si>
    <t>Sampson Community College</t>
  </si>
  <si>
    <t>DC</t>
  </si>
  <si>
    <t>Sandhills Community College</t>
  </si>
  <si>
    <t>C1</t>
  </si>
  <si>
    <t>South Piedmont Community College</t>
  </si>
  <si>
    <t>DD</t>
  </si>
  <si>
    <t>Southeastern Community College</t>
  </si>
  <si>
    <t>General Government</t>
  </si>
  <si>
    <t>Indicate "NO" if you are exposed to the risk but do not have an investment policy that addresses the risk.</t>
  </si>
  <si>
    <t>Total commitment amount</t>
  </si>
  <si>
    <t xml:space="preserve"> = Amount of commitment</t>
  </si>
  <si>
    <t>Description</t>
  </si>
  <si>
    <t>1)</t>
  </si>
  <si>
    <t>First-in, first-out (FIFO)</t>
  </si>
  <si>
    <t>Retail inventory (book stores)</t>
  </si>
  <si>
    <t>NA for Component Units, except Universities</t>
  </si>
  <si>
    <t>NA for Nonmajor Component Units</t>
  </si>
  <si>
    <t>Current Assets: Restricted Investments</t>
  </si>
  <si>
    <t>Non-Current Assets: Investments</t>
  </si>
  <si>
    <t xml:space="preserve">(Note:  Investments issued or explicitly guaranteed by the U.S. government; investments in mutual funds; external investment pools, </t>
  </si>
  <si>
    <t>Interest rate risk</t>
  </si>
  <si>
    <t>Foreign currency risk</t>
  </si>
  <si>
    <t>c.</t>
  </si>
  <si>
    <t>Department of Transportation</t>
  </si>
  <si>
    <r>
      <t xml:space="preserve">    </t>
    </r>
    <r>
      <rPr>
        <b/>
        <sz val="10"/>
        <rFont val="Arial"/>
        <family val="2"/>
      </rPr>
      <t>YES</t>
    </r>
    <r>
      <rPr>
        <sz val="10"/>
        <rFont val="Arial"/>
        <family val="2"/>
      </rPr>
      <t>, all material contingent liabilities disclosures have been made on this worksheet</t>
    </r>
  </si>
  <si>
    <t>15XX</t>
  </si>
  <si>
    <t>Unrated</t>
  </si>
  <si>
    <t>Deferred Comp</t>
  </si>
  <si>
    <t>6C</t>
  </si>
  <si>
    <t>0A</t>
  </si>
  <si>
    <r>
      <t>Disclosure of material contingent liabilities of the State entity is required under the following conditions</t>
    </r>
    <r>
      <rPr>
        <sz val="10"/>
        <rFont val="Arial"/>
        <family val="2"/>
      </rPr>
      <t>:</t>
    </r>
  </si>
  <si>
    <t>Advances From Other Funds/Primary Government</t>
  </si>
  <si>
    <t>(6.00% of covered payroll)</t>
  </si>
  <si>
    <t>(6.84% of covered payroll)</t>
  </si>
  <si>
    <t>Total Investments Held Outside the State Treasurer</t>
  </si>
  <si>
    <t>Payee Contact</t>
  </si>
  <si>
    <t>Clients served by substance abuse facilities</t>
  </si>
  <si>
    <t>Clients served through 'Work First'</t>
  </si>
  <si>
    <t>NC Health Choice annual enrollment</t>
  </si>
  <si>
    <t>Number of tax returns processed</t>
  </si>
  <si>
    <t>GASB number is blank.</t>
  </si>
  <si>
    <t>To make a Copy of a Worksheet</t>
  </si>
  <si>
    <t>Environment and Natural Resources</t>
  </si>
  <si>
    <t>Visitation to historical sites and museums</t>
  </si>
  <si>
    <t>Primary and Secondary Education</t>
  </si>
  <si>
    <t>Public drinking water systems in compliance</t>
  </si>
  <si>
    <t>Total investments subject to 5 percent threshold</t>
  </si>
  <si>
    <t>48R</t>
  </si>
  <si>
    <t>48L</t>
  </si>
  <si>
    <t>UNC Hospitals - LITF</t>
  </si>
  <si>
    <t>North Carolina State University</t>
  </si>
  <si>
    <t>Appalachian State University</t>
  </si>
  <si>
    <t>Western Carolina University</t>
  </si>
  <si>
    <t>Winston-Salem State University</t>
  </si>
  <si>
    <t>Held by Pledging</t>
  </si>
  <si>
    <t>Uninsured, Not Registered in Name of Govt.</t>
  </si>
  <si>
    <t>Subject to Custodial Credit Risk Disclosure - Uninsured</t>
  </si>
  <si>
    <t>UNC at Charlotte</t>
  </si>
  <si>
    <t>UNC at Asheville</t>
  </si>
  <si>
    <t>UNC at Wilmington</t>
  </si>
  <si>
    <t>UNC at Pembroke</t>
  </si>
  <si>
    <t>North Carolina Housing Finance Ag.</t>
  </si>
  <si>
    <t>State Education Assistance Authority</t>
  </si>
  <si>
    <t>The Golden LEAF, Inc.</t>
  </si>
  <si>
    <t xml:space="preserve">Department of Administration </t>
  </si>
  <si>
    <t xml:space="preserve">Office of the State Controller </t>
  </si>
  <si>
    <t>Plus: Total STIF balances</t>
  </si>
  <si>
    <r>
      <t xml:space="preserve">Issuer </t>
    </r>
    <r>
      <rPr>
        <vertAlign val="superscript"/>
        <sz val="9"/>
        <rFont val="Arial"/>
        <family val="2"/>
      </rPr>
      <t>2</t>
    </r>
  </si>
  <si>
    <r>
      <t>At year-end, did your agency have any investments in any one issuer equal to 5 percent</t>
    </r>
    <r>
      <rPr>
        <vertAlign val="superscript"/>
        <sz val="9"/>
        <rFont val="Arial"/>
        <family val="2"/>
      </rPr>
      <t xml:space="preserve"> 1 </t>
    </r>
    <r>
      <rPr>
        <sz val="9"/>
        <rFont val="Arial"/>
        <family val="2"/>
      </rPr>
      <t>or more of your total investments?</t>
    </r>
  </si>
  <si>
    <t>Office of Administrative Hearings</t>
  </si>
  <si>
    <t>Construction value excluding design fee (thousands)</t>
  </si>
  <si>
    <t xml:space="preserve">      Higher education</t>
  </si>
  <si>
    <r>
      <t xml:space="preserve"> GARVEE Bonds</t>
    </r>
    <r>
      <rPr>
        <sz val="10"/>
        <rFont val="Arial"/>
        <family val="2"/>
      </rPr>
      <t xml:space="preserve"> (N/A for Component Units)</t>
    </r>
  </si>
  <si>
    <t>Next Fiscal Year Begin</t>
  </si>
  <si>
    <t>Conc</t>
  </si>
  <si>
    <t>Choose your agency:</t>
  </si>
  <si>
    <t>Enter preparer name and phone number below:</t>
  </si>
  <si>
    <t>Receivables:</t>
  </si>
  <si>
    <t>Accounts receivable, net</t>
  </si>
  <si>
    <t>Interest receivable</t>
  </si>
  <si>
    <r>
      <t xml:space="preserve"> General Obligation Bonds Payable </t>
    </r>
    <r>
      <rPr>
        <sz val="10"/>
        <rFont val="Arial"/>
        <family val="2"/>
      </rPr>
      <t>(N/A for Component Units)</t>
    </r>
  </si>
  <si>
    <t xml:space="preserve">     One ton maintenance trucks</t>
  </si>
  <si>
    <t>Alcohol Law Enforcement</t>
  </si>
  <si>
    <r>
      <t xml:space="preserve">Current refunding </t>
    </r>
    <r>
      <rPr>
        <sz val="8"/>
        <rFont val="Arial"/>
        <family val="2"/>
      </rPr>
      <t>(principal of old debt plus call premium on old debt)</t>
    </r>
  </si>
  <si>
    <r>
      <t xml:space="preserve">Advance refunding </t>
    </r>
    <r>
      <rPr>
        <sz val="8"/>
        <rFont val="Arial"/>
        <family val="2"/>
      </rPr>
      <t>(funds required to be deposited with escrow agent to refund old debt)</t>
    </r>
  </si>
  <si>
    <t>In Thousands</t>
  </si>
  <si>
    <t>Summary of Significant Accounting Policies</t>
  </si>
  <si>
    <t>Changes in Capital Assets</t>
  </si>
  <si>
    <r>
      <t xml:space="preserve">financial statements or would cause a reader of these statements to be misinformed, </t>
    </r>
    <r>
      <rPr>
        <b/>
        <sz val="10"/>
        <rFont val="Arial"/>
        <family val="2"/>
      </rPr>
      <t>MUST</t>
    </r>
    <r>
      <rPr>
        <sz val="10"/>
        <rFont val="Arial"/>
        <family val="2"/>
      </rPr>
      <t xml:space="preserve"> be disclosed.</t>
    </r>
  </si>
  <si>
    <t>AMOUNT</t>
  </si>
  <si>
    <t>2.  Investment Type (per worksheet 720):</t>
  </si>
  <si>
    <t>3.  Investment Type (per worksheet 720):</t>
  </si>
  <si>
    <t>a.</t>
  </si>
  <si>
    <t>b.</t>
  </si>
  <si>
    <t>Investment Maturities (in Years)</t>
  </si>
  <si>
    <t>Sales and services</t>
  </si>
  <si>
    <t>Office of the State Auditor</t>
  </si>
  <si>
    <t>Western Piedmont Community College</t>
  </si>
  <si>
    <t>DN</t>
  </si>
  <si>
    <t>Wilkes Community College</t>
  </si>
  <si>
    <t>DP</t>
  </si>
  <si>
    <r>
      <t>Please locate your agency below and fill in the requested information (</t>
    </r>
    <r>
      <rPr>
        <b/>
        <u/>
        <sz val="10"/>
        <rFont val="Arial"/>
        <family val="2"/>
      </rPr>
      <t>not dollar values</t>
    </r>
    <r>
      <rPr>
        <sz val="10"/>
        <rFont val="Arial"/>
        <family val="2"/>
      </rPr>
      <t>).</t>
    </r>
  </si>
  <si>
    <r>
      <t xml:space="preserve">Does your agency have </t>
    </r>
    <r>
      <rPr>
        <u/>
        <sz val="9"/>
        <rFont val="Arial"/>
        <family val="2"/>
      </rPr>
      <t>formally adopted</t>
    </r>
    <r>
      <rPr>
        <vertAlign val="superscript"/>
        <sz val="9"/>
        <rFont val="Arial"/>
        <family val="2"/>
      </rPr>
      <t xml:space="preserve"> 1 </t>
    </r>
    <r>
      <rPr>
        <sz val="9"/>
        <rFont val="Arial"/>
        <family val="2"/>
      </rPr>
      <t>deposit and investment policies related to the following risk exposures?</t>
    </r>
  </si>
  <si>
    <t xml:space="preserve">Prior Year </t>
  </si>
  <si>
    <t>Beginning</t>
  </si>
  <si>
    <t>Write-Offs/</t>
  </si>
  <si>
    <t>Uncollectible</t>
  </si>
  <si>
    <t>Revenue Statement Caption</t>
  </si>
  <si>
    <t>Revenue</t>
  </si>
  <si>
    <t>Current Year</t>
  </si>
  <si>
    <t>Amounts</t>
  </si>
  <si>
    <t xml:space="preserve">Revenue statement caption is the type of revenue that has been deferred.  </t>
  </si>
  <si>
    <t>Example: Individual Income Tax, Fee Licenses and Fines, Sales and Services, etc.</t>
  </si>
  <si>
    <t>Current Assets: Investments</t>
  </si>
  <si>
    <t xml:space="preserve">Primary Government </t>
  </si>
  <si>
    <t>If "NO", indicate reason:</t>
  </si>
  <si>
    <t>North Carolina General Assembly</t>
  </si>
  <si>
    <t>Office of the Secretary of State</t>
  </si>
  <si>
    <t>Total nonoperating revenues (expenses)</t>
  </si>
  <si>
    <t>State capital aid</t>
  </si>
  <si>
    <t>Capital grants</t>
  </si>
  <si>
    <t>Capital gifts, net</t>
  </si>
  <si>
    <t>Special items</t>
  </si>
  <si>
    <t>Extraordinary items</t>
  </si>
  <si>
    <t>Indicate "N/A" if you are not exposed to the risk.  For example, foreign currency risk would be "N/A" if you have no investments in foreign currencies.</t>
  </si>
  <si>
    <t>GASB Fund:</t>
  </si>
  <si>
    <t>Net to Zero)</t>
  </si>
  <si>
    <t>CAPITALIZATION OF ARTWORK, HISTORICAL TREASURES, OR ARTIFACTS</t>
  </si>
  <si>
    <t>Accumulated</t>
  </si>
  <si>
    <t>11XX</t>
  </si>
  <si>
    <r>
      <t xml:space="preserve">1.  The chance that the State entity will actually incur the liability is better than a </t>
    </r>
    <r>
      <rPr>
        <b/>
        <sz val="10"/>
        <rFont val="Arial"/>
        <family val="2"/>
      </rPr>
      <t>REMOTE</t>
    </r>
    <r>
      <rPr>
        <sz val="10"/>
        <rFont val="Arial"/>
        <family val="2"/>
      </rPr>
      <t xml:space="preserve"> (either POSSIBLE or</t>
    </r>
  </si>
  <si>
    <t>FEDERAL GRANTS AND PROGRAMS</t>
  </si>
  <si>
    <t>Contingent liabilities of the State entity can arise from lawsuits and other legal action, or contingent liabilities may</t>
  </si>
  <si>
    <t>be inherent with the acceptance of the conditions of certain Federal programs.</t>
  </si>
  <si>
    <t>Answer the following:</t>
  </si>
  <si>
    <t>All funds</t>
  </si>
  <si>
    <t>Fiscal Year Ended</t>
  </si>
  <si>
    <t>Schedule of Due to State of NC Component Units</t>
  </si>
  <si>
    <t>just indicate "expensed".</t>
  </si>
  <si>
    <t>TOTAL TIME ACCOUNTS</t>
  </si>
  <si>
    <t>Principal</t>
  </si>
  <si>
    <t>Interest</t>
  </si>
  <si>
    <t>Coverage</t>
  </si>
  <si>
    <t>Moody's</t>
  </si>
  <si>
    <t>Schedule of Inter-Agency Receivables</t>
  </si>
  <si>
    <t>Schedule of Inter-Agency Payables</t>
  </si>
  <si>
    <t>Schedule of Due To Primary Government</t>
  </si>
  <si>
    <t>Dates</t>
  </si>
  <si>
    <t>Fiscal Year End</t>
  </si>
  <si>
    <t>Pooled cash</t>
  </si>
  <si>
    <t>Total Noncurrent Assets</t>
  </si>
  <si>
    <t>Total Assets</t>
  </si>
  <si>
    <t xml:space="preserve">LIABILITIES </t>
  </si>
  <si>
    <t>Current Liabilities:</t>
  </si>
  <si>
    <t>Accounts payable and accrued liabilities:</t>
  </si>
  <si>
    <t>Due to State of NC component units</t>
  </si>
  <si>
    <t>Obligations under reverse repurchase agreements</t>
  </si>
  <si>
    <t>Interest payable</t>
  </si>
  <si>
    <t>Department of Administration</t>
  </si>
  <si>
    <t>Construction projects administered</t>
  </si>
  <si>
    <t>Total employed</t>
  </si>
  <si>
    <t>Percentage of unemployment</t>
  </si>
  <si>
    <t>Capital assets, net</t>
  </si>
  <si>
    <t>All other assets</t>
  </si>
  <si>
    <t>Long-term liabilities</t>
  </si>
  <si>
    <t>All other liabilities</t>
  </si>
  <si>
    <t>Credit Rating</t>
  </si>
  <si>
    <t>Pledged Revenue Coverage</t>
  </si>
  <si>
    <t>GARVEE</t>
  </si>
  <si>
    <t>Federal transportation revenues</t>
  </si>
  <si>
    <t>Employer contributions</t>
  </si>
  <si>
    <t xml:space="preserve">GASB Statement No. 42 establishes accounting and financial reporting standards for impairment of </t>
  </si>
  <si>
    <t>the following:</t>
  </si>
  <si>
    <t>The carrying amount of impaired capital assets that were idle at year-end,</t>
  </si>
  <si>
    <t>regardless of whether the impairment is considered permanent or temporary.</t>
  </si>
  <si>
    <t>(c)  Carrying value of impaired capital assets.</t>
  </si>
  <si>
    <t>The amount of insurance recoveries recognized during the fiscal year</t>
  </si>
  <si>
    <t>that were associated with impaired capital assets.</t>
  </si>
  <si>
    <t>Universities Only:</t>
  </si>
  <si>
    <t>5.</t>
  </si>
  <si>
    <t>Other operating revenues</t>
  </si>
  <si>
    <t>(Column must</t>
  </si>
  <si>
    <t>Assets</t>
  </si>
  <si>
    <t>Universities</t>
  </si>
  <si>
    <t xml:space="preserve">Department of Justice </t>
  </si>
  <si>
    <t>Department of Agriculture</t>
  </si>
  <si>
    <t>Department of Labor</t>
  </si>
  <si>
    <t xml:space="preserve">Department of Insurance </t>
  </si>
  <si>
    <t>This agency maintains material items on a custodial basis for Federal programs.</t>
  </si>
  <si>
    <t>OTHER CONTINGENT LIABILITIES</t>
  </si>
  <si>
    <t>Accounts receivable</t>
  </si>
  <si>
    <t>Intergovernmental receivables</t>
  </si>
  <si>
    <t>Contributions receivable</t>
  </si>
  <si>
    <t>Budget code is blank.</t>
  </si>
  <si>
    <t>Worksheet is incomplete.</t>
  </si>
  <si>
    <t>IF "YES", LIST GASB AND AMOUNT</t>
  </si>
  <si>
    <t>5)</t>
  </si>
  <si>
    <t>One or more lines are incomplete.  See lines marked *.</t>
  </si>
  <si>
    <t>P</t>
  </si>
  <si>
    <t>I</t>
  </si>
  <si>
    <t>G</t>
  </si>
  <si>
    <t>H</t>
  </si>
  <si>
    <r>
      <t>(a)  The gross amount of impairment losses on capital assets (</t>
    </r>
    <r>
      <rPr>
        <i/>
        <sz val="10"/>
        <rFont val="Arial"/>
        <family val="2"/>
      </rPr>
      <t>the portion</t>
    </r>
  </si>
  <si>
    <r>
      <t xml:space="preserve">losses and recognized as </t>
    </r>
    <r>
      <rPr>
        <u/>
        <sz val="10"/>
        <rFont val="Arial"/>
        <family val="2"/>
      </rPr>
      <t>nonoperating revenues</t>
    </r>
    <r>
      <rPr>
        <sz val="10"/>
        <rFont val="Arial"/>
        <family val="2"/>
      </rPr>
      <t>.</t>
    </r>
  </si>
  <si>
    <r>
      <t xml:space="preserve">losses and recognized as </t>
    </r>
    <r>
      <rPr>
        <u/>
        <sz val="10"/>
        <rFont val="Arial"/>
        <family val="2"/>
      </rPr>
      <t>extraordinary items</t>
    </r>
    <r>
      <rPr>
        <sz val="10"/>
        <rFont val="Arial"/>
        <family val="2"/>
      </rPr>
      <t>.</t>
    </r>
  </si>
  <si>
    <t>GASB Fund:  All GASB Funds</t>
  </si>
  <si>
    <t>Agency No:</t>
  </si>
  <si>
    <t>Number of zoo animals</t>
  </si>
  <si>
    <t xml:space="preserve">Number of vehicles </t>
  </si>
  <si>
    <t>Number of boats/trailers</t>
  </si>
  <si>
    <t>Number of aircraft</t>
  </si>
  <si>
    <t>Number of scientific equipment</t>
  </si>
  <si>
    <t>Number of close security prisons</t>
  </si>
  <si>
    <t>Number of medium security prisons</t>
  </si>
  <si>
    <t>Number of minimum security prisons</t>
  </si>
  <si>
    <t>Number of Enterprise vehicles:</t>
  </si>
  <si>
    <t>Number of vehicles:</t>
  </si>
  <si>
    <t>Number of academic/administrative buildings</t>
  </si>
  <si>
    <t>Number of dormitories/auxiliary buildings</t>
  </si>
  <si>
    <t xml:space="preserve">     Number of administration buildings</t>
  </si>
  <si>
    <t xml:space="preserve">     Number of clinical buildings</t>
  </si>
  <si>
    <t>Preparer:</t>
  </si>
  <si>
    <t>Phone:</t>
  </si>
  <si>
    <t>Sheet</t>
  </si>
  <si>
    <t>NA</t>
  </si>
  <si>
    <t>Worksheet Title</t>
  </si>
  <si>
    <t>Aaa/AAA</t>
  </si>
  <si>
    <t>Email:</t>
  </si>
  <si>
    <t>CASH AND CASH EQUIVALENTS IN BANKS OUTSIDE THE STATE TREASURER</t>
  </si>
  <si>
    <t>(1)</t>
  </si>
  <si>
    <t>4XXX</t>
  </si>
  <si>
    <t>Status</t>
  </si>
  <si>
    <t xml:space="preserve">Name of </t>
  </si>
  <si>
    <t xml:space="preserve">Description of </t>
  </si>
  <si>
    <t>438700-538700</t>
  </si>
  <si>
    <t>Transfer</t>
  </si>
  <si>
    <t>for use in capital projects? (exclude capitalized interest earnings)</t>
  </si>
  <si>
    <t>Capital assets-depreciable, net</t>
  </si>
  <si>
    <t>Total Certificates of Deposit</t>
  </si>
  <si>
    <t>Invalid NCAS account number.  See lines marked *.</t>
  </si>
  <si>
    <t>Due from primary government</t>
  </si>
  <si>
    <t>Custodial credit risk - deposits</t>
  </si>
  <si>
    <t>4.</t>
  </si>
  <si>
    <t>114800</t>
  </si>
  <si>
    <t>6)  Fiscal Year-End Date (Month/Day)</t>
  </si>
  <si>
    <t>7)  Included with your agency's</t>
  </si>
  <si>
    <t xml:space="preserve">      financial statements (Y/N)?</t>
  </si>
  <si>
    <t>Interest Rate</t>
  </si>
  <si>
    <t>Swaps, Net</t>
  </si>
  <si>
    <t>GASB 40 establishes a general disclosure principal that risk disclosures applicable to investments should be reported separately by investment type.  It emphasizes that</t>
  </si>
  <si>
    <t>BANK INVESTMENT CONTRACTS:</t>
  </si>
  <si>
    <t>Instructions to complete this worksheet:</t>
  </si>
  <si>
    <t>Interfund payables</t>
  </si>
  <si>
    <t>Due to component unit</t>
  </si>
  <si>
    <t>Other current liabilities</t>
  </si>
  <si>
    <t>Noncurrent liabilities</t>
  </si>
  <si>
    <t>Total liabilities</t>
  </si>
  <si>
    <t>Restricted</t>
  </si>
  <si>
    <t>Depreciation</t>
  </si>
  <si>
    <t>Name of Not-For-Profit Organization</t>
  </si>
  <si>
    <t>Moving weighted average</t>
  </si>
  <si>
    <t>Last invoice cost</t>
  </si>
  <si>
    <t>Indicate the methods used to value your inventories:</t>
  </si>
  <si>
    <t>2)</t>
  </si>
  <si>
    <t>CAPITAL ASSETS</t>
  </si>
  <si>
    <t>a)</t>
  </si>
  <si>
    <t>Operating Revenues:</t>
  </si>
  <si>
    <t>Federal grants and contracts</t>
  </si>
  <si>
    <t>State and local grants and contracts</t>
  </si>
  <si>
    <t>Nongovernmental grants and contracts</t>
  </si>
  <si>
    <t>Interest earnings on loans</t>
  </si>
  <si>
    <t>Total operating revenues</t>
  </si>
  <si>
    <t>Operating Expenses:</t>
  </si>
  <si>
    <t>Personal services</t>
  </si>
  <si>
    <t>Supplies and materials</t>
  </si>
  <si>
    <t>Services</t>
  </si>
  <si>
    <t>Cost of goods sold</t>
  </si>
  <si>
    <t>Governmental Funds Only</t>
  </si>
  <si>
    <t>69</t>
  </si>
  <si>
    <t>ZB</t>
  </si>
  <si>
    <t>U10</t>
  </si>
  <si>
    <t>U20</t>
  </si>
  <si>
    <t>U30</t>
  </si>
  <si>
    <t>U40</t>
  </si>
  <si>
    <t>U50</t>
  </si>
  <si>
    <t>U55</t>
  </si>
  <si>
    <t>Investments Held Outside the State Treasurer - Interest Rate Risk</t>
  </si>
  <si>
    <t>Income before other rev, exp, gains, or losses</t>
  </si>
  <si>
    <t>Capital Debt</t>
  </si>
  <si>
    <t>Noncapital Debt</t>
  </si>
  <si>
    <t>Amount of unspent debt proceeds</t>
  </si>
  <si>
    <t>Note:  This worksheet should only be completed by State agencies and</t>
  </si>
  <si>
    <t>Universities (i.e., N/A for all component units, except universities).</t>
  </si>
  <si>
    <t>Schedule of Advances</t>
  </si>
  <si>
    <r>
      <t>Investments Subject to Interest Rate Risk</t>
    </r>
    <r>
      <rPr>
        <vertAlign val="superscript"/>
        <sz val="10"/>
        <rFont val="Arial"/>
        <family val="2"/>
      </rPr>
      <t xml:space="preserve"> </t>
    </r>
    <r>
      <rPr>
        <vertAlign val="superscript"/>
        <sz val="8"/>
        <rFont val="Arial"/>
        <family val="2"/>
      </rPr>
      <t>a</t>
    </r>
  </si>
  <si>
    <r>
      <t>Credit Rating</t>
    </r>
    <r>
      <rPr>
        <vertAlign val="superscript"/>
        <sz val="10"/>
        <rFont val="Arial"/>
        <family val="2"/>
      </rPr>
      <t xml:space="preserve"> </t>
    </r>
    <r>
      <rPr>
        <vertAlign val="superscript"/>
        <sz val="8"/>
        <rFont val="Arial"/>
        <family val="2"/>
      </rPr>
      <t>b</t>
    </r>
  </si>
  <si>
    <t>Current Year Assets Transferred In</t>
  </si>
  <si>
    <t>3.  Construction in progress</t>
  </si>
  <si>
    <t>Capital assets, depreciable:</t>
  </si>
  <si>
    <t>4.  Buildings</t>
  </si>
  <si>
    <t>3.</t>
  </si>
  <si>
    <t>Due Within</t>
  </si>
  <si>
    <t>One Year</t>
  </si>
  <si>
    <t xml:space="preserve">   Total Current assets</t>
  </si>
  <si>
    <t xml:space="preserve">Investments </t>
  </si>
  <si>
    <t xml:space="preserve">Restricted investments </t>
  </si>
  <si>
    <t>GASB Fund Number</t>
  </si>
  <si>
    <t>2631 &amp; 2634</t>
  </si>
  <si>
    <t>Wilson Community College</t>
  </si>
  <si>
    <t xml:space="preserve">Agency No: </t>
  </si>
  <si>
    <t>Total investments subject to the 5 percent threshold are defined as follows:</t>
  </si>
  <si>
    <t>3X</t>
  </si>
  <si>
    <t>Department of Commerce</t>
  </si>
  <si>
    <t>Department of Revenue</t>
  </si>
  <si>
    <t>Overall Range of Interest Rates of Total Outstanding Debt*</t>
  </si>
  <si>
    <t>Schedule of Due From / Restricted Due From Primary Government</t>
  </si>
  <si>
    <t>Exp</t>
  </si>
  <si>
    <t>Explanations</t>
  </si>
  <si>
    <t>Wksht</t>
  </si>
  <si>
    <t>GASB Fund No: All</t>
  </si>
  <si>
    <t>Worksheet Explanations</t>
  </si>
  <si>
    <t>CF</t>
  </si>
  <si>
    <t>College of the Albemarle</t>
  </si>
  <si>
    <t>Anticipation notes</t>
  </si>
  <si>
    <t>Error Key</t>
  </si>
  <si>
    <t>a</t>
  </si>
  <si>
    <t>b</t>
  </si>
  <si>
    <t>c</t>
  </si>
  <si>
    <t>Errors:</t>
  </si>
  <si>
    <t>d</t>
  </si>
  <si>
    <t>e</t>
  </si>
  <si>
    <t>f</t>
  </si>
  <si>
    <t>g</t>
  </si>
  <si>
    <t>h</t>
  </si>
  <si>
    <t>i</t>
  </si>
  <si>
    <t>j</t>
  </si>
  <si>
    <t>Page</t>
  </si>
  <si>
    <t>Original issue amount is blank.</t>
  </si>
  <si>
    <t>"From" interest rate is blank.</t>
  </si>
  <si>
    <t>"To" interest rate is blank.</t>
  </si>
  <si>
    <t>Final maturity date is blank.</t>
  </si>
  <si>
    <t>For any receivable statement caption (notes rec, accounts rec, taxes receivable, etc) on</t>
  </si>
  <si>
    <t>Contributions:</t>
  </si>
  <si>
    <t>Investment income:</t>
  </si>
  <si>
    <t>Other additions:</t>
  </si>
  <si>
    <t>Total additions</t>
  </si>
  <si>
    <t>Deductions:</t>
  </si>
  <si>
    <t>Refund of contributions</t>
  </si>
  <si>
    <t>Administrative expenses</t>
  </si>
  <si>
    <t>Other deductions</t>
  </si>
  <si>
    <t>This sheet is optional but we encourage your participation.</t>
  </si>
  <si>
    <t xml:space="preserve">The OSC is committed to improving our year end process.  We would appreciate any comments or </t>
  </si>
  <si>
    <t>Operating income</t>
  </si>
  <si>
    <t>Total noncurrent Liabilities</t>
  </si>
  <si>
    <t xml:space="preserve">      Health and human services</t>
  </si>
  <si>
    <t xml:space="preserve">      Economic development</t>
  </si>
  <si>
    <t>GASB Fund No:</t>
  </si>
  <si>
    <t>Difference</t>
  </si>
  <si>
    <t>FOOD STAMPS, FOOD COMMODITIES</t>
  </si>
  <si>
    <t xml:space="preserve"> General Obligation Bonds Payable</t>
  </si>
  <si>
    <t xml:space="preserve"> Revenue Bonds Payable</t>
  </si>
  <si>
    <t>Does not meet the above criteria.</t>
  </si>
  <si>
    <t>Investments:</t>
  </si>
  <si>
    <t xml:space="preserve">Capital assets-nondepreciable </t>
  </si>
  <si>
    <t xml:space="preserve">Capital assets-depreciable, net </t>
  </si>
  <si>
    <t>Liabilities</t>
  </si>
  <si>
    <t xml:space="preserve">  Annuity contracts</t>
  </si>
  <si>
    <t xml:space="preserve">  Bank investment contracts</t>
  </si>
  <si>
    <t xml:space="preserve">  U.S. Govt. securities</t>
  </si>
  <si>
    <t xml:space="preserve">  State and municipal securities</t>
  </si>
  <si>
    <t xml:space="preserve">  Corporate bonds</t>
  </si>
  <si>
    <t xml:space="preserve">  Commercial paper</t>
  </si>
  <si>
    <t xml:space="preserve">  Corporate stocks</t>
  </si>
  <si>
    <t xml:space="preserve">  Mutual funds</t>
  </si>
  <si>
    <t xml:space="preserve">  Certificates of deposit</t>
  </si>
  <si>
    <t xml:space="preserve">  Accounts receivables</t>
  </si>
  <si>
    <t>Gain on sale of property &amp; equipment</t>
  </si>
  <si>
    <t>5.  Machinery and equipment</t>
  </si>
  <si>
    <t>Restricted/designated cash and cash equivalents</t>
  </si>
  <si>
    <t>LIABILITIES</t>
  </si>
  <si>
    <t xml:space="preserve">   </t>
  </si>
  <si>
    <t>OSC-Central Accounts</t>
  </si>
  <si>
    <t xml:space="preserve">    Total other additions</t>
  </si>
  <si>
    <t xml:space="preserve">  Total deductions</t>
  </si>
  <si>
    <t>(i.e., Euro, Japanese Yen, Swiss Franc, etc)</t>
  </si>
  <si>
    <t>General obligation bonds</t>
  </si>
  <si>
    <t>Certificates of participation</t>
  </si>
  <si>
    <t>Schedule of Intra-Agency Receivables and Payables</t>
  </si>
  <si>
    <t>Interest*</t>
  </si>
  <si>
    <t>investment, disclose the lowest rating.</t>
  </si>
  <si>
    <t>Residual Cash - Cash with fiscal agent (Trust Accounts)</t>
  </si>
  <si>
    <t>TOTAL DEMAND ACCOUNTS</t>
  </si>
  <si>
    <t>Custodial credit risk - investments</t>
  </si>
  <si>
    <t>Deposit and Investment Policies?</t>
  </si>
  <si>
    <t>010</t>
  </si>
  <si>
    <t>1100</t>
  </si>
  <si>
    <t>1.</t>
  </si>
  <si>
    <t>2.</t>
  </si>
  <si>
    <t>Deposit and Investment Risks</t>
  </si>
  <si>
    <t>Public Safety, Corrections &amp; Reg</t>
  </si>
  <si>
    <t>020</t>
  </si>
  <si>
    <t>022</t>
  </si>
  <si>
    <t>030</t>
  </si>
  <si>
    <t>Health &amp; Human Services</t>
  </si>
  <si>
    <t>040</t>
  </si>
  <si>
    <t>050</t>
  </si>
  <si>
    <t>051</t>
  </si>
  <si>
    <t>060</t>
  </si>
  <si>
    <t>070</t>
  </si>
  <si>
    <t>Environment &amp; Natural Resource</t>
  </si>
  <si>
    <t>078</t>
  </si>
  <si>
    <t>080</t>
  </si>
  <si>
    <t>083</t>
  </si>
  <si>
    <t>090</t>
  </si>
  <si>
    <t>100</t>
  </si>
  <si>
    <t>101</t>
  </si>
  <si>
    <t>110</t>
  </si>
  <si>
    <t>111</t>
  </si>
  <si>
    <t>120</t>
  </si>
  <si>
    <t>124</t>
  </si>
  <si>
    <t>130</t>
  </si>
  <si>
    <t>134</t>
  </si>
  <si>
    <t>140</t>
  </si>
  <si>
    <t>150</t>
  </si>
  <si>
    <t>151</t>
  </si>
  <si>
    <t>160</t>
  </si>
  <si>
    <t>suggestions you may have in this regard.  We will use this feedback as a quality tool to enhance</t>
  </si>
  <si>
    <t>Investments</t>
  </si>
  <si>
    <t>Notes receivable</t>
  </si>
  <si>
    <t xml:space="preserve">Governments that report enterprise funds or that use enterprise fund accounting and reporting standards are </t>
  </si>
  <si>
    <t>Department of Public Instruction</t>
  </si>
  <si>
    <t xml:space="preserve">     Other/Specialty trucks</t>
  </si>
  <si>
    <t>4)</t>
  </si>
  <si>
    <t>PROGRAM REVENUE</t>
  </si>
  <si>
    <t>Notes</t>
  </si>
  <si>
    <t>Deductions</t>
  </si>
  <si>
    <t>Cash and cash equivalents</t>
  </si>
  <si>
    <t>Receivables</t>
  </si>
  <si>
    <t>41</t>
  </si>
  <si>
    <t>Less:   Actual cash expenditures paid on the commitment</t>
  </si>
  <si>
    <t>Less:   Accrued expenditures recorded against the contract</t>
  </si>
  <si>
    <t xml:space="preserve">            during 13th month accrual process</t>
  </si>
  <si>
    <t>SUBSEQUENT EVENTS:</t>
  </si>
  <si>
    <t>J</t>
  </si>
  <si>
    <t>Dept. of Health and Human Services</t>
  </si>
  <si>
    <t>If your agency has any "reportable segments" as defined by GAAP, provide the following information</t>
  </si>
  <si>
    <t xml:space="preserve">for each reportable segment (Note: if you have more than one reportable segment, complete a separate </t>
  </si>
  <si>
    <t>worksheet for each one).</t>
  </si>
  <si>
    <t>Unearned revenue</t>
  </si>
  <si>
    <t>The amount of the commitment should be calculated as follows:</t>
  </si>
  <si>
    <t>Decrease in CIP column does not net to zero.</t>
  </si>
  <si>
    <t>If capital lease payments are listed, then Section II must be completed.</t>
  </si>
  <si>
    <t>Rex Healthcare</t>
  </si>
  <si>
    <t>NC Education Lottery</t>
  </si>
  <si>
    <t>NC State Ports Authority</t>
  </si>
  <si>
    <t>NC Global TransPark Authority</t>
  </si>
  <si>
    <t>NC Partnership for Children</t>
  </si>
  <si>
    <t>DE</t>
  </si>
  <si>
    <t>3)  Total Equity</t>
  </si>
  <si>
    <t>4)  Total Revenues</t>
  </si>
  <si>
    <t>5)  Total Expenses</t>
  </si>
  <si>
    <t>1)  Total Assets</t>
  </si>
  <si>
    <t>2)  Total Liabilities</t>
  </si>
  <si>
    <t>(N/A for Component Units)</t>
  </si>
  <si>
    <t>Include revenue statement caption for each fiscal year pledged directly to servicing the revenue bond requirements.</t>
  </si>
  <si>
    <t>Construction and Other Significant Commitments</t>
  </si>
  <si>
    <t>(Note: The only exception is for demand bonds that are classified as due within one year.)</t>
  </si>
  <si>
    <t>Changes in Long-Term Liabilities and Short-Term Debt (Business-Type)</t>
  </si>
  <si>
    <t>Notes receivables</t>
  </si>
  <si>
    <t>Capital assets-nondepreciable</t>
  </si>
  <si>
    <t>Capital assets-depreciable,net</t>
  </si>
  <si>
    <t>Funds Held for Others</t>
  </si>
  <si>
    <t>(Agree with above Total Fund Balance)</t>
  </si>
  <si>
    <t>Index</t>
  </si>
  <si>
    <t>General Instructions</t>
  </si>
  <si>
    <t>but not in Agency's Name</t>
  </si>
  <si>
    <t>Balances as of</t>
  </si>
  <si>
    <t>Type</t>
  </si>
  <si>
    <t>GASB Fund Name:</t>
  </si>
  <si>
    <t>NCAS Acct</t>
  </si>
  <si>
    <t>Statement Caption</t>
  </si>
  <si>
    <t>1) Describe types of goods and services provided by the segment:</t>
  </si>
  <si>
    <t>C0</t>
  </si>
  <si>
    <t>Alamance Community College</t>
  </si>
  <si>
    <t>C2</t>
  </si>
  <si>
    <t>Asheville-Buncombe Technical Community College</t>
  </si>
  <si>
    <t>C3</t>
  </si>
  <si>
    <t>Beaufort County Community College</t>
  </si>
  <si>
    <t>C4</t>
  </si>
  <si>
    <t>Bladen Community College</t>
  </si>
  <si>
    <t>C5</t>
  </si>
  <si>
    <t>Blue Ridge Community College</t>
  </si>
  <si>
    <t>Complete the following schedule for required lease disclosures:</t>
  </si>
  <si>
    <t>Lease</t>
  </si>
  <si>
    <t>Payments</t>
  </si>
  <si>
    <t>II.</t>
  </si>
  <si>
    <t>Buildings</t>
  </si>
  <si>
    <t>This agency has material contingent liabilities involving Federal grants and programs.</t>
  </si>
  <si>
    <t>Fin. Institution's</t>
  </si>
  <si>
    <t>Uninsured and</t>
  </si>
  <si>
    <t>NC Railroad Company</t>
  </si>
  <si>
    <t>ZA</t>
  </si>
  <si>
    <t>Z3</t>
  </si>
  <si>
    <t>Z7</t>
  </si>
  <si>
    <t>ZH</t>
  </si>
  <si>
    <t>Indicator</t>
  </si>
  <si>
    <t>Invalid filename</t>
  </si>
  <si>
    <t>ASSETS</t>
  </si>
  <si>
    <t>Current Assets:</t>
  </si>
  <si>
    <t xml:space="preserve">Cash and cash equivalents </t>
  </si>
  <si>
    <t>Prepaid items</t>
  </si>
  <si>
    <t>Offline Proprietary Analytical Review - Computed Variances</t>
  </si>
  <si>
    <t>Narrative</t>
  </si>
  <si>
    <t>Restricted:</t>
  </si>
  <si>
    <t>Other:</t>
  </si>
  <si>
    <t>Unrestricted:</t>
  </si>
  <si>
    <t>Other receivables, net</t>
  </si>
  <si>
    <t>Due from State of NC component units</t>
  </si>
  <si>
    <t>Total Current Assets</t>
  </si>
  <si>
    <t>Noncurrent Assets:</t>
  </si>
  <si>
    <t xml:space="preserve">Restricted/designated cash and cash equivalents </t>
  </si>
  <si>
    <t>Restricted investments</t>
  </si>
  <si>
    <t>Miscellaneous</t>
  </si>
  <si>
    <t>(NOTE - Do not reflect amount actually paid.)</t>
  </si>
  <si>
    <t>Restatement</t>
  </si>
  <si>
    <t>Restricted due from primary government</t>
  </si>
  <si>
    <t>Principal amount of the Revenue Bond DUE in the specified year.</t>
  </si>
  <si>
    <t>Prior Year</t>
  </si>
  <si>
    <t>Reclassification</t>
  </si>
  <si>
    <t>Other</t>
  </si>
  <si>
    <t>Interest amount of the Revenue Bond DUE in the specified fiscal year.</t>
  </si>
  <si>
    <t>Total Bank Investment Contracts</t>
  </si>
  <si>
    <t>Type of Investment</t>
  </si>
  <si>
    <t>Investments Categorized:</t>
  </si>
  <si>
    <t>Commercial paper</t>
  </si>
  <si>
    <t>Investments Held Outside the State Treasurer - Custodial Credit Risk - Deposits</t>
  </si>
  <si>
    <t>Investments Held Outside the State Treasurer - Custodial Credit Risk - Investments</t>
  </si>
  <si>
    <t>Cash and Cash Equivalents in Banks Outside the State Treasurer - Custodial Credit Risk - Deposits</t>
  </si>
  <si>
    <t>Total Debt Service</t>
  </si>
  <si>
    <t xml:space="preserve">Any transaction or event, the omission of which would produce a material misstatement of the </t>
  </si>
  <si>
    <t>Craven Community College</t>
  </si>
  <si>
    <t>CH</t>
  </si>
  <si>
    <t>Davidson County Community College</t>
  </si>
  <si>
    <t>CJ</t>
  </si>
  <si>
    <t>Durham Technical Community College</t>
  </si>
  <si>
    <t>CK</t>
  </si>
  <si>
    <t>Edgecombe Community College</t>
  </si>
  <si>
    <t>CL</t>
  </si>
  <si>
    <t>Fayetteville Technical Community College</t>
  </si>
  <si>
    <t>CM</t>
  </si>
  <si>
    <t>Forsyth Technical Community College</t>
  </si>
  <si>
    <t>CN</t>
  </si>
  <si>
    <t>Gaston College</t>
  </si>
  <si>
    <t>CP</t>
  </si>
  <si>
    <t>Guilford Technical Community College</t>
  </si>
  <si>
    <t>CQ</t>
  </si>
  <si>
    <t>Halifax Community College</t>
  </si>
  <si>
    <t>UNC Hospitals</t>
  </si>
  <si>
    <t>Fiscal Year Begin</t>
  </si>
  <si>
    <t>Last Fiscal Year End</t>
  </si>
  <si>
    <t>Header Information</t>
  </si>
  <si>
    <t xml:space="preserve">     Passenger/Cargo vans</t>
  </si>
  <si>
    <t xml:space="preserve">     Inmate transfer vans/buses</t>
  </si>
  <si>
    <t>Account</t>
  </si>
  <si>
    <t>No.</t>
  </si>
  <si>
    <t>TIME  ACCOUNTS:</t>
  </si>
  <si>
    <t>Agency/Univ Name:</t>
  </si>
  <si>
    <t>Cash by</t>
  </si>
  <si>
    <t>GASB name is blank.</t>
  </si>
  <si>
    <t>Column A does not equal Column F.  See lines marked *.</t>
  </si>
  <si>
    <t>Column A does not equal the sum of columns B, C, and D.  See lines marked *.</t>
  </si>
  <si>
    <t>&lt;&lt;&lt; Click on the cell to see a list of agencies.</t>
  </si>
  <si>
    <r>
      <t xml:space="preserve">NO </t>
    </r>
    <r>
      <rPr>
        <b/>
        <vertAlign val="superscript"/>
        <sz val="9"/>
        <rFont val="Arial"/>
        <family val="2"/>
      </rPr>
      <t>2</t>
    </r>
  </si>
  <si>
    <r>
      <t xml:space="preserve">N/A </t>
    </r>
    <r>
      <rPr>
        <b/>
        <vertAlign val="superscript"/>
        <sz val="9"/>
        <rFont val="Arial"/>
        <family val="2"/>
      </rPr>
      <t>3</t>
    </r>
  </si>
  <si>
    <t xml:space="preserve">     Inmate workcrew vans/buses</t>
  </si>
  <si>
    <t xml:space="preserve">     Inmate workcrew buses</t>
  </si>
  <si>
    <t xml:space="preserve">     Pickup trucks</t>
  </si>
  <si>
    <t xml:space="preserve">     Roving patrol pickups</t>
  </si>
  <si>
    <t>Due to primary government</t>
  </si>
  <si>
    <t>Claims payable</t>
  </si>
  <si>
    <t>Funds held for others</t>
  </si>
  <si>
    <t>from that listed above, please contact OSC</t>
  </si>
  <si>
    <t>for additional guidance.</t>
  </si>
  <si>
    <t>At year-end, did your agency have any investments in debt securities over $25 million with material differences in credit ratings?  A material difference is defined as a security</t>
  </si>
  <si>
    <t>being rated as investment grade and below investment grade by different rating agencies.</t>
  </si>
  <si>
    <t>If YES, disclose the following:</t>
  </si>
  <si>
    <t>Other Rating Agency (specify)</t>
  </si>
  <si>
    <t>Do the total principal requirements (including debt with interest rate swaps on 320) agree with column [E]</t>
  </si>
  <si>
    <t>Employees pension and other benefits</t>
  </si>
  <si>
    <t xml:space="preserve"> Employer</t>
  </si>
  <si>
    <t xml:space="preserve"> Members</t>
  </si>
  <si>
    <t xml:space="preserve"> Trustee deposits</t>
  </si>
  <si>
    <t xml:space="preserve"> Other contributions</t>
  </si>
  <si>
    <t xml:space="preserve">   Total contributions</t>
  </si>
  <si>
    <t xml:space="preserve"> Investment earnings(loss)</t>
  </si>
  <si>
    <t>Row E (Principal) plus Row F (Interest) = Row G</t>
  </si>
  <si>
    <t>Row D (Net Revenue Available for Debt Service) DIVIDED by Row G (Total Debt Service Requirements) = Row H</t>
  </si>
  <si>
    <t>Surry Community College</t>
  </si>
  <si>
    <t>DH</t>
  </si>
  <si>
    <t>Row A</t>
  </si>
  <si>
    <t>Row B</t>
  </si>
  <si>
    <t>Agency</t>
  </si>
  <si>
    <t>GASB No:</t>
  </si>
  <si>
    <t>USS North Carolina Battleship Comm.</t>
  </si>
  <si>
    <t>UNC at Chapel Hill</t>
  </si>
  <si>
    <t>UNC at Greensboro</t>
  </si>
  <si>
    <t>Department of Health and Human Services</t>
  </si>
  <si>
    <t>Cases disposed as a % of cases filed-District Court</t>
  </si>
  <si>
    <t>Transportation</t>
  </si>
  <si>
    <t>Agriculture</t>
  </si>
  <si>
    <t>Department of Agriculture and Consumer Services</t>
  </si>
  <si>
    <t>List your method of depreciation (e.g., straight-line, etc.):</t>
  </si>
  <si>
    <t>3)</t>
  </si>
  <si>
    <t>Contingencies</t>
  </si>
  <si>
    <t>Next Fiscal Year End</t>
  </si>
  <si>
    <t>Total Original Issue Amount Related to Total Outstanding Debt</t>
  </si>
  <si>
    <t>Transfers In</t>
  </si>
  <si>
    <t>Transfers Out</t>
  </si>
  <si>
    <t>Deposits payable</t>
  </si>
  <si>
    <t>(Cost + Allowance)</t>
  </si>
  <si>
    <t>U80</t>
  </si>
  <si>
    <t>U82</t>
  </si>
  <si>
    <t>U84</t>
  </si>
  <si>
    <t>U86</t>
  </si>
  <si>
    <t>U88</t>
  </si>
  <si>
    <t>U90</t>
  </si>
  <si>
    <t>U92</t>
  </si>
  <si>
    <t>none</t>
  </si>
  <si>
    <t xml:space="preserve">Department of Public Instruction </t>
  </si>
  <si>
    <t xml:space="preserve">   Total current liabilities</t>
  </si>
  <si>
    <t xml:space="preserve">   Total noncurrent liabilities</t>
  </si>
  <si>
    <t xml:space="preserve">       Total  liabilities</t>
  </si>
  <si>
    <t xml:space="preserve">   Total operating revenues</t>
  </si>
  <si>
    <t>Operating Revenues</t>
  </si>
  <si>
    <t>Operating Expenses</t>
  </si>
  <si>
    <t xml:space="preserve">   Total operating expenses</t>
  </si>
  <si>
    <t xml:space="preserve">      Operating income (loss)</t>
  </si>
  <si>
    <t>Gain on sale of property and equipment</t>
  </si>
  <si>
    <t>Loss on sale of property and equipment</t>
  </si>
  <si>
    <t xml:space="preserve">   Total nonoperating revenues (expenses)</t>
  </si>
  <si>
    <t xml:space="preserve">      Income before other revenues expenses gains and losses</t>
  </si>
  <si>
    <t xml:space="preserve">State capital aid </t>
  </si>
  <si>
    <r>
      <t xml:space="preserve">If </t>
    </r>
    <r>
      <rPr>
        <b/>
        <sz val="10"/>
        <rFont val="Arial"/>
        <family val="2"/>
      </rPr>
      <t>YES</t>
    </r>
    <r>
      <rPr>
        <sz val="10"/>
        <rFont val="Arial"/>
        <family val="2"/>
      </rPr>
      <t xml:space="preserve">, list any </t>
    </r>
    <r>
      <rPr>
        <b/>
        <sz val="10"/>
        <rFont val="Arial"/>
        <family val="2"/>
      </rPr>
      <t>material</t>
    </r>
    <r>
      <rPr>
        <sz val="10"/>
        <rFont val="Arial"/>
        <family val="2"/>
      </rPr>
      <t xml:space="preserve"> potential reimbursements involving Federal programs that have been identified as</t>
    </r>
  </si>
  <si>
    <t>Total assets</t>
  </si>
  <si>
    <t>Number of buildings</t>
  </si>
  <si>
    <t>Number of parking lots</t>
  </si>
  <si>
    <t>Number of parking spaces</t>
  </si>
  <si>
    <t xml:space="preserve">Number of Motor Fleet vehicles </t>
  </si>
  <si>
    <t>Number of Mental Health Institutions</t>
  </si>
  <si>
    <t>Number of certified beds</t>
  </si>
  <si>
    <t>If any of the balances listed above represent interfund loans, submit an explanation with this worksheet.</t>
  </si>
  <si>
    <t>Detailed Explanation</t>
  </si>
  <si>
    <t>IF YES, complete the following for each issuer meeting the 5 percent threshold.</t>
  </si>
  <si>
    <t>An issuer is the entity that has the authority to distribute a security or other investment. A bond issuer is the entity that is legally obligated to make principal</t>
  </si>
  <si>
    <t>N/A</t>
  </si>
  <si>
    <t>then breakout out the dissimilar investments below.</t>
  </si>
  <si>
    <t xml:space="preserve">If there were any dissimilar investments subject to interest rate risk aggregated into a single investment type on Worksheet 720, </t>
  </si>
  <si>
    <t>12XX, 13XX</t>
  </si>
  <si>
    <t>14XX</t>
  </si>
  <si>
    <t>ZI</t>
  </si>
  <si>
    <t>(252) 442-7474</t>
  </si>
  <si>
    <t>Sales and services, net</t>
  </si>
  <si>
    <t>Rental and lease earnings</t>
  </si>
  <si>
    <t xml:space="preserve">   Total Noncurrent assets</t>
  </si>
  <si>
    <t xml:space="preserve">       Total  assets</t>
  </si>
  <si>
    <t xml:space="preserve">Accounts payable </t>
  </si>
  <si>
    <t>Total Current Liabilities</t>
  </si>
  <si>
    <t>Noncurrent Liabilities:</t>
  </si>
  <si>
    <t>Advance from primary government</t>
  </si>
  <si>
    <t>Accrued vacation leave</t>
  </si>
  <si>
    <t>Total Liabilities</t>
  </si>
  <si>
    <t>Restricted for:</t>
  </si>
  <si>
    <t xml:space="preserve">Please locate your agency below and fill in the requested information. </t>
  </si>
  <si>
    <t>If your employer rate of contribution differs</t>
  </si>
  <si>
    <t>Fund</t>
  </si>
  <si>
    <t>Check type of payable:</t>
  </si>
  <si>
    <t>Does your agency receive interest as program revenue that is restricted</t>
  </si>
  <si>
    <t>worksheet, click on the words "Office of the State Controller" at the top of any worksheet.</t>
  </si>
  <si>
    <t>Grants, aid and subsidies expense</t>
  </si>
  <si>
    <t>Miscellaneous nonoperating revenue</t>
  </si>
  <si>
    <t>Miscellaneous nonoperating expense</t>
  </si>
  <si>
    <t>Fiscal Year</t>
  </si>
  <si>
    <t>Total Requirements</t>
  </si>
  <si>
    <t xml:space="preserve">YES  </t>
  </si>
  <si>
    <t>All Funds</t>
  </si>
  <si>
    <t>I.</t>
  </si>
  <si>
    <t>Reacquisition price:</t>
  </si>
  <si>
    <t>Number</t>
  </si>
  <si>
    <t>Fund Equity</t>
  </si>
  <si>
    <t>Explanation</t>
  </si>
  <si>
    <t>AGENCY ACTION:</t>
  </si>
  <si>
    <t xml:space="preserve">Indicate the Moody's/S&amp;P/Fitch credit rating or indicate "Unrated" or "Exempt" (for exempt from credit quality).  If you have access to multiple credit ratings for a particular </t>
  </si>
  <si>
    <r>
      <t>such as STIF</t>
    </r>
    <r>
      <rPr>
        <sz val="9"/>
        <rFont val="Arial"/>
        <family val="2"/>
      </rPr>
      <t xml:space="preserve">; and other pooled investments are </t>
    </r>
    <r>
      <rPr>
        <u/>
        <sz val="9"/>
        <rFont val="Arial"/>
        <family val="2"/>
      </rPr>
      <t>excluded</t>
    </r>
    <r>
      <rPr>
        <sz val="9"/>
        <rFont val="Arial"/>
        <family val="2"/>
      </rPr>
      <t xml:space="preserve"> from this requirement.)</t>
    </r>
  </si>
  <si>
    <t>(U.S. Dollars)</t>
  </si>
  <si>
    <t>Accrued payroll</t>
  </si>
  <si>
    <t>Intergovernmental payables</t>
  </si>
  <si>
    <t>University No:</t>
  </si>
  <si>
    <t>University Name:</t>
  </si>
  <si>
    <t>b)</t>
  </si>
  <si>
    <t>DESCRIPTION</t>
  </si>
  <si>
    <t>CU-UNC</t>
  </si>
  <si>
    <t>CU-CC</t>
  </si>
  <si>
    <t>CU-Nonmajor</t>
  </si>
  <si>
    <t>Inventories owned by the State traditionally have been valued by one of the following methods:</t>
  </si>
  <si>
    <t>Motor fuel dispensers tested</t>
  </si>
  <si>
    <t>Worksheet is out of balance.</t>
  </si>
  <si>
    <t>Op</t>
  </si>
  <si>
    <t>Cap</t>
  </si>
  <si>
    <t xml:space="preserve">  Accounts receivable</t>
  </si>
  <si>
    <t xml:space="preserve">  Interest receivable</t>
  </si>
  <si>
    <t xml:space="preserve">  Contributions receivable</t>
  </si>
  <si>
    <t xml:space="preserve">  Employees' pension and other benefits</t>
  </si>
  <si>
    <t>Student tuition and fees</t>
  </si>
  <si>
    <t>Patient services</t>
  </si>
  <si>
    <t>Rental lease earnings</t>
  </si>
  <si>
    <t>policies are extremely long and can be quite detailed.  If broad cash management and investment policies have been adopted, only a brief description</t>
  </si>
  <si>
    <r>
      <t xml:space="preserve">For the purposes of GASB 40, an investment policy is considered to be a </t>
    </r>
    <r>
      <rPr>
        <u/>
        <sz val="9"/>
        <rFont val="Arial"/>
        <family val="2"/>
      </rPr>
      <t>formally adopted policy</t>
    </r>
    <r>
      <rPr>
        <sz val="9"/>
        <rFont val="Arial"/>
        <family val="2"/>
      </rPr>
      <t xml:space="preserve"> that sets forth a government’s allowable deposits or </t>
    </r>
  </si>
  <si>
    <t>investments.  An investment policy may be formally adopted through legal or contractual provisions or by other means, usually by the governing board.</t>
  </si>
  <si>
    <t>NOTE:</t>
  </si>
  <si>
    <t>Instructions to complete worksheet:</t>
  </si>
  <si>
    <t>-</t>
  </si>
  <si>
    <t>Include direct operating expense paid from the Revenue Bond Fund which reduces the resources</t>
  </si>
  <si>
    <t>Functional</t>
  </si>
  <si>
    <t>Medicaid recipients</t>
  </si>
  <si>
    <t>Food stamp recipients</t>
  </si>
  <si>
    <t>Clients served by mental health facilities</t>
  </si>
  <si>
    <t>CR</t>
  </si>
  <si>
    <t>Haywood Community College</t>
  </si>
  <si>
    <t>CS</t>
  </si>
  <si>
    <t>Isothermal Community College</t>
  </si>
  <si>
    <t>CT</t>
  </si>
  <si>
    <t>James Sprunt Community College</t>
  </si>
  <si>
    <t>CU</t>
  </si>
  <si>
    <t>Johnston Community College</t>
  </si>
  <si>
    <t>CV</t>
  </si>
  <si>
    <t>Lenoir Community College</t>
  </si>
  <si>
    <t>CW</t>
  </si>
  <si>
    <t>Martin Community College</t>
  </si>
  <si>
    <t>CX</t>
  </si>
  <si>
    <t>Mayland Community College</t>
  </si>
  <si>
    <t>CY</t>
  </si>
  <si>
    <t>McDowell Technical Community College</t>
  </si>
  <si>
    <t>CZ</t>
  </si>
  <si>
    <t>Mitchell Community College</t>
  </si>
  <si>
    <t>D0</t>
  </si>
  <si>
    <t>Randolph Community College</t>
  </si>
  <si>
    <t>D6</t>
  </si>
  <si>
    <t>Richmond Community College</t>
  </si>
  <si>
    <t>D7</t>
  </si>
  <si>
    <t>Roanoke-Chowan Community College</t>
  </si>
  <si>
    <t>D8</t>
  </si>
  <si>
    <t>Robeson Community College</t>
  </si>
  <si>
    <t>D9</t>
  </si>
  <si>
    <t>Rockingham Community College</t>
  </si>
  <si>
    <t>DA</t>
  </si>
  <si>
    <t>Rowan-Cabarrus Community College</t>
  </si>
  <si>
    <t>DB</t>
  </si>
  <si>
    <t>C6</t>
  </si>
  <si>
    <t>Brunswick Community College</t>
  </si>
  <si>
    <t>C7</t>
  </si>
  <si>
    <t>Caldwell Community College and Technical Institute</t>
  </si>
  <si>
    <t>C8</t>
  </si>
  <si>
    <t>Cape Fear Community College</t>
  </si>
  <si>
    <t>C9</t>
  </si>
  <si>
    <t>Carteret Community College</t>
  </si>
  <si>
    <t>CA</t>
  </si>
  <si>
    <t>Catawba Valley Community College</t>
  </si>
  <si>
    <t>CB</t>
  </si>
  <si>
    <t>Central Carolina Community College</t>
  </si>
  <si>
    <t>CC</t>
  </si>
  <si>
    <t>Central Piedmont Community College</t>
  </si>
  <si>
    <t>CD</t>
  </si>
  <si>
    <t>Cleveland Community College</t>
  </si>
  <si>
    <t>CE</t>
  </si>
  <si>
    <t>Coastal Carolina Community College</t>
  </si>
  <si>
    <t>48E</t>
  </si>
  <si>
    <t>UNC Hospitals - Enterprise Fund</t>
  </si>
  <si>
    <t>State appropriations</t>
  </si>
  <si>
    <t>Unamortized premiums/discounts:</t>
  </si>
  <si>
    <t>Deferred charges on debt refundings:</t>
  </si>
  <si>
    <t>Tobacco Settlement</t>
  </si>
  <si>
    <t>Specify GASB number&gt;&gt;&gt;</t>
  </si>
  <si>
    <t>Agency number:</t>
  </si>
  <si>
    <t>available to pay the debt requirement.  Exclude interest, amortization and depreciation.</t>
  </si>
  <si>
    <t xml:space="preserve">     Number of facility services</t>
  </si>
  <si>
    <t xml:space="preserve">     Number of hospitals</t>
  </si>
  <si>
    <t>Component Units Only</t>
  </si>
  <si>
    <t>61</t>
  </si>
  <si>
    <t>Acceptance by the State entity of Federal grants and programs carry the possibility of reimbursement to the</t>
  </si>
  <si>
    <t>Federal Agency:</t>
  </si>
  <si>
    <t>Program:</t>
  </si>
  <si>
    <t>Description:</t>
  </si>
  <si>
    <t>(i.e., Food Stamp coupons, USDA-donated commodities, etc.) for which the State would be liable in the event of loss.</t>
  </si>
  <si>
    <t>Amount:</t>
  </si>
  <si>
    <r>
      <t>All material contingent liabilities of this agency, if any exist, have been disclosed above.</t>
    </r>
    <r>
      <rPr>
        <i/>
        <u/>
        <sz val="10"/>
        <rFont val="Arial"/>
        <family val="2"/>
      </rPr>
      <t/>
    </r>
  </si>
  <si>
    <t>NOTE: The term "covered payroll" is defined as all compensation paid to active employees contributing to the Optional Retirement Program.</t>
  </si>
  <si>
    <t>IMPORTANT</t>
  </si>
  <si>
    <t>If an agency's investment policy is limited to complying with its state's investment statutes, the relevant portions of the state statute relating to the risks</t>
  </si>
  <si>
    <r>
      <t xml:space="preserve">Federal grantor agency if periodic audits reveal </t>
    </r>
    <r>
      <rPr>
        <b/>
        <sz val="10"/>
        <rFont val="Arial"/>
        <family val="2"/>
      </rPr>
      <t>questioned costs</t>
    </r>
    <r>
      <rPr>
        <sz val="10"/>
        <rFont val="Arial"/>
        <family val="2"/>
      </rPr>
      <t>.</t>
    </r>
  </si>
  <si>
    <t>(i.e., debt defeased in prior fiscal years and no longer reported as a liability)</t>
  </si>
  <si>
    <t>U.S. Treasury STRIPS</t>
  </si>
  <si>
    <t>BUSINESS TYPE ACTIVITIES</t>
  </si>
  <si>
    <t>Unrestricted</t>
  </si>
  <si>
    <t>UNC Investment Fund</t>
  </si>
  <si>
    <t>PG</t>
  </si>
  <si>
    <t>Offline</t>
  </si>
  <si>
    <t>L</t>
  </si>
  <si>
    <t>M</t>
  </si>
  <si>
    <t>N</t>
  </si>
  <si>
    <t>Due from other funds</t>
  </si>
  <si>
    <t>Inventories</t>
  </si>
  <si>
    <t>13</t>
  </si>
  <si>
    <t>Operating income (loss)</t>
  </si>
  <si>
    <t>Retail scales tested</t>
  </si>
  <si>
    <t>Tri-County Community College</t>
  </si>
  <si>
    <t>DJ</t>
  </si>
  <si>
    <t>Vance-Granville Community College</t>
  </si>
  <si>
    <t>DK</t>
  </si>
  <si>
    <t>Wake Technical Community College</t>
  </si>
  <si>
    <t>DL</t>
  </si>
  <si>
    <t>Wayne Community College</t>
  </si>
  <si>
    <t>DM</t>
  </si>
  <si>
    <t>Other assets</t>
  </si>
  <si>
    <t xml:space="preserve">  Interest earnings on loans</t>
  </si>
  <si>
    <t xml:space="preserve">  Miscellaneous</t>
  </si>
  <si>
    <t>8.  NC DOT Highway Network</t>
  </si>
  <si>
    <t>Credit risk</t>
  </si>
  <si>
    <t>*</t>
  </si>
  <si>
    <t>Decrease In</t>
  </si>
  <si>
    <t>CIP</t>
  </si>
  <si>
    <t>Transferred Out</t>
  </si>
  <si>
    <t>Purchased</t>
  </si>
  <si>
    <t>Donated</t>
  </si>
  <si>
    <t>Concentration of credit risk</t>
  </si>
  <si>
    <r>
      <t>Only brief disclosures are required</t>
    </r>
    <r>
      <rPr>
        <sz val="9"/>
        <rFont val="Arial"/>
        <family val="2"/>
      </rPr>
      <t xml:space="preserve"> and a government should not include all details of its investment policies in its disclosures.  Many investment</t>
    </r>
  </si>
  <si>
    <t>Less: Operating Expense</t>
  </si>
  <si>
    <t>Net available revenue</t>
  </si>
  <si>
    <t>Net carrying amount of old debt:</t>
  </si>
  <si>
    <t>Old debt outstanding</t>
  </si>
  <si>
    <t>Advances to other funds</t>
  </si>
  <si>
    <t>Advances to component units</t>
  </si>
  <si>
    <t>Total Time/Demand/CD/BIC</t>
  </si>
  <si>
    <t>Comm</t>
  </si>
  <si>
    <r>
      <t xml:space="preserve">(Note: </t>
    </r>
    <r>
      <rPr>
        <i/>
        <sz val="10"/>
        <rFont val="Arial"/>
        <family val="2"/>
      </rPr>
      <t>For governmental activities, provide historical cost</t>
    </r>
    <r>
      <rPr>
        <sz val="10"/>
        <rFont val="Arial"/>
        <family val="2"/>
      </rPr>
      <t>)</t>
    </r>
  </si>
  <si>
    <r>
      <t>Primary Government Only</t>
    </r>
    <r>
      <rPr>
        <sz val="10"/>
        <rFont val="Arial"/>
        <family val="2"/>
      </rPr>
      <t xml:space="preserve"> (</t>
    </r>
    <r>
      <rPr>
        <i/>
        <sz val="10"/>
        <rFont val="Arial"/>
        <family val="2"/>
      </rPr>
      <t>State Agencies</t>
    </r>
    <r>
      <rPr>
        <sz val="10"/>
        <rFont val="Arial"/>
        <family val="2"/>
      </rPr>
      <t>)</t>
    </r>
  </si>
  <si>
    <r>
      <t>(a)  The historical cost of impaired capital assets (</t>
    </r>
    <r>
      <rPr>
        <i/>
        <sz val="10"/>
        <rFont val="Arial"/>
        <family val="2"/>
      </rPr>
      <t xml:space="preserve">include any </t>
    </r>
  </si>
  <si>
    <t>GASB Fund No.</t>
  </si>
  <si>
    <t>Valuation Method</t>
  </si>
  <si>
    <t>YES</t>
  </si>
  <si>
    <t>NO</t>
  </si>
  <si>
    <t>All GASB Funds</t>
  </si>
  <si>
    <t>Preparer/Phone:</t>
  </si>
  <si>
    <t xml:space="preserve"> </t>
  </si>
  <si>
    <t>114310-114321</t>
  </si>
  <si>
    <t>212310-212321</t>
  </si>
  <si>
    <t>TOTAL A</t>
  </si>
  <si>
    <t>TOTAL B</t>
  </si>
  <si>
    <t>TOTAL A MUST EQUAL TOTAL B</t>
  </si>
  <si>
    <t>Payor</t>
  </si>
  <si>
    <t>Comments</t>
  </si>
  <si>
    <t>TOTAL</t>
  </si>
  <si>
    <t>Payee</t>
  </si>
  <si>
    <r>
      <t>additions and improvements</t>
    </r>
    <r>
      <rPr>
        <sz val="10"/>
        <rFont val="Arial"/>
        <family val="2"/>
      </rPr>
      <t>).</t>
    </r>
  </si>
  <si>
    <t>Investments Not Categorized:</t>
  </si>
  <si>
    <t>Fair Value</t>
  </si>
  <si>
    <t>Additions:</t>
  </si>
  <si>
    <t xml:space="preserve"> Less investment expenses</t>
  </si>
  <si>
    <t xml:space="preserve">    Net investment income(loss)</t>
  </si>
  <si>
    <t xml:space="preserve"> Fees, licenses and fines</t>
  </si>
  <si>
    <t xml:space="preserve"> Interest earnings on loans</t>
  </si>
  <si>
    <t xml:space="preserve"> Miscellaneous</t>
  </si>
  <si>
    <t xml:space="preserve">   Total other additions</t>
  </si>
  <si>
    <t xml:space="preserve">   Change in net assets</t>
  </si>
  <si>
    <t>Debt Defeasances</t>
  </si>
  <si>
    <t>Loss on sale of property &amp; equipment</t>
  </si>
  <si>
    <t>C</t>
  </si>
  <si>
    <t>D</t>
  </si>
  <si>
    <t>E</t>
  </si>
  <si>
    <t>F</t>
  </si>
  <si>
    <t xml:space="preserve">         Number of culverts</t>
  </si>
  <si>
    <t xml:space="preserve">    Vehicles</t>
  </si>
  <si>
    <t xml:space="preserve">    Heavy Equipment</t>
  </si>
  <si>
    <t>Component Units</t>
  </si>
  <si>
    <t>Community Colleges</t>
  </si>
  <si>
    <t>column [F] on changes in long-term liabilities worksheet (305/310)?</t>
  </si>
  <si>
    <r>
      <t>control of management</t>
    </r>
    <r>
      <rPr>
        <sz val="10"/>
        <rFont val="Arial"/>
        <family val="2"/>
      </rPr>
      <t xml:space="preserve"> that do not meet the definition of special items per paragraph 56 of GASB 34.</t>
    </r>
  </si>
  <si>
    <t>Office of the State Controller</t>
  </si>
  <si>
    <t>required to disclose certain information about each "reportable segment" in the notes to the financial</t>
  </si>
  <si>
    <t>Number of individual refunds processed</t>
  </si>
  <si>
    <t>Number of pieces of incoming mail</t>
  </si>
  <si>
    <t>Number of pieces of outgoing mail</t>
  </si>
  <si>
    <t>% Diff</t>
  </si>
  <si>
    <t>N/A for GASB 3XXX</t>
  </si>
  <si>
    <t>Subsequent Events/Other Items</t>
  </si>
  <si>
    <t>Segments</t>
  </si>
  <si>
    <t>Agency name:</t>
  </si>
  <si>
    <t>Wildlife Resources Commission</t>
  </si>
  <si>
    <t>2X</t>
  </si>
  <si>
    <t>DHHS - Mental Health</t>
  </si>
  <si>
    <t>NC 401(k) Plan</t>
  </si>
  <si>
    <t>statements.  "Reportable segments" are defined by GASB Statement No. 34, paragraph 122, as amended.</t>
  </si>
  <si>
    <t>AGENCY ACTION</t>
  </si>
  <si>
    <t>Total INVESTMENTS Held Outside the</t>
  </si>
  <si>
    <t>CERTIFICATES OF DEPOSIT:</t>
  </si>
  <si>
    <t xml:space="preserve">     Cars/SUV's</t>
  </si>
  <si>
    <t>State Highway Patrol</t>
  </si>
  <si>
    <t xml:space="preserve">     Cars</t>
  </si>
  <si>
    <t xml:space="preserve">     Trucks/Vans</t>
  </si>
  <si>
    <t xml:space="preserve">     Motorcycles</t>
  </si>
  <si>
    <t>Air Craft:</t>
  </si>
  <si>
    <t xml:space="preserve">     Helicopters</t>
  </si>
  <si>
    <t>Have any material events occurred subsequent to June 30 and up to the date of this agency's preparation</t>
  </si>
  <si>
    <t>OTHER ITEMS:</t>
  </si>
  <si>
    <t xml:space="preserve">Such items would already be recorded as a revenue or expenditure on the Statement of Revenues, </t>
  </si>
  <si>
    <t>Expenditures, and Changes in Fund Balances (for governmental funds) or the Statement of Revenues,</t>
  </si>
  <si>
    <t>Schedule of Interinstitutional Transfers</t>
  </si>
  <si>
    <t>Primary and secondary education</t>
  </si>
  <si>
    <t>Health and human services</t>
  </si>
  <si>
    <t>Economic development</t>
  </si>
  <si>
    <t>Environment and natural resources</t>
  </si>
  <si>
    <t>Public safety, corrections, and regulation</t>
  </si>
  <si>
    <t>Give a complete description of the transaction/event and the amount involved, if known.</t>
  </si>
  <si>
    <t xml:space="preserve">expected to be collected within one year.  </t>
  </si>
  <si>
    <t>on changes in long-term liabilities worksheet (305/310)?</t>
  </si>
  <si>
    <t>Investment earnings</t>
  </si>
  <si>
    <t>Contracts and grants</t>
  </si>
  <si>
    <t>Prior</t>
  </si>
  <si>
    <t>Year</t>
  </si>
  <si>
    <t>Asset</t>
  </si>
  <si>
    <t>Additions</t>
  </si>
  <si>
    <t>Retirements</t>
  </si>
  <si>
    <t>Adjustments</t>
  </si>
  <si>
    <t>Capital assets, non-depreciable:</t>
  </si>
  <si>
    <t>Restatements</t>
  </si>
  <si>
    <t>03</t>
  </si>
  <si>
    <t>Total Capital Assets</t>
  </si>
  <si>
    <t>Increases</t>
  </si>
  <si>
    <t>Decreases</t>
  </si>
  <si>
    <t>Deletions</t>
  </si>
  <si>
    <t>Accounts payable</t>
  </si>
  <si>
    <t>Arbitrage rebate payable</t>
  </si>
  <si>
    <t>Workers compensation</t>
  </si>
  <si>
    <t>(THRESHOLD NOT APPLICABLE - SEE INSTRUCTIONS)</t>
  </si>
  <si>
    <t xml:space="preserve">NCAS </t>
  </si>
  <si>
    <t>Montgomery Community College</t>
  </si>
  <si>
    <t>D1</t>
  </si>
  <si>
    <t>Nash Community College</t>
  </si>
  <si>
    <t>D2</t>
  </si>
  <si>
    <t>Pamlico Community College</t>
  </si>
  <si>
    <t>D3</t>
  </si>
  <si>
    <t>Piedmont Community College</t>
  </si>
  <si>
    <t>D4</t>
  </si>
  <si>
    <t>Pitt Community College</t>
  </si>
  <si>
    <t>D5</t>
  </si>
  <si>
    <t>INVESTMENTS HELD OUTSIDE THE STATE TREASURER</t>
  </si>
  <si>
    <t>Insurance recoveries</t>
  </si>
  <si>
    <t>1.  Investment Type (per worksheet 720):</t>
  </si>
  <si>
    <t>Benefits payable</t>
  </si>
  <si>
    <t>Held in trust for:</t>
  </si>
  <si>
    <t xml:space="preserve">    Total contributions</t>
  </si>
  <si>
    <t xml:space="preserve">  Employer</t>
  </si>
  <si>
    <t xml:space="preserve">  Members</t>
  </si>
  <si>
    <t xml:space="preserve">  Trustee deposits</t>
  </si>
  <si>
    <t xml:space="preserve">  Other contributions</t>
  </si>
  <si>
    <t xml:space="preserve">  Investment earnings (loss)</t>
  </si>
  <si>
    <t xml:space="preserve">  Less investment expenses</t>
  </si>
  <si>
    <t xml:space="preserve">    Net investment income (loss)</t>
  </si>
  <si>
    <t xml:space="preserve">  Fees, licenses and fines</t>
  </si>
  <si>
    <t>Expenditures</t>
  </si>
  <si>
    <t>Revenues</t>
  </si>
  <si>
    <t>NA - Component Units</t>
  </si>
  <si>
    <t>(See Instructions)</t>
  </si>
  <si>
    <t>6B</t>
  </si>
  <si>
    <t>Do the total principal requirements (including debt without interest rate swaps on 315) agree with column [E]</t>
  </si>
  <si>
    <t>Sureties</t>
  </si>
  <si>
    <t>Payor Contact</t>
  </si>
  <si>
    <t>Name</t>
  </si>
  <si>
    <t>Compensated absences must have additions and deletions.</t>
  </si>
  <si>
    <t>All questions have not been answered.</t>
  </si>
  <si>
    <t>GOVERNMENTAL ACTIVITIES</t>
  </si>
  <si>
    <t>(check one)</t>
  </si>
  <si>
    <r>
      <t xml:space="preserve">If </t>
    </r>
    <r>
      <rPr>
        <b/>
        <sz val="10"/>
        <rFont val="Arial"/>
        <family val="2"/>
      </rPr>
      <t>YES</t>
    </r>
    <r>
      <rPr>
        <sz val="10"/>
        <rFont val="Arial"/>
        <family val="2"/>
      </rPr>
      <t>, list the Federal programs in which the State has accepted custodial responsibility for certain items</t>
    </r>
  </si>
  <si>
    <t>Depreciation expense</t>
  </si>
  <si>
    <t>Other operating expenses</t>
  </si>
  <si>
    <t>Nonoperating revenues (expenses):</t>
  </si>
  <si>
    <t xml:space="preserve">    Investment income</t>
  </si>
  <si>
    <t xml:space="preserve">    Interest expense</t>
  </si>
  <si>
    <t xml:space="preserve">    Other nonoperating revenues (expenses)</t>
  </si>
  <si>
    <t>Capital contributions</t>
  </si>
  <si>
    <t>Additions to permanent and term endowments</t>
  </si>
  <si>
    <t>Special and extraordinary items</t>
  </si>
  <si>
    <t>Transfers in</t>
  </si>
  <si>
    <t>Transfers out</t>
  </si>
  <si>
    <t>Expendable</t>
  </si>
  <si>
    <t>Nonexpendable</t>
  </si>
  <si>
    <t>Infrastructure Assets:</t>
  </si>
  <si>
    <t xml:space="preserve">     Pavement (in lane-miles):</t>
  </si>
  <si>
    <t xml:space="preserve">          Primary subsystem</t>
  </si>
  <si>
    <t xml:space="preserve">         Secondary subsystem</t>
  </si>
  <si>
    <t xml:space="preserve">    Bridges:</t>
  </si>
  <si>
    <t xml:space="preserve">         Number of bridges</t>
  </si>
  <si>
    <t>Acres of state recreation areas</t>
  </si>
  <si>
    <t>Number of state natural areas</t>
  </si>
  <si>
    <t>Acres of state natural areas</t>
  </si>
  <si>
    <t>Number of state lakes</t>
  </si>
  <si>
    <t>Acres of state lakes</t>
  </si>
  <si>
    <t>Number of Game Lands</t>
  </si>
  <si>
    <t>Acres of Game Lands</t>
  </si>
  <si>
    <t xml:space="preserve"> Certificates of Participation Payable</t>
  </si>
  <si>
    <t>University</t>
  </si>
  <si>
    <t>Economic Development</t>
  </si>
  <si>
    <t>Number of state park lands</t>
  </si>
  <si>
    <t>Acres of state park lands</t>
  </si>
  <si>
    <t>Number of state recreation areas</t>
  </si>
  <si>
    <t>Row C</t>
  </si>
  <si>
    <t>Row D</t>
  </si>
  <si>
    <t>Row E</t>
  </si>
  <si>
    <t>Row F</t>
  </si>
  <si>
    <t>Row G</t>
  </si>
  <si>
    <t>Row H</t>
  </si>
  <si>
    <t>6)</t>
  </si>
  <si>
    <t>Dissimilar Investments:</t>
  </si>
  <si>
    <t>UNC</t>
  </si>
  <si>
    <t>Component Unit</t>
  </si>
  <si>
    <t>UNC System, major component unit</t>
  </si>
  <si>
    <t>Community College, major component unit</t>
  </si>
  <si>
    <t>**    Type of Agency:</t>
  </si>
  <si>
    <t>Aa/AA</t>
  </si>
  <si>
    <t>Baa/BBB</t>
  </si>
  <si>
    <t>Moody's/S&amp;P/Fitch</t>
  </si>
  <si>
    <t>portfolio.  For example, a mutual bond fund with a weighted average</t>
  </si>
  <si>
    <t>maturity of 8.5 months should be reported as an investment with a</t>
  </si>
  <si>
    <t>Please complete the following for each legally separate, tax exempt foundation or similarly affiliated</t>
  </si>
  <si>
    <t>Agency Name:</t>
  </si>
  <si>
    <t>NCAS</t>
  </si>
  <si>
    <t>Amount</t>
  </si>
  <si>
    <t>GASB</t>
  </si>
  <si>
    <t>Carrying Value</t>
  </si>
  <si>
    <t>Bank</t>
  </si>
  <si>
    <t>Balance</t>
  </si>
  <si>
    <r>
      <t xml:space="preserve">NOTE:  An </t>
    </r>
    <r>
      <rPr>
        <u/>
        <sz val="10"/>
        <rFont val="Arial"/>
        <family val="2"/>
      </rPr>
      <t>in substance</t>
    </r>
    <r>
      <rPr>
        <sz val="10"/>
        <rFont val="Arial"/>
        <family val="2"/>
      </rPr>
      <t xml:space="preserve"> defeasance cannot apply to old debt with variable interest rates because of the uncertainty of future debt service requirements.</t>
    </r>
  </si>
  <si>
    <t>Assets:</t>
  </si>
  <si>
    <t>Liabilities:</t>
  </si>
  <si>
    <t>Operating revenues (pledged against bonds)</t>
  </si>
  <si>
    <t>Arbitrage rebate payable - current</t>
  </si>
  <si>
    <t>90</t>
  </si>
  <si>
    <t>General Fund - OSC</t>
  </si>
  <si>
    <t>General Fund - DOR</t>
  </si>
  <si>
    <t>99</t>
  </si>
  <si>
    <t>Revenue bonds</t>
  </si>
  <si>
    <t>Claims and benefits</t>
  </si>
  <si>
    <t>REPORTABLE SEGMENTS</t>
  </si>
  <si>
    <t>Co</t>
  </si>
  <si>
    <t>Southwestern Community College</t>
  </si>
  <si>
    <t>DF</t>
  </si>
  <si>
    <t>Stanly Community College</t>
  </si>
  <si>
    <t>DG</t>
  </si>
  <si>
    <t>Administrative Office of the Courts</t>
  </si>
  <si>
    <t>Office of the Governor</t>
  </si>
  <si>
    <t>Office of Lieutenant Governor</t>
  </si>
  <si>
    <t>Interest on long term debt</t>
  </si>
  <si>
    <t>Balance Sheet</t>
  </si>
  <si>
    <t>Insurance and bonding</t>
  </si>
  <si>
    <t>Total operating expenses</t>
  </si>
  <si>
    <t>Nonoperating Revenues (Expenses):</t>
  </si>
  <si>
    <t>Noncapital grant revenue</t>
  </si>
  <si>
    <t>Noncapital gifts, net</t>
  </si>
  <si>
    <t>Interest and fees expense</t>
  </si>
  <si>
    <t>Changes in Long-Term Liabilities and Short-Term Debt (Governmental)</t>
  </si>
  <si>
    <t>DEMAND  ACCOUNTS:</t>
  </si>
  <si>
    <t>(accrual basis)</t>
  </si>
  <si>
    <t>Total Contributions</t>
  </si>
  <si>
    <t>Employee</t>
  </si>
  <si>
    <t>Employer</t>
  </si>
  <si>
    <t>Covered Payroll</t>
  </si>
  <si>
    <t>Contributions</t>
  </si>
  <si>
    <t>Proprietary Funds, Agencies Not on NCAS Fixed Assets System, All Component Units</t>
  </si>
  <si>
    <t>Agreed</t>
  </si>
  <si>
    <t>Disagreed</t>
  </si>
  <si>
    <t>Response</t>
  </si>
  <si>
    <t>Foundation Name</t>
  </si>
  <si>
    <t>Phone #</t>
  </si>
  <si>
    <t>Held by</t>
  </si>
  <si>
    <t>Counterparty's Trust</t>
  </si>
  <si>
    <t>Dept. or Agent but</t>
  </si>
  <si>
    <t>Counterparty</t>
  </si>
  <si>
    <t>not in Agency's Name</t>
  </si>
  <si>
    <t>U.S. Treasuries</t>
  </si>
  <si>
    <t>(i.e., debt defeased during the current fiscal year and removed from your books as a liability)</t>
  </si>
  <si>
    <t>and interest payments to bond holders.</t>
  </si>
  <si>
    <t>average maturity of all of the debt investment maturities in the fund's</t>
  </si>
  <si>
    <t>Higher education</t>
  </si>
  <si>
    <t>Restricted due from State of NC component units</t>
  </si>
  <si>
    <t>Schedule of Due from / Restricted Due From  State of NC Component Units</t>
  </si>
  <si>
    <t xml:space="preserve">  Asset-backed securities</t>
  </si>
  <si>
    <t xml:space="preserve">  Repurchase agreements</t>
  </si>
  <si>
    <t xml:space="preserve">  Mortgage pass throughs</t>
  </si>
  <si>
    <t xml:space="preserve">  Collateralized mortgage obligations</t>
  </si>
  <si>
    <t xml:space="preserve">  U.S. government and agency securities</t>
  </si>
  <si>
    <t xml:space="preserve">  Government bonds</t>
  </si>
  <si>
    <t xml:space="preserve">   Mortgage pass throughs</t>
  </si>
  <si>
    <t xml:space="preserve">   Collateralized mortgage obligations</t>
  </si>
  <si>
    <t xml:space="preserve">Pooled investments </t>
  </si>
  <si>
    <t>Restricted pooled investments</t>
  </si>
  <si>
    <t xml:space="preserve">Row B (Revenues) less Row C (Direct Operating Expenses) = Row D </t>
  </si>
  <si>
    <t>Pollution remediation payable</t>
  </si>
  <si>
    <t>an explanation for the difference.</t>
  </si>
  <si>
    <t>GASB Statement 49 requires certain disclosures about an agency's obligation to remedy pollution.  The required</t>
  </si>
  <si>
    <t>Disclosures:</t>
  </si>
  <si>
    <t>To acquire capital assets that can be used for other purposes after the remediation is complete.</t>
  </si>
  <si>
    <t>d.</t>
  </si>
  <si>
    <t>reported as an impairment of one of its capital assets.</t>
  </si>
  <si>
    <t>To perform remediation to restore a pollution-caused decline in service utility that the government</t>
  </si>
  <si>
    <t>place within a reasonable time after the purchase.</t>
  </si>
  <si>
    <t>that the government expected to remediate.  Costs should be capitalized only if the outlays take</t>
  </si>
  <si>
    <t>To prepare property for use when that property was acquired with known or suspected pollution</t>
  </si>
  <si>
    <t>before the sale.</t>
  </si>
  <si>
    <t xml:space="preserve">To prepare property in anticipation of a sale if the outlays take place within a reasonable time </t>
  </si>
  <si>
    <t>Capitalization Criteria (indicate with an "X" each that applies):</t>
  </si>
  <si>
    <t>(Note: The occurrence of an obligating event is an absolute precondition for recognizing a pollution remediation liability.)</t>
  </si>
  <si>
    <t>complete.</t>
  </si>
  <si>
    <t>should be limited to the activities begun, or to those that the government is legally required to</t>
  </si>
  <si>
    <t>relative to the entire site, the activities that the government should measure and recognize</t>
  </si>
  <si>
    <t>activities. If these activities are begun voluntarily and no other obligating event has occurred</t>
  </si>
  <si>
    <t>The government begins remediation activities or legally commits itself to conduct remediation</t>
  </si>
  <si>
    <t>e.</t>
  </si>
  <si>
    <t>the government to participate in remediation activities.</t>
  </si>
  <si>
    <t>The government is, or evidence indicates that it will be, named, in a lawsuit that would require</t>
  </si>
  <si>
    <t xml:space="preserve">or as a government responsible for sharing costs.  </t>
  </si>
  <si>
    <t>party or potentially responsible party for remediation (e.g., under Superfund or similar State law),</t>
  </si>
  <si>
    <t>The government is, or evidence indicates that it will be, named, by a regulator as a responsible</t>
  </si>
  <si>
    <t xml:space="preserve"> federal and state permits.</t>
  </si>
  <si>
    <t xml:space="preserve">The government is in violation of a pollution prevention–related permit or license. This includes </t>
  </si>
  <si>
    <t>but to take action.</t>
  </si>
  <si>
    <t>danger to public health or welfare or the environment.  The government has little or no choice</t>
  </si>
  <si>
    <t>The government is compelled to take remediation action because the pollution is an imminent</t>
  </si>
  <si>
    <t>Obligating Events (indicate with an "X" each that applies):</t>
  </si>
  <si>
    <t>Do the "Reasonably estimable outlays" above include any indirect outlays (Indicate with an "X")?</t>
  </si>
  <si>
    <t>acknowledgment or recognition by the third party of its responsibility. Exclude grants and other nonexchange transactions.</t>
  </si>
  <si>
    <t>Include expected recoveries from other responsible parties and insurers that are not yet realizable.  A realized/realizable recovery involves the</t>
  </si>
  <si>
    <t>(must agree to worksheet 305/310)</t>
  </si>
  <si>
    <t>Pollution remediation liability</t>
  </si>
  <si>
    <t>(enter as negative)</t>
  </si>
  <si>
    <r>
      <t>Less: Expected recoveries - not yet realizable</t>
    </r>
    <r>
      <rPr>
        <vertAlign val="superscript"/>
        <sz val="10"/>
        <rFont val="Arial"/>
        <family val="2"/>
      </rPr>
      <t xml:space="preserve"> (1)</t>
    </r>
  </si>
  <si>
    <t>(based on current value and expected cash flows)</t>
  </si>
  <si>
    <t>Reasonably estimable outlays</t>
  </si>
  <si>
    <t>Pollution Remediation Liability (accrual basis):</t>
  </si>
  <si>
    <t>GASB Statement 49 establishes accounting and financial reporting standards for pollution remediation obligations.</t>
  </si>
  <si>
    <t>Pollution Remediation Obligations</t>
  </si>
  <si>
    <t>Acquisition/construction of government's own capital assets</t>
  </si>
  <si>
    <t>Debt covenants</t>
  </si>
  <si>
    <t>Temporarily invested debt proceeds</t>
  </si>
  <si>
    <t>Nonexpendable resources of permanent funds</t>
  </si>
  <si>
    <t xml:space="preserve">     that cannot be used to pay other current liabilities</t>
  </si>
  <si>
    <t>Agencies :</t>
  </si>
  <si>
    <t>Pooled Investments</t>
  </si>
  <si>
    <r>
      <t>Receivables</t>
    </r>
    <r>
      <rPr>
        <i/>
        <sz val="10"/>
        <rFont val="Arial"/>
        <family val="2"/>
      </rPr>
      <t xml:space="preserve"> (list type of receivable)</t>
    </r>
    <r>
      <rPr>
        <b/>
        <sz val="10"/>
        <rFont val="Arial"/>
        <family val="2"/>
      </rPr>
      <t>:</t>
    </r>
  </si>
  <si>
    <t>cash and investments normally are classified as current assets and a normal understanding of these assets presume that restrictions do not limit the</t>
  </si>
  <si>
    <t>government's ability to use the resources to pay current liabilities.  However, the following resources are not available for the current operations and should be</t>
  </si>
  <si>
    <t>reported as restricted assets:</t>
  </si>
  <si>
    <t>NA for Proprietary Funds and Component Units</t>
  </si>
  <si>
    <t>Refer to the Restricted Assets Policy for further guidance.</t>
  </si>
  <si>
    <t>Restricted assets should be reported when restrictions on asset use change the nature or normal understanding of the availability of the asset.  For example,</t>
  </si>
  <si>
    <t>UNC School of the Arts</t>
  </si>
  <si>
    <t>North Carolina A&amp;T University</t>
  </si>
  <si>
    <t>NC School of Science &amp; Mathematics</t>
  </si>
  <si>
    <t>DSS</t>
  </si>
  <si>
    <t>Notes:</t>
  </si>
  <si>
    <t>R, N</t>
  </si>
  <si>
    <t>R = Must also complete Restatements w/s 430 for any prior year adjustment on this worksheet</t>
  </si>
  <si>
    <t>Imposed law through constitutional provisions (e.g., State Constitution).</t>
  </si>
  <si>
    <t xml:space="preserve">TOTAL </t>
  </si>
  <si>
    <t xml:space="preserve"> (See Instructions)</t>
  </si>
  <si>
    <t>Non-Current Assets: Restricted Investmts</t>
  </si>
  <si>
    <t>Pollution remediation payable - current</t>
  </si>
  <si>
    <t xml:space="preserve">Restricted pooled investments </t>
  </si>
  <si>
    <t>Pooled investments</t>
  </si>
  <si>
    <r>
      <rPr>
        <b/>
        <sz val="9"/>
        <rFont val="Arial"/>
        <family val="2"/>
      </rPr>
      <t>2</t>
    </r>
    <r>
      <rPr>
        <sz val="9"/>
        <rFont val="Arial"/>
        <family val="2"/>
      </rPr>
      <t>. Outstanding balance should equal amounts in column [E] on worksheet 305</t>
    </r>
  </si>
  <si>
    <t>1, 2</t>
  </si>
  <si>
    <t>Outstanding Payable balance at 6/30</t>
  </si>
  <si>
    <t>Limited obligation bonds</t>
  </si>
  <si>
    <t xml:space="preserve"> Limited Obligation Bonds Payable</t>
  </si>
  <si>
    <t xml:space="preserve">  Restricted Expendable:</t>
  </si>
  <si>
    <t>48C</t>
  </si>
  <si>
    <r>
      <rPr>
        <b/>
        <i/>
        <u/>
        <sz val="9.5"/>
        <rFont val="Arial"/>
        <family val="2"/>
      </rPr>
      <t>NOTE:</t>
    </r>
    <r>
      <rPr>
        <b/>
        <i/>
        <sz val="9.5"/>
        <rFont val="Arial"/>
        <family val="2"/>
      </rPr>
      <t xml:space="preserve">  GASB 14XX is excluded from this worksheet.  Only GASB 11XX, 12XX, 13XX and 15XX are pertinent to this worksheet.</t>
    </r>
  </si>
  <si>
    <t>Material Violations</t>
  </si>
  <si>
    <t>Date</t>
  </si>
  <si>
    <t>From *</t>
  </si>
  <si>
    <t>To *</t>
  </si>
  <si>
    <t>Chatham Hospital</t>
  </si>
  <si>
    <t>Z2</t>
  </si>
  <si>
    <t>NC Biotechnology Center</t>
  </si>
  <si>
    <t xml:space="preserve">Restricted Assets  </t>
  </si>
  <si>
    <t>If YES, disclose the outstanding balance at year-end:</t>
  </si>
  <si>
    <t>(Note: Only exception is for demand bonds classified as due within one year.)</t>
  </si>
  <si>
    <r>
      <t xml:space="preserve"> GARVEE Bonds</t>
    </r>
    <r>
      <rPr>
        <sz val="9"/>
        <rFont val="Arial"/>
        <family val="2"/>
      </rPr>
      <t xml:space="preserve"> (N/A for Component Units)</t>
    </r>
  </si>
  <si>
    <t>Has your agency issued any "Build America Bonds" that are included in the annual debt service</t>
  </si>
  <si>
    <r>
      <rPr>
        <sz val="10"/>
        <rFont val="Arial"/>
        <family val="2"/>
      </rPr>
      <t xml:space="preserve">requirements above? </t>
    </r>
    <r>
      <rPr>
        <i/>
        <sz val="10"/>
        <rFont val="Arial"/>
        <family val="2"/>
      </rPr>
      <t>(Note: authorized by Recovery Act)</t>
    </r>
  </si>
  <si>
    <t>For variable-rate debt and "Build America Bonds", see instructions.</t>
  </si>
  <si>
    <t>If NO, indicate reason:</t>
  </si>
  <si>
    <t>(Note: authorized by Recovery Act)</t>
  </si>
  <si>
    <t>Governmental Funds:</t>
  </si>
  <si>
    <t>Business-type Activity:</t>
  </si>
  <si>
    <t>GASB 5100</t>
  </si>
  <si>
    <t xml:space="preserve">Capital   </t>
  </si>
  <si>
    <t>Transactions</t>
  </si>
  <si>
    <t>For governmental funds, General Long Term Debt should tie back to worksheet 305 Prior Year Adjustments column for GASB 5200.</t>
  </si>
  <si>
    <t>Stewardship, Compliance, and Accountability</t>
  </si>
  <si>
    <t>If "YES", disclose the outstanding balance of BABs at year-end:</t>
  </si>
  <si>
    <t>Has your agency issued any "Build America Bonds" (BABs) that are included in the annual debt service requirements above?</t>
  </si>
  <si>
    <t>1.  Land  and permanent easements</t>
  </si>
  <si>
    <t>3a. Computer software in development</t>
  </si>
  <si>
    <t>3b. Patents in development</t>
  </si>
  <si>
    <t xml:space="preserve">9. Computer software   </t>
  </si>
  <si>
    <t xml:space="preserve">10.Patents  </t>
  </si>
  <si>
    <t>9. Computer software</t>
  </si>
  <si>
    <t>10.Patents</t>
  </si>
  <si>
    <t>Universities and Hospitals:</t>
  </si>
  <si>
    <t>State aid - program</t>
  </si>
  <si>
    <t>State aid - general</t>
  </si>
  <si>
    <t>N, R</t>
  </si>
  <si>
    <t>and Current year Principal and Interest (X) respectively.</t>
  </si>
  <si>
    <t>Balances</t>
  </si>
  <si>
    <t>capitalized?</t>
  </si>
  <si>
    <t>Do you have any artwork, historical treasures, or artifacts that are not</t>
  </si>
  <si>
    <t>Hedging derivatives</t>
  </si>
  <si>
    <t>Hedging derivatives liability</t>
  </si>
  <si>
    <t>Do you use the above thresholds to capitalize capital assets?</t>
  </si>
  <si>
    <t>The OSC capitalization thresholds are as follows: Internally generated computer software – $ 1 million;</t>
  </si>
  <si>
    <r>
      <t>If NO</t>
    </r>
    <r>
      <rPr>
        <sz val="9"/>
        <rFont val="Arial"/>
        <family val="2"/>
      </rPr>
      <t>, state your threshold amount(s).</t>
    </r>
  </si>
  <si>
    <t>Government Wide - Debt Issuances</t>
  </si>
  <si>
    <t>Reference</t>
  </si>
  <si>
    <t>Derivative Instruments</t>
  </si>
  <si>
    <t>Notional</t>
  </si>
  <si>
    <t>Changes</t>
  </si>
  <si>
    <t>Pay-fixed interest rate swaps</t>
  </si>
  <si>
    <t>Hedging Derivative Instruments</t>
  </si>
  <si>
    <t>Effective</t>
  </si>
  <si>
    <t>Maturity</t>
  </si>
  <si>
    <t>Terms</t>
  </si>
  <si>
    <t>(i.e., reference rates)</t>
  </si>
  <si>
    <t>Cash flow: Pay-fixed interest rate swap</t>
  </si>
  <si>
    <t>H1</t>
  </si>
  <si>
    <t>H2</t>
  </si>
  <si>
    <t>H3</t>
  </si>
  <si>
    <t>H4</t>
  </si>
  <si>
    <t>H5</t>
  </si>
  <si>
    <t>H6</t>
  </si>
  <si>
    <t>Evaluating Hedge Effectiveness</t>
  </si>
  <si>
    <t>Line Number(s)</t>
  </si>
  <si>
    <t>Method Used</t>
  </si>
  <si>
    <t>Consistent critical terms method</t>
  </si>
  <si>
    <t>Quantitative methods:</t>
  </si>
  <si>
    <t>Synthetic instrument method</t>
  </si>
  <si>
    <t>Dollar-offset method</t>
  </si>
  <si>
    <t>Regression analysis method</t>
  </si>
  <si>
    <t>Associated</t>
  </si>
  <si>
    <t>Fair</t>
  </si>
  <si>
    <t>Collateral</t>
  </si>
  <si>
    <r>
      <t xml:space="preserve">  Credit Ratings </t>
    </r>
    <r>
      <rPr>
        <vertAlign val="superscript"/>
        <sz val="10"/>
        <rFont val="Arial"/>
        <family val="2"/>
      </rPr>
      <t>(3)</t>
    </r>
  </si>
  <si>
    <t>Bond Issue</t>
  </si>
  <si>
    <r>
      <t xml:space="preserve">   Value </t>
    </r>
    <r>
      <rPr>
        <vertAlign val="superscript"/>
        <sz val="10"/>
        <rFont val="Arial"/>
        <family val="2"/>
      </rPr>
      <t>(1)</t>
    </r>
  </si>
  <si>
    <t>Held</t>
  </si>
  <si>
    <t>S&amp;P/Fitch</t>
  </si>
  <si>
    <t>Less:  Total Collateral Held (calculated)</t>
  </si>
  <si>
    <r>
      <t xml:space="preserve">Less:  Netting Arrangement Liability – By Counterparty </t>
    </r>
    <r>
      <rPr>
        <vertAlign val="superscript"/>
        <sz val="10"/>
        <rFont val="Arial"/>
        <family val="2"/>
      </rPr>
      <t>(2)</t>
    </r>
  </si>
  <si>
    <t>Net Exposure to Credit Risk</t>
  </si>
  <si>
    <t>(2)</t>
  </si>
  <si>
    <t>This line applies if the following conditions are met: (a) the government has a policy to enter into netting arrangements whenever it has entered into more than one hedging derivative</t>
  </si>
  <si>
    <t>transaction with the same counterparty, (b) each party owes the other determinable amounts, (c) the government has the right to set off the amount owed by the counterparty, and</t>
  </si>
  <si>
    <t>(d) the right of setoff is legally enforceable.  The "Netting Arrangement Liability" for each counterparty should be reported on separate lines.</t>
  </si>
  <si>
    <t>(3)</t>
  </si>
  <si>
    <t>If the counterparty is not rated, indicate "Unrated".</t>
  </si>
  <si>
    <t>Investment Derivative Instruments</t>
  </si>
  <si>
    <t>rise to financial loss: (a) credit risk, (b) interest rate risk, and (c) foreign currency risk.</t>
  </si>
  <si>
    <t>This line applies if the following conditions are met: (a) the government has a policy to enter into netting arrangements whenever it has entered into more than one investment derivative</t>
  </si>
  <si>
    <t>Select Type (Click here)</t>
  </si>
  <si>
    <t>manually deleted ref error.</t>
  </si>
  <si>
    <t>48T</t>
  </si>
  <si>
    <t xml:space="preserve">Hedging Derivative Instruments </t>
  </si>
  <si>
    <t xml:space="preserve">  Non-State Treasurer pooled investments</t>
  </si>
  <si>
    <t>Obligations under securities lending</t>
  </si>
  <si>
    <t>Securities lending collateral</t>
  </si>
  <si>
    <t xml:space="preserve">  Non-State Treasurer pooled  investments</t>
  </si>
  <si>
    <t>U.S. dollar equity futures</t>
  </si>
  <si>
    <t>Foreign equity futures</t>
  </si>
  <si>
    <t>Land and permanent easements</t>
  </si>
  <si>
    <t>Art, literature and artifacts, nondepreciable</t>
  </si>
  <si>
    <t>Construction in progress</t>
  </si>
  <si>
    <t>Patents in development</t>
  </si>
  <si>
    <t>Machinery and equipment</t>
  </si>
  <si>
    <t>General infrastructure</t>
  </si>
  <si>
    <t>Patents</t>
  </si>
  <si>
    <t>Capital assets, nondepreciable:</t>
  </si>
  <si>
    <t>Total capital assets - nondepreciable</t>
  </si>
  <si>
    <t>Total capital assets - depreciable, (net)</t>
  </si>
  <si>
    <t>Investment in joint venture</t>
  </si>
  <si>
    <t>Restricted Nonexpendable:</t>
  </si>
  <si>
    <t xml:space="preserve">Pooled cash </t>
  </si>
  <si>
    <t xml:space="preserve">Restricted pooled cash </t>
  </si>
  <si>
    <t xml:space="preserve">Securities lending collateral </t>
  </si>
  <si>
    <t xml:space="preserve">Restricted/designated pooled cash </t>
  </si>
  <si>
    <t>Short-term debt:</t>
  </si>
  <si>
    <t>Liability insurance trust fund payable</t>
  </si>
  <si>
    <t>Student tuition and fees, net</t>
  </si>
  <si>
    <t>Patient services, net</t>
  </si>
  <si>
    <t>Federal appropriations</t>
  </si>
  <si>
    <t>Scholarships and fellowships</t>
  </si>
  <si>
    <t>Other fixed charges</t>
  </si>
  <si>
    <t>Other expenses</t>
  </si>
  <si>
    <t>Federal interest subsidy on debt</t>
  </si>
  <si>
    <t>Additions to endowments</t>
  </si>
  <si>
    <t>University transfers</t>
  </si>
  <si>
    <t>UNC Hosp</t>
  </si>
  <si>
    <t>Liability Insurance</t>
  </si>
  <si>
    <t>Trust Fund</t>
  </si>
  <si>
    <t>FUND BALANCE CLASSIFICATIONS</t>
  </si>
  <si>
    <t>Fund Balance Reporting Policy</t>
  </si>
  <si>
    <t>Fund Balances:</t>
  </si>
  <si>
    <t>Nonspendable:</t>
  </si>
  <si>
    <t>Inventory of supplies (including postage) 116XXX accounts</t>
  </si>
  <si>
    <t>Long-term portion of notes receivable</t>
  </si>
  <si>
    <t>Committed to:</t>
  </si>
  <si>
    <t>Assigned to:</t>
  </si>
  <si>
    <t>Unassigned</t>
  </si>
  <si>
    <t>Externally imposed by creditors (e.g., debt covenants), grantors (federal, local, private, and pass-through grants that</t>
  </si>
  <si>
    <t>were originally from federal, local or private sector), contributors, or laws/regulations of other governments.</t>
  </si>
  <si>
    <t>Negative Unassigned</t>
  </si>
  <si>
    <t>If "negative unassigned" fund balance is reported, then an agency should not report any amounts as being "assigned" (see Fund Balance Reporting Policy).</t>
  </si>
  <si>
    <t>Permanent corpus - Restricted</t>
  </si>
  <si>
    <t>Certified by</t>
  </si>
  <si>
    <t xml:space="preserve">State aid - general </t>
  </si>
  <si>
    <t>Number of medical school buildings - East Carolina Only</t>
  </si>
  <si>
    <t>University system hospitals (UNC HealthCare)</t>
  </si>
  <si>
    <t>Restricted Investments</t>
  </si>
  <si>
    <t>Federal unemployment a/c advances</t>
  </si>
  <si>
    <t>CHANGES IN LONG-TERM LIABILITIES AND SHORT-TERM DEBT (310)</t>
  </si>
  <si>
    <t>NCAS agencies only; NA for offline using 905 template</t>
  </si>
  <si>
    <t>905Hosp</t>
  </si>
  <si>
    <t>Agency No.</t>
  </si>
  <si>
    <t>48X</t>
  </si>
  <si>
    <t>263X</t>
  </si>
  <si>
    <t>Triangle Physicians Network</t>
  </si>
  <si>
    <t>Grants, state aid &amp; subsidies</t>
  </si>
  <si>
    <t>263X&amp;4XXX</t>
  </si>
  <si>
    <t>Agency 
Number</t>
  </si>
  <si>
    <t>Type of Agency**</t>
  </si>
  <si>
    <t>NCAS or Offline</t>
  </si>
  <si>
    <r>
      <t xml:space="preserve">Offline </t>
    </r>
    <r>
      <rPr>
        <b/>
        <sz val="14"/>
        <rFont val="Calibri"/>
        <family val="2"/>
      </rPr>
      <t>²</t>
    </r>
  </si>
  <si>
    <t>Nonmajor</t>
  </si>
  <si>
    <t xml:space="preserve">NC Office of the State Controller </t>
  </si>
  <si>
    <t>87</t>
  </si>
  <si>
    <t>48</t>
  </si>
  <si>
    <t>2631&amp;2634</t>
  </si>
  <si>
    <t>UNC Hlth Care Rep Unit (Combined Pkg)</t>
  </si>
  <si>
    <t>Enterprise Fund</t>
  </si>
  <si>
    <t>Rex</t>
  </si>
  <si>
    <t>Healthcare</t>
  </si>
  <si>
    <t>Hospital</t>
  </si>
  <si>
    <t>UNC Health Care</t>
  </si>
  <si>
    <t>Agency number</t>
  </si>
  <si>
    <t>Rep Unit Total</t>
  </si>
  <si>
    <t>NA - State Health Plan</t>
  </si>
  <si>
    <t>Due from State of NC component units (ws 525)</t>
  </si>
  <si>
    <t>Due from primary government (ws 515)</t>
  </si>
  <si>
    <t>Restricted due from State of NC component units (ws 525)</t>
  </si>
  <si>
    <t>Restricted due from primary government (ws 515)</t>
  </si>
  <si>
    <t>Land and permanent easements (ws 201)</t>
  </si>
  <si>
    <t>Art, literature and artifacts, nondepreciable (ws 201)</t>
  </si>
  <si>
    <t>Construction in progress (ws 201)</t>
  </si>
  <si>
    <t>Computer software in development (ws 201)</t>
  </si>
  <si>
    <t>Patents in development (ws 201)</t>
  </si>
  <si>
    <t>Buildings (ws 201)</t>
  </si>
  <si>
    <t>Machinery and equipment (ws 201)</t>
  </si>
  <si>
    <t>Art, literature and artifacts,depreciable (ws 201)</t>
  </si>
  <si>
    <t>General infrastructure (ws 201)</t>
  </si>
  <si>
    <t>Computer software (ws 201)</t>
  </si>
  <si>
    <t>Patents (ws 201)</t>
  </si>
  <si>
    <t>Commercial paper payable (ws 310)</t>
  </si>
  <si>
    <t>Bond anticipation notes payable (ws 310)</t>
  </si>
  <si>
    <t>Due to State of NC component units (ws 530)</t>
  </si>
  <si>
    <t>Due to primary government (ws 520)</t>
  </si>
  <si>
    <t>Bonds and similar debt payable, net-current (ws 310)</t>
  </si>
  <si>
    <t>Arbitrage rebate payable-current (ws 310)</t>
  </si>
  <si>
    <t>Annuity and life income payable-current (ws 310)</t>
  </si>
  <si>
    <t>Pollution remediation payable-current (ws 310)</t>
  </si>
  <si>
    <t>Liability Insurance trust fund payable-current (ws 310)</t>
  </si>
  <si>
    <t>Other long-term liabilities - current portion (ws 310)</t>
  </si>
  <si>
    <t>Advance from primary government (ws 535)</t>
  </si>
  <si>
    <t>Bonds and similar debt payable, net (ws 310)</t>
  </si>
  <si>
    <t>Arbitrage rebate payable (ws 310)</t>
  </si>
  <si>
    <t>Annuity and life income payable (ws 310)</t>
  </si>
  <si>
    <t>Pollution remediation payable (ws 310)</t>
  </si>
  <si>
    <t>Liability Insurance trust fund payable (ws 310)</t>
  </si>
  <si>
    <t>Other long-term liabilities (ws 310)</t>
  </si>
  <si>
    <t>University transfers (ws 565)</t>
  </si>
  <si>
    <t xml:space="preserve">Crossfoot </t>
  </si>
  <si>
    <t>Check</t>
  </si>
  <si>
    <t>CHANGES  IN  CAPITAL ASSETS (201)</t>
  </si>
  <si>
    <t>SCHEDULE OF DUE FROM / RESTRICTED DUE FROM PRIMARY GOVERNMENT (515)</t>
  </si>
  <si>
    <t>Due From Prim Gov</t>
  </si>
  <si>
    <t>SCHEDULE OF DUE TO PRIMARY GOVERNMENT (520)</t>
  </si>
  <si>
    <t>Due to Prim Gov</t>
  </si>
  <si>
    <t>Restricted Due From State of NC Comp Unit</t>
  </si>
  <si>
    <t>Due Fr St NC Comp Unit</t>
  </si>
  <si>
    <t>SCHEDULE OF DUE FROM / RESTRICTED DUE FROM STATE OF NC COMPONENT UNITS (525)</t>
  </si>
  <si>
    <t>SCHEDULE OF DUE TO STATE OF NC COMPONENT UNITS (530)</t>
  </si>
  <si>
    <t>Due to St  NC Comp Unit</t>
  </si>
  <si>
    <t>SCHEDULE OF ADVANCES (535)</t>
  </si>
  <si>
    <t>SCHEDULE OF INTERINSTITUTIONAL TRANSFERS (565)</t>
  </si>
  <si>
    <t>Due from agency/institution component units</t>
  </si>
  <si>
    <t>Restricted pooled cash</t>
  </si>
  <si>
    <t>Capital assets - nondepreciable:</t>
  </si>
  <si>
    <t>Computer software in deveopment</t>
  </si>
  <si>
    <t>Total capital assets, nondepreciable</t>
  </si>
  <si>
    <t>Capital assets - depreciable:</t>
  </si>
  <si>
    <t>Art, literature and artifacts, depreciable</t>
  </si>
  <si>
    <t xml:space="preserve">Computer software </t>
  </si>
  <si>
    <t>Accumulated depreciation</t>
  </si>
  <si>
    <t>Total Capital assets - depreciable, net</t>
  </si>
  <si>
    <t>Commercial paper payable</t>
  </si>
  <si>
    <t>Bond anticipation notes payable</t>
  </si>
  <si>
    <t>Due to agency/institution component units</t>
  </si>
  <si>
    <t>Bonds and similar debt payable, net - current</t>
  </si>
  <si>
    <t>Annuity and life income payable - current</t>
  </si>
  <si>
    <t>Liability insurance trust fund payable - current</t>
  </si>
  <si>
    <t>Other long-term liabilities - current</t>
  </si>
  <si>
    <t>Bonds and similar debt payable, net</t>
  </si>
  <si>
    <t>Other long-term liabilities</t>
  </si>
  <si>
    <t xml:space="preserve">   Restricted Nonexpendable:</t>
  </si>
  <si>
    <t>Federal  interest subsidy on debt</t>
  </si>
  <si>
    <t>7)</t>
  </si>
  <si>
    <t>R</t>
  </si>
  <si>
    <r>
      <rPr>
        <b/>
        <sz val="9"/>
        <rFont val="Arial"/>
        <family val="2"/>
      </rPr>
      <t>REPORTING ENTITY</t>
    </r>
    <r>
      <rPr>
        <sz val="9"/>
        <rFont val="Arial"/>
        <family val="2"/>
      </rPr>
      <t xml:space="preserve"> (Component Units Only)</t>
    </r>
  </si>
  <si>
    <t>If yes, disclose</t>
  </si>
  <si>
    <t>Do you charge other departments (through internal service funds or the general fund) for "centralized expenses"</t>
  </si>
  <si>
    <t>that include an administrative overhead component (in addition to direct expenses)?</t>
  </si>
  <si>
    <t>NC DOT Highway Network</t>
  </si>
  <si>
    <t>For 905 - NCAS Acct Roll-up</t>
  </si>
  <si>
    <t xml:space="preserve">For 905-NCAS Acct Roll-up </t>
  </si>
  <si>
    <t>Unamortized old debt premium</t>
  </si>
  <si>
    <r>
      <t xml:space="preserve">Unamortized old debt discount </t>
    </r>
    <r>
      <rPr>
        <sz val="8"/>
        <rFont val="Arial"/>
        <family val="2"/>
      </rPr>
      <t>(enter as negative)</t>
    </r>
  </si>
  <si>
    <r>
      <t xml:space="preserve">Deferred inflow of resources </t>
    </r>
    <r>
      <rPr>
        <sz val="8"/>
        <rFont val="Arial"/>
        <family val="2"/>
      </rPr>
      <t>(enter as positive)</t>
    </r>
  </si>
  <si>
    <r>
      <t xml:space="preserve">Deferred outflow of resources </t>
    </r>
    <r>
      <rPr>
        <sz val="8"/>
        <rFont val="Arial"/>
        <family val="2"/>
      </rPr>
      <t>(enter as negative)</t>
    </r>
  </si>
  <si>
    <t>910Hosp</t>
  </si>
  <si>
    <t xml:space="preserve">  Negotiable certificates of deposit</t>
  </si>
  <si>
    <t>risks that could give rise to financial loss: (a) credit risk, (b) interest rate risk, (c) basis risk, (d) termination risk, (e) rollover risk, (f) market-access risk, and</t>
  </si>
  <si>
    <t>DA100</t>
  </si>
  <si>
    <t>DA120</t>
  </si>
  <si>
    <t>DA140</t>
  </si>
  <si>
    <t>DA160</t>
  </si>
  <si>
    <t>DA180</t>
  </si>
  <si>
    <t>DA200</t>
  </si>
  <si>
    <t>DATot</t>
  </si>
  <si>
    <t>TA100</t>
  </si>
  <si>
    <t>TA120</t>
  </si>
  <si>
    <t>TA140</t>
  </si>
  <si>
    <t>TATot</t>
  </si>
  <si>
    <t>IC100</t>
  </si>
  <si>
    <t>IC120</t>
  </si>
  <si>
    <t>IC140</t>
  </si>
  <si>
    <t>IC160</t>
  </si>
  <si>
    <t>IC180</t>
  </si>
  <si>
    <t>IC200</t>
  </si>
  <si>
    <t>IC220</t>
  </si>
  <si>
    <t>IC240</t>
  </si>
  <si>
    <t>IC260</t>
  </si>
  <si>
    <t>IC300</t>
  </si>
  <si>
    <t>IC320</t>
  </si>
  <si>
    <t>IC340</t>
  </si>
  <si>
    <t>IC360</t>
  </si>
  <si>
    <t>IC380</t>
  </si>
  <si>
    <t>IC400</t>
  </si>
  <si>
    <t>IC420</t>
  </si>
  <si>
    <t>IN100</t>
  </si>
  <si>
    <t>IN160</t>
  </si>
  <si>
    <t>IN180</t>
  </si>
  <si>
    <t>IN200</t>
  </si>
  <si>
    <t>IN220</t>
  </si>
  <si>
    <t>IN240</t>
  </si>
  <si>
    <t>IN260</t>
  </si>
  <si>
    <t>IN280</t>
  </si>
  <si>
    <t>IN300</t>
  </si>
  <si>
    <t>IN320</t>
  </si>
  <si>
    <t>IN340</t>
  </si>
  <si>
    <t>IN360</t>
  </si>
  <si>
    <t>IN380</t>
  </si>
  <si>
    <t>IN400</t>
  </si>
  <si>
    <t>IN420</t>
  </si>
  <si>
    <t>IN460</t>
  </si>
  <si>
    <t>IN480</t>
  </si>
  <si>
    <t>IN500</t>
  </si>
  <si>
    <t>IN520</t>
  </si>
  <si>
    <t>HOSTTotal</t>
  </si>
  <si>
    <t>CD100</t>
  </si>
  <si>
    <t>CD120</t>
  </si>
  <si>
    <t>DA220</t>
  </si>
  <si>
    <t>DA240</t>
  </si>
  <si>
    <t>DA260</t>
  </si>
  <si>
    <t>DA320</t>
  </si>
  <si>
    <t>TA160</t>
  </si>
  <si>
    <t>TA180</t>
  </si>
  <si>
    <t>TA200</t>
  </si>
  <si>
    <t>CD140</t>
  </si>
  <si>
    <t>CD160</t>
  </si>
  <si>
    <t>CD180</t>
  </si>
  <si>
    <t>CD200</t>
  </si>
  <si>
    <t>CD220</t>
  </si>
  <si>
    <t>CD240</t>
  </si>
  <si>
    <t>CD260</t>
  </si>
  <si>
    <t>CD280</t>
  </si>
  <si>
    <t>CD300</t>
  </si>
  <si>
    <t>CDTotal</t>
  </si>
  <si>
    <t>BIC100</t>
  </si>
  <si>
    <t>BIC120</t>
  </si>
  <si>
    <t>BIC140</t>
  </si>
  <si>
    <t>BICTotal</t>
  </si>
  <si>
    <t>TotalTDCDBIC</t>
  </si>
  <si>
    <t>SIRR100</t>
  </si>
  <si>
    <t>SIRR120</t>
  </si>
  <si>
    <t>SIRR140</t>
  </si>
  <si>
    <t>SIRR160</t>
  </si>
  <si>
    <t>SIRR180</t>
  </si>
  <si>
    <t>SIRR200</t>
  </si>
  <si>
    <t>SIRR220</t>
  </si>
  <si>
    <t>SIRR240</t>
  </si>
  <si>
    <t>SIRR260</t>
  </si>
  <si>
    <t>SIRR300</t>
  </si>
  <si>
    <t>SIRR320</t>
  </si>
  <si>
    <t>SIRR340</t>
  </si>
  <si>
    <t>SIRR360</t>
  </si>
  <si>
    <t>SIRR380</t>
  </si>
  <si>
    <t>SIRR400</t>
  </si>
  <si>
    <t>SIRR420</t>
  </si>
  <si>
    <t>SIRR440</t>
  </si>
  <si>
    <t>SIRR460</t>
  </si>
  <si>
    <t>NSIRR100</t>
  </si>
  <si>
    <t>NSIRR160</t>
  </si>
  <si>
    <t>NSIRR180</t>
  </si>
  <si>
    <t>NSIRR200</t>
  </si>
  <si>
    <t>NSIRR220</t>
  </si>
  <si>
    <t>NSIRR240</t>
  </si>
  <si>
    <t>NSIRR260</t>
  </si>
  <si>
    <t>NSIRR280</t>
  </si>
  <si>
    <t>NSIRR300</t>
  </si>
  <si>
    <t>NSIRR320</t>
  </si>
  <si>
    <t>NSIRR340</t>
  </si>
  <si>
    <t>NSIRR380</t>
  </si>
  <si>
    <t>NSIRR400</t>
  </si>
  <si>
    <t>NSIRR420</t>
  </si>
  <si>
    <t>NSIRR440</t>
  </si>
  <si>
    <t>NSIRR460</t>
  </si>
  <si>
    <t>Out of</t>
  </si>
  <si>
    <t>Other A:</t>
  </si>
  <si>
    <t>Other B:</t>
  </si>
  <si>
    <t>Other C:</t>
  </si>
  <si>
    <t>Other D:</t>
  </si>
  <si>
    <t>NSIRR480</t>
  </si>
  <si>
    <t>NSIRR500</t>
  </si>
  <si>
    <t>Out of Balance</t>
  </si>
  <si>
    <t xml:space="preserve">  Pooled debt funds</t>
  </si>
  <si>
    <t>Offline Proprietary Analytical Review for UNC Health Care Rep Unit Combined Pkg- Computed Variances</t>
  </si>
  <si>
    <t xml:space="preserve">Total Categorized </t>
  </si>
  <si>
    <t xml:space="preserve">State Treasurer </t>
  </si>
  <si>
    <t>Less than Investment Grade</t>
  </si>
  <si>
    <t>Only Applicable if the Lowest Ratings are not Already Disclosed Above :</t>
  </si>
  <si>
    <t xml:space="preserve">Investments Held Outside the State Treasurer - Credit Risk </t>
  </si>
  <si>
    <t xml:space="preserve">Exempt from credit quality </t>
  </si>
  <si>
    <t>ZL</t>
  </si>
  <si>
    <t>Gateway University Research Park, Inc.</t>
  </si>
  <si>
    <t xml:space="preserve">  Unallocated insurance contracts</t>
  </si>
  <si>
    <t xml:space="preserve">  Synthetic guaranteed investment contracts</t>
  </si>
  <si>
    <t>NSIRR365</t>
  </si>
  <si>
    <t>IN445</t>
  </si>
  <si>
    <t>Instructions</t>
  </si>
  <si>
    <t>–</t>
  </si>
  <si>
    <t xml:space="preserve">cells in order for the formulas to calculate properly. </t>
  </si>
  <si>
    <t>Except as noted otherwise, numbers that are to be subtracted should be entered as negative numbers in the</t>
  </si>
  <si>
    <t>negative numbers.</t>
  </si>
  <si>
    <t>operating statement, in the "Nonoperating Revenues (Expenses)" section, key nonoperating expenses as</t>
  </si>
  <si>
    <t xml:space="preserve">your opinion and appreciate your feedback.  Thanks! </t>
  </si>
  <si>
    <t>Please give us your comments and suggestions on the Comments page at the end of the package.  We value</t>
  </si>
  <si>
    <t xml:space="preserve">copy of the worksheet with the very same formatting as the original.  The duplicated worksheet will have the </t>
  </si>
  <si>
    <t>Index Instructions</t>
  </si>
  <si>
    <t>To go directly to a specific worksheet, click on the corresponding link on the index. To return to the Index</t>
  </si>
  <si>
    <t>Shaded, grayed-out boxes in the "NA Excel" column indicate mandatory worksheets that must be completed.</t>
  </si>
  <si>
    <t>same name on the tab, plus a (2), (3), etc., for example 320 (2).</t>
  </si>
  <si>
    <t>Please DO NOT insert a new sheet and then copy from another worksheet to the new sheet; this will not</t>
  </si>
  <si>
    <t>produce a correct copy. Call your OSC analyst for assistance.</t>
  </si>
  <si>
    <r>
      <t xml:space="preserve">Right click on the tab of the sheet you wish to copy, then select </t>
    </r>
    <r>
      <rPr>
        <u/>
        <sz val="10.5"/>
        <rFont val="Times New Roman"/>
        <family val="1"/>
      </rPr>
      <t>Move or Copy…</t>
    </r>
    <r>
      <rPr>
        <sz val="10.5"/>
        <rFont val="Times New Roman"/>
        <family val="1"/>
      </rPr>
      <t xml:space="preserve">, click </t>
    </r>
    <r>
      <rPr>
        <u/>
        <sz val="10.5"/>
        <rFont val="Times New Roman"/>
        <family val="1"/>
      </rPr>
      <t>Create a copy</t>
    </r>
    <r>
      <rPr>
        <sz val="10.5"/>
        <rFont val="Times New Roman"/>
        <family val="1"/>
      </rPr>
      <t xml:space="preserve">, then </t>
    </r>
  </si>
  <si>
    <r>
      <rPr>
        <sz val="10.5"/>
        <rFont val="Times New Roman"/>
        <family val="1"/>
      </rPr>
      <t xml:space="preserve">select from the list </t>
    </r>
    <r>
      <rPr>
        <u/>
        <sz val="10.5"/>
        <rFont val="Times New Roman"/>
        <family val="1"/>
      </rPr>
      <t>Before sheet</t>
    </r>
    <r>
      <rPr>
        <sz val="10.5"/>
        <rFont val="Times New Roman"/>
        <family val="1"/>
      </rPr>
      <t xml:space="preserve"> to indicate where you want the copy placed, then click </t>
    </r>
    <r>
      <rPr>
        <u/>
        <sz val="10.5"/>
        <rFont val="Times New Roman"/>
        <family val="1"/>
      </rPr>
      <t>OK</t>
    </r>
    <r>
      <rPr>
        <sz val="10.5"/>
        <rFont val="Times New Roman"/>
        <family val="1"/>
      </rPr>
      <t>. This will create a</t>
    </r>
  </si>
  <si>
    <t>Disclosure of Pledged Revenues (Narrative Only)</t>
  </si>
  <si>
    <t>Demand Bonds (Narrative Only)</t>
  </si>
  <si>
    <t>Investments Held Outside the State Treasurer - Highly Sensitive Investments (Narrative Only)</t>
  </si>
  <si>
    <t>Cost settlement payable</t>
  </si>
  <si>
    <r>
      <t>Other (</t>
    </r>
    <r>
      <rPr>
        <sz val="10"/>
        <rFont val="Arial Narrow"/>
        <family val="2"/>
      </rPr>
      <t>describe in "Explanations" tab</t>
    </r>
    <r>
      <rPr>
        <sz val="10"/>
        <rFont val="Arial"/>
        <family val="2"/>
      </rPr>
      <t>)</t>
    </r>
  </si>
  <si>
    <t>Exchange-</t>
  </si>
  <si>
    <t>Commodity futures</t>
  </si>
  <si>
    <t>Indicate either "Y" or "N". The credit risk</t>
  </si>
  <si>
    <t xml:space="preserve">disclosures on Worksheets 341 &amp; 342 </t>
  </si>
  <si>
    <t>Investment Type (Per 710)</t>
  </si>
  <si>
    <t>Description (if necessary)</t>
  </si>
  <si>
    <t>Functional Table to be used for Fund Balance worksheets 401, 405, 410, and 415</t>
  </si>
  <si>
    <t>Governmental</t>
  </si>
  <si>
    <t>Business-type</t>
  </si>
  <si>
    <t>Activities</t>
  </si>
  <si>
    <t>for Fiscal Year</t>
  </si>
  <si>
    <t>VARIABLE RATE DEBT</t>
  </si>
  <si>
    <t>(State Treasurer, DOT, and NC Turnpike Authority Only)</t>
  </si>
  <si>
    <t>Related Party Transactions (Narrative Only)</t>
  </si>
  <si>
    <t>Less: Amount Representing Interest</t>
  </si>
  <si>
    <t>– Report leases in Enterprise Funds (GASB 25XX) and Universities (GASB 4XXX) under Business-Type Activities.</t>
  </si>
  <si>
    <t xml:space="preserve">  NOTE:</t>
  </si>
  <si>
    <t>Committed:</t>
  </si>
  <si>
    <t>Assigned</t>
  </si>
  <si>
    <t>Subsequent year's budget (OSC only)</t>
  </si>
  <si>
    <t>CLGA</t>
  </si>
  <si>
    <t>CLBTA</t>
  </si>
  <si>
    <t>(H1 thru H6)</t>
  </si>
  <si>
    <t>Carrying</t>
  </si>
  <si>
    <t>Value</t>
  </si>
  <si>
    <t>Permanent corpus - revolving loans</t>
  </si>
  <si>
    <t>Notes receivable and other corpus restricted to revolving loans.</t>
  </si>
  <si>
    <t>Accumulated depreciation (ws 210)</t>
  </si>
  <si>
    <t>From 905 Tab</t>
  </si>
  <si>
    <t>From PriorYr905 tab</t>
  </si>
  <si>
    <t>From PriorYr906 tab</t>
  </si>
  <si>
    <t>Z3F</t>
  </si>
  <si>
    <t>NC Global TransPark Authority Foundation</t>
  </si>
  <si>
    <t>Although part of UNC System, NCSSM is a primary NCAS agency that will continue using DSS.</t>
  </si>
  <si>
    <t>The Global TransPark Foundation is a component unit of Global TransPark; it is remaining offline.</t>
  </si>
  <si>
    <t>Purpose/Directions  - For OSC use only:</t>
  </si>
  <si>
    <t>To update all dates in workbook, enter the above dates.  This Data</t>
  </si>
  <si>
    <t>tab is the starting point and source for all dates in the workbook.</t>
  </si>
  <si>
    <t>Agency Number</t>
  </si>
  <si>
    <t>Agency Name</t>
  </si>
  <si>
    <t>UNC-Hosp</t>
  </si>
  <si>
    <t>Enterprise</t>
  </si>
  <si>
    <t>Chatham</t>
  </si>
  <si>
    <t>UNC-</t>
  </si>
  <si>
    <t>Chapel Hill</t>
  </si>
  <si>
    <t>NC State</t>
  </si>
  <si>
    <t>Greensboro</t>
  </si>
  <si>
    <t>Charlotte</t>
  </si>
  <si>
    <t>Asheville</t>
  </si>
  <si>
    <t>Wilmington</t>
  </si>
  <si>
    <t xml:space="preserve">East </t>
  </si>
  <si>
    <t>NC A&amp;T</t>
  </si>
  <si>
    <t>State Univ</t>
  </si>
  <si>
    <t>Western</t>
  </si>
  <si>
    <t>Appalachian</t>
  </si>
  <si>
    <t>Carolina Univ</t>
  </si>
  <si>
    <t>Pembroke</t>
  </si>
  <si>
    <t>Winston-Salem</t>
  </si>
  <si>
    <t>Fayetteville</t>
  </si>
  <si>
    <t>NC Central</t>
  </si>
  <si>
    <t>UNC School</t>
  </si>
  <si>
    <t>of the Arts</t>
  </si>
  <si>
    <t>USS NC</t>
  </si>
  <si>
    <t>Battleship Comm</t>
  </si>
  <si>
    <t>Reporting  Unit</t>
  </si>
  <si>
    <t>19</t>
  </si>
  <si>
    <t>Dept. of Public Safety</t>
  </si>
  <si>
    <t>Research Park</t>
  </si>
  <si>
    <t>Gateway University</t>
  </si>
  <si>
    <t>UNC-General</t>
  </si>
  <si>
    <t>Admininistration</t>
  </si>
  <si>
    <t>Network</t>
  </si>
  <si>
    <t>Elizabeth City</t>
  </si>
  <si>
    <t>Liab Ins Trust Fund</t>
  </si>
  <si>
    <t>u10</t>
  </si>
  <si>
    <t>u20</t>
  </si>
  <si>
    <t>u75</t>
  </si>
  <si>
    <t>u80</t>
  </si>
  <si>
    <t>u82</t>
  </si>
  <si>
    <t>u84</t>
  </si>
  <si>
    <t>u86</t>
  </si>
  <si>
    <t>u88</t>
  </si>
  <si>
    <t>u90</t>
  </si>
  <si>
    <t>u92</t>
  </si>
  <si>
    <t>Student Loan Principal Collections</t>
  </si>
  <si>
    <t>Net inc(dec) in FV of Investments</t>
  </si>
  <si>
    <t>190</t>
  </si>
  <si>
    <t>1325</t>
  </si>
  <si>
    <t>1326</t>
  </si>
  <si>
    <t>Other intangible assets, nondepreciable</t>
  </si>
  <si>
    <t>Other intangible assets, depreciable</t>
  </si>
  <si>
    <t>Other intangible assets, nondepreciable (ws 201)</t>
  </si>
  <si>
    <t>Other intangible assets, depreciable (ws 201)</t>
  </si>
  <si>
    <t xml:space="preserve">Hospitals </t>
  </si>
  <si>
    <r>
      <t xml:space="preserve">3.   For investments reported </t>
    </r>
    <r>
      <rPr>
        <u/>
        <sz val="9.75"/>
        <rFont val="Arial"/>
        <family val="2"/>
      </rPr>
      <t>at contract value</t>
    </r>
    <r>
      <rPr>
        <sz val="9.75"/>
        <rFont val="Arial"/>
        <family val="2"/>
      </rPr>
      <t>, provide the following information (e.g. State 401(k) Plan):</t>
    </r>
  </si>
  <si>
    <t>PriorYr905</t>
  </si>
  <si>
    <t>PriorYr906</t>
  </si>
  <si>
    <t>NA Narrative</t>
  </si>
  <si>
    <t>NA Excel Wsheet</t>
  </si>
  <si>
    <t>If YES, disclose the terms by which interest rates change in the "Explanations tab".</t>
  </si>
  <si>
    <t>O</t>
  </si>
  <si>
    <t>Non-operating Revenues</t>
  </si>
  <si>
    <t>Prior Year -To Compare</t>
  </si>
  <si>
    <r>
      <t xml:space="preserve">1.   For investments reported </t>
    </r>
    <r>
      <rPr>
        <u/>
        <sz val="9.75"/>
        <rFont val="Arial"/>
        <family val="2"/>
      </rPr>
      <t>at cost</t>
    </r>
    <r>
      <rPr>
        <sz val="9.75"/>
        <rFont val="Arial"/>
        <family val="2"/>
      </rPr>
      <t>, provide the following information:</t>
    </r>
  </si>
  <si>
    <r>
      <t xml:space="preserve">2.   For investments reported </t>
    </r>
    <r>
      <rPr>
        <u/>
        <sz val="9.75"/>
        <rFont val="Arial"/>
        <family val="2"/>
      </rPr>
      <t>at amortized cost</t>
    </r>
    <r>
      <rPr>
        <sz val="9.75"/>
        <rFont val="Arial"/>
        <family val="2"/>
      </rPr>
      <t>, provide the following information:</t>
    </r>
  </si>
  <si>
    <t>Prior Year worksheet 210 Accumulated depreciation</t>
  </si>
  <si>
    <t>Accumulated Depreciation:</t>
  </si>
  <si>
    <t>Total Accumulated depreciation, capital assets</t>
  </si>
  <si>
    <t>Prior Year worksheet 310 Long-term liabilities</t>
  </si>
  <si>
    <t>Less deferred amt for issuance discounts</t>
  </si>
  <si>
    <t>Total LT Liabilities Current &amp; Noncurrent</t>
  </si>
  <si>
    <t>Column F</t>
  </si>
  <si>
    <t>NA - State Health Plan and Agencies with governmental fund assets (GASB 5100) using NCAS Fixed Asset System</t>
  </si>
  <si>
    <t>Place cursor over cell D17 to view comment.</t>
  </si>
  <si>
    <t>Place cursor over cell G14 to view comment.</t>
  </si>
  <si>
    <t>Place cursor over cell E14 to view comment.</t>
  </si>
  <si>
    <t>Column J</t>
  </si>
  <si>
    <r>
      <rPr>
        <u/>
        <sz val="8"/>
        <rFont val="Arial"/>
        <family val="2"/>
      </rPr>
      <t>Instructions</t>
    </r>
    <r>
      <rPr>
        <sz val="8"/>
        <rFont val="Arial"/>
        <family val="2"/>
      </rPr>
      <t>: Please key current year financial statements  to Column J, except for shaded cells and totals.</t>
    </r>
  </si>
  <si>
    <t>To label a narrative as "Not Applicable" (NA), enter "NA" in the "NA Narrative" column on the Index.</t>
  </si>
  <si>
    <t>To label a worksheet as "Not Applicable" (NA), enter "NA" in the "NA Excel Wsheet" column on the Index.</t>
  </si>
  <si>
    <t xml:space="preserve">Complete the header information on the Index sheet first. This will populate the agency header information </t>
  </si>
  <si>
    <t>NA for Component Units</t>
  </si>
  <si>
    <t>1599</t>
  </si>
  <si>
    <t>File revision date note:</t>
  </si>
  <si>
    <t xml:space="preserve">Department of Public Safety </t>
  </si>
  <si>
    <t>Incarcerated adult offenders</t>
  </si>
  <si>
    <t>Youth facilities</t>
  </si>
  <si>
    <t>Supervised adult offenders</t>
  </si>
  <si>
    <t xml:space="preserve">  Collective investment funds*</t>
  </si>
  <si>
    <t>UF</t>
  </si>
  <si>
    <t>Answer the following question.  If the answer is yes, explain below.</t>
  </si>
  <si>
    <t>(If yes, explain below.)</t>
  </si>
  <si>
    <t xml:space="preserve">List of Agency Names and Numbers </t>
  </si>
  <si>
    <t xml:space="preserve">  Collective investment funds</t>
  </si>
  <si>
    <t>U.S. agencies</t>
  </si>
  <si>
    <t>Mortgage pass-throughs</t>
  </si>
  <si>
    <t>Collateralized mortgage obligations</t>
  </si>
  <si>
    <t>State and local government</t>
  </si>
  <si>
    <t>Asset-backed securities</t>
  </si>
  <si>
    <t>Collective investment funds</t>
  </si>
  <si>
    <t>Repurchase agreements</t>
  </si>
  <si>
    <t>Domestic corporate bonds</t>
  </si>
  <si>
    <t>Foreign corporate bonds</t>
  </si>
  <si>
    <t>Foreign government bonds</t>
  </si>
  <si>
    <t>Domestic stocks</t>
  </si>
  <si>
    <t>Foreign stocks</t>
  </si>
  <si>
    <t>IC440</t>
  </si>
  <si>
    <t>IC460</t>
  </si>
  <si>
    <t>Certificates of deposit (non-negotiable)</t>
  </si>
  <si>
    <t>Debt mutual funds</t>
  </si>
  <si>
    <t>Balanced mutual funds</t>
  </si>
  <si>
    <t>International mutual funds</t>
  </si>
  <si>
    <t>Equity mutual funds</t>
  </si>
  <si>
    <t>Pooled debt funds</t>
  </si>
  <si>
    <t>Annuity contracts</t>
  </si>
  <si>
    <t>Investments in real estate</t>
  </si>
  <si>
    <t>Real estate investment trust</t>
  </si>
  <si>
    <t>Hedge funds</t>
  </si>
  <si>
    <t>Private equity limited partnerships</t>
  </si>
  <si>
    <t>Real assets limited partnerships</t>
  </si>
  <si>
    <t>Money market mutual funds</t>
  </si>
  <si>
    <t>Unallocated insurance contracts</t>
  </si>
  <si>
    <t>Mortgage pass throughs</t>
  </si>
  <si>
    <t>– Report leases in Governmental Funds (1XXX to 13XX) and Internal Service Funds (GASB 27XX) as Governmental Activities.</t>
  </si>
  <si>
    <r>
      <t xml:space="preserve">Foundations </t>
    </r>
    <r>
      <rPr>
        <b/>
        <vertAlign val="superscript"/>
        <sz val="11"/>
        <rFont val="Arial"/>
        <family val="2"/>
      </rPr>
      <t>(1)</t>
    </r>
  </si>
  <si>
    <r>
      <t>Activities</t>
    </r>
    <r>
      <rPr>
        <b/>
        <vertAlign val="superscript"/>
        <sz val="10"/>
        <rFont val="Arial"/>
        <family val="2"/>
      </rPr>
      <t xml:space="preserve"> </t>
    </r>
    <r>
      <rPr>
        <b/>
        <vertAlign val="superscript"/>
        <sz val="11"/>
        <rFont val="Arial"/>
        <family val="2"/>
      </rPr>
      <t>(1)</t>
    </r>
  </si>
  <si>
    <t>SIRR480</t>
  </si>
  <si>
    <t>SIRR500</t>
  </si>
  <si>
    <t>Other A</t>
  </si>
  <si>
    <t>Other B</t>
  </si>
  <si>
    <t>RESTRICTED AND UNRESTRICTED NET POSITION</t>
  </si>
  <si>
    <t>Net Position</t>
  </si>
  <si>
    <t>Total Net Position</t>
  </si>
  <si>
    <t>NCSSM (4XXX)</t>
  </si>
  <si>
    <t>Statement of Net Position</t>
  </si>
  <si>
    <t>Net position:</t>
  </si>
  <si>
    <t xml:space="preserve">   Total net position</t>
  </si>
  <si>
    <t>Statement of Revenues, Expenses and Changes in Net Position</t>
  </si>
  <si>
    <t>Net position - end of year</t>
  </si>
  <si>
    <t>Net position - beginning of year</t>
  </si>
  <si>
    <t>Net position between Stmt of Net Position and O/S verification</t>
  </si>
  <si>
    <t xml:space="preserve">   Increase (decrease) in net position</t>
  </si>
  <si>
    <t>Stmnt of Fid Net Position verification</t>
  </si>
  <si>
    <t xml:space="preserve">    Change in net position</t>
  </si>
  <si>
    <t>Net position - beginning</t>
  </si>
  <si>
    <t>Net position - ending</t>
  </si>
  <si>
    <t>Stmnt of Changes in Net Position verification</t>
  </si>
  <si>
    <t>SNP</t>
  </si>
  <si>
    <t>Net Position:</t>
  </si>
  <si>
    <t>SRECNP</t>
  </si>
  <si>
    <t>Net position—beginning of year</t>
  </si>
  <si>
    <t>Increase (Decrease) in Net Position</t>
  </si>
  <si>
    <t>Net position—end of year</t>
  </si>
  <si>
    <t xml:space="preserve">Net position between Stmt of Net Position and O/S </t>
  </si>
  <si>
    <t>Clients served by neuro-meds facilities</t>
  </si>
  <si>
    <t xml:space="preserve">Staggered Due Dates: Earlier submission is strongly encouraged! </t>
  </si>
  <si>
    <t>if the unrestricted net position balance is a deficit, key this as a negative number. Also, on the 905 and 905Hosp</t>
  </si>
  <si>
    <t>Prior Year 905 -  Offline Proprietary Proforma - SNP &amp; SRECNP
 Statement of Rev, Exp and Changes in Net Position</t>
  </si>
  <si>
    <t>Check- agree to Accum depreciation total in SNP above</t>
  </si>
  <si>
    <t>Bonds and COPS payable check to SNP</t>
  </si>
  <si>
    <t>26xx</t>
  </si>
  <si>
    <t>Transfers</t>
  </si>
  <si>
    <t>In/Out</t>
  </si>
  <si>
    <t>__________________________________________________________________________________________________________________________________</t>
  </si>
  <si>
    <t>that do not apply as NA in the appropriate place on the Index.</t>
  </si>
  <si>
    <t>adjustment below.</t>
  </si>
  <si>
    <t xml:space="preserve">If you have a current year adjustment to accumulated depreciation, place the adjustment in the appropriate accum depr increases/acc depr decreases columns.  Provide an explanation for the </t>
  </si>
  <si>
    <t>Net Position and GASB Table for 905 &amp; 906 Templates
Agency Name</t>
  </si>
  <si>
    <t>Check total for all agencies using 905</t>
  </si>
  <si>
    <t>use ws 906, not 905</t>
  </si>
  <si>
    <t>UNC System total (48 - ZL)</t>
  </si>
  <si>
    <t xml:space="preserve">Hedging derivatives </t>
  </si>
  <si>
    <t>DEFERRED OUTFLOWS OF RESOURCES</t>
  </si>
  <si>
    <t xml:space="preserve">Accumulated decrease in fair value of hedging derivative </t>
  </si>
  <si>
    <t>DEFERRED INFLOWS OF RESOURCES</t>
  </si>
  <si>
    <t xml:space="preserve">Accumulated increase in fair value of hedging derivative </t>
  </si>
  <si>
    <t xml:space="preserve">Serv concess arrangmt revenue applicable to future yrs </t>
  </si>
  <si>
    <t xml:space="preserve">       Total  deferred inflows of resources</t>
  </si>
  <si>
    <t>Verification: Assets + Def. Outflows  - Liab. - Def. Inflows = Net Position</t>
  </si>
  <si>
    <t>Check: Assets + Def OutFlo - Liab - Def Inflo = Net Position</t>
  </si>
  <si>
    <t>Net investment in capital assets</t>
  </si>
  <si>
    <t>Deferred Compensation Plan</t>
  </si>
  <si>
    <t>Deferred Comp &amp; NC 401(k)-Combined Pkg</t>
  </si>
  <si>
    <t>906-6B</t>
  </si>
  <si>
    <t>906-6C</t>
  </si>
  <si>
    <t>911-6B</t>
  </si>
  <si>
    <t>911-6C</t>
  </si>
  <si>
    <t>Offline Fiduciary Analytical Review - 6C - 401(k) Computed Variances</t>
  </si>
  <si>
    <t>Offline Fiduciary Analytical Review  - 6B -  Deferred Comp - Computed Variances</t>
  </si>
  <si>
    <t>Prior Year 905 worksheet - SNP &amp; SRECNP for Computed Variances 910 worksheet</t>
  </si>
  <si>
    <t>Offline Fiduciary Proforma for NC 401(k) Plan 
Stmt of Net Position &amp; Stmt of Changes in Net Postion - 906-6C</t>
  </si>
  <si>
    <t>Offline Fiduciary Proforma for Deferred Compensation Plan 
Stmt of Net Position &amp; Stmt of Changes in Net Postion  - 906-6B</t>
  </si>
  <si>
    <t>3324&amp;3318</t>
  </si>
  <si>
    <t>Deferred Comp &amp; NC 401(k) Plan</t>
  </si>
  <si>
    <t>401(k)  906-6C</t>
  </si>
  <si>
    <t>Deferred Comp  906-6B</t>
  </si>
  <si>
    <t>Total Def Comp + 401(k)</t>
  </si>
  <si>
    <t xml:space="preserve"> Net Position verification between SNP &amp; O/S</t>
  </si>
  <si>
    <t>If you answered YES, disclosure is required:</t>
  </si>
  <si>
    <t>Complete the following schedule for any GASB fund that has restated numbers (may or may not be fund equity).  If fund equity is restated, the</t>
  </si>
  <si>
    <t>statement.  (see note below)</t>
  </si>
  <si>
    <t xml:space="preserve">amounts should agree to the amounts shown on the operating statement.  Restatements for capital assets/long-term debt will not tie to the operating  </t>
  </si>
  <si>
    <t>of the arrangement.</t>
  </si>
  <si>
    <t>Other E:</t>
  </si>
  <si>
    <t>Other F:</t>
  </si>
  <si>
    <t>Investments Held Outside the State Treasurer - Deposit and Investment Policies</t>
  </si>
  <si>
    <r>
      <t xml:space="preserve">Please pay careful attention in filling out the Index sheet, marking all </t>
    </r>
    <r>
      <rPr>
        <b/>
        <u/>
        <sz val="10.5"/>
        <rFont val="Times New Roman"/>
        <family val="1"/>
      </rPr>
      <t xml:space="preserve">worksheets and narratives </t>
    </r>
  </si>
  <si>
    <t>6BC</t>
  </si>
  <si>
    <t>ZG</t>
  </si>
  <si>
    <t>Centennial Authority</t>
  </si>
  <si>
    <t xml:space="preserve">Nonmajor component unit - see note below </t>
  </si>
  <si>
    <t>Reclassified to nonmajor based on GASB 61</t>
  </si>
  <si>
    <t>See below.</t>
  </si>
  <si>
    <t>111110 CSH ON HAND</t>
  </si>
  <si>
    <t>111120 CSH/BNK-NON INT BEAR CHK</t>
  </si>
  <si>
    <t>111130 CSH/BNK-INT BEAR ACCTS</t>
  </si>
  <si>
    <t>111140 CSH/BNK-POOLED CASH ACCTS</t>
  </si>
  <si>
    <t>111190 CSH/BANK-OTHER ACCTS</t>
  </si>
  <si>
    <t>112121 NON-TREAS-CSH W/FISC AGT</t>
  </si>
  <si>
    <t>111210 POOL CSH-LIQ ASSET FND</t>
  </si>
  <si>
    <t>111220 POOL CSH-STATE TREAS STIF</t>
  </si>
  <si>
    <t>111230 POOL CSH-CSH CARRIED FWD</t>
  </si>
  <si>
    <t>111231 CASH CARRYFORWARD-DPI</t>
  </si>
  <si>
    <t>111232 CASH CARRYFORWARD-UNAPPRO</t>
  </si>
  <si>
    <t>111240 POOL CSH-GEN FUND REV</t>
  </si>
  <si>
    <t>111250 POOL CSH-DISBURSING ACCT</t>
  </si>
  <si>
    <t>111255 CASH IN DISB. ACCT.(ACCR)</t>
  </si>
  <si>
    <t>111260 POOL CSH-BUDGET CODE CSH</t>
  </si>
  <si>
    <t>111270 POOL CSH-ALLOTMENT ACCT</t>
  </si>
  <si>
    <t>111280 POOL CSH-UNALLOT APPRO/CI</t>
  </si>
  <si>
    <t>111290 BOND PROCEED CASH ADJUSTM</t>
  </si>
  <si>
    <t>Restricted cash and cash equivalents</t>
  </si>
  <si>
    <t>11R110 CASH ON HAND-RESTRICTED</t>
  </si>
  <si>
    <t>11R120 CSH/BNK-NON INT CHK-RESTR</t>
  </si>
  <si>
    <t>11R121 NON-TREAS CASH W/FISC AGT</t>
  </si>
  <si>
    <t>11R130 CSH/BNK-INT BEAR-RESTRICT</t>
  </si>
  <si>
    <t>11R190 CSH/BNK-OTHER ACCTS-RESTR</t>
  </si>
  <si>
    <t>11R220 POOL CASH-STIF-RESTRICTED</t>
  </si>
  <si>
    <t>11R260 POOL CSH-BUD CODE-RESTRIC</t>
  </si>
  <si>
    <t>11R270 POOL CSH-ALLOTMNT-RESTRIC</t>
  </si>
  <si>
    <t>11R280 POOL CSH-UNALLOT APPR-RST</t>
  </si>
  <si>
    <t>11R290 BOND PROCEED CSH ADJ-REST</t>
  </si>
  <si>
    <t>112101 NON-TREAS-US GOV SEC</t>
  </si>
  <si>
    <t>112102 NON-TREAS-ST &amp; MUNI SEC</t>
  </si>
  <si>
    <t>112103 NON-TREAS-CORP BONDS</t>
  </si>
  <si>
    <t>112104 NON-TREAS-CORP STOCKS</t>
  </si>
  <si>
    <t>112105 NON-TREAS-REPO</t>
  </si>
  <si>
    <t>112106 NON-TREAS-COMM PAPER</t>
  </si>
  <si>
    <t>112107 NON-TREAS-BANKERS' ACCEPT</t>
  </si>
  <si>
    <t>112108 NON-TREAS-ANNUITY CONTR</t>
  </si>
  <si>
    <t>112109 NON-TREAS-INV-REAL ESTATE</t>
  </si>
  <si>
    <t>112110 International Bonds (Corp)</t>
  </si>
  <si>
    <t>112111 International Bonds (Govt)</t>
  </si>
  <si>
    <t>112112 NON-TREAS-INTL STOCKS</t>
  </si>
  <si>
    <t>112113 NON-TREAS-CD'S</t>
  </si>
  <si>
    <t>112114 NON-TREAS-INV AGREEMENTS</t>
  </si>
  <si>
    <t>112115 NON-TREAS-INVEST CONTRACT</t>
  </si>
  <si>
    <t>112116 NON-TREAS-MONEY MARKET</t>
  </si>
  <si>
    <t>112117 NON-TREAS-MUTUAL FUNDS</t>
  </si>
  <si>
    <t>112118 NON-TREAS-REIT</t>
  </si>
  <si>
    <t>112119 NON-TREAS-LIM PARTNERSHIP</t>
  </si>
  <si>
    <t>112120 NON-TREAS-REVERSE REPO</t>
  </si>
  <si>
    <t>112122 NON-TREAS-INV W/FISC AGT</t>
  </si>
  <si>
    <t>112123 NON-TREAS-POOLED INVEST</t>
  </si>
  <si>
    <t>112124 Collateral Mortgage Oblig</t>
  </si>
  <si>
    <t>112150 ALLOW-FV INVESTMENTS</t>
  </si>
  <si>
    <t>112151 ALLOW-FV INVEST FISCAL AG</t>
  </si>
  <si>
    <t>112190 NON-TREAS-OTHER INV</t>
  </si>
  <si>
    <t>112191 NON-TREAS INVST DERIV-CURR</t>
  </si>
  <si>
    <t>NEW ACCT FOR 2009-2010 - GASB 53</t>
  </si>
  <si>
    <t>112210 POOL INV-LONG TERM</t>
  </si>
  <si>
    <t>112211 L/T INVESTMENT-GLOBAL TP</t>
  </si>
  <si>
    <t>112220 POOL INV-EQUITY INV FUND</t>
  </si>
  <si>
    <t>112230 POOL INV-REAL ES INV FUND</t>
  </si>
  <si>
    <t>112240 POOL INV-VENTURE CAP FUND</t>
  </si>
  <si>
    <t>112241 INFLATION PROTECTION INVESTMENT FUND</t>
  </si>
  <si>
    <t>NEW ACCT FOR FY 2009-2010</t>
  </si>
  <si>
    <t>112242 CREDIT INVESTMENT FUND</t>
  </si>
  <si>
    <t>112260 INVESTMENTS-EXTERNAL UNIT</t>
  </si>
  <si>
    <t>112280 ALLOW-FV OF POOLED INVEST</t>
  </si>
  <si>
    <t>112281 ALLOW-FV EQUITY INV FUND</t>
  </si>
  <si>
    <t>112282 ALLOW-FV REAL EST INV FND</t>
  </si>
  <si>
    <t>112283 ALLOW-FV VENTURE CAP INV</t>
  </si>
  <si>
    <t>112284 ALLOW -FV LIMITED PART LIA</t>
  </si>
  <si>
    <t>NEW ACCT FOR FY 2007-2008</t>
  </si>
  <si>
    <t>112285 ALLOW -FV OF INFLATION PROTECTION INVESTMENT FUND</t>
  </si>
  <si>
    <t>112286 ALLOW -FV OF CREDIT INVESTMENT FUND</t>
  </si>
  <si>
    <t>112125 NON-TREAS RESTRICT INVEST</t>
  </si>
  <si>
    <t>112152 ALLOW-FV RESTRICT INVESTM</t>
  </si>
  <si>
    <t>112250 Bond Proceeds</t>
  </si>
  <si>
    <t>112300 SECURITY LEND COLL INVEST</t>
  </si>
  <si>
    <t xml:space="preserve">          Receivables:</t>
  </si>
  <si>
    <t xml:space="preserve">     Accounts receivable</t>
  </si>
  <si>
    <t>113200 A/R</t>
  </si>
  <si>
    <t>113210 A/R - STUDENTS</t>
  </si>
  <si>
    <t>113220 A/R - PATIENTS</t>
  </si>
  <si>
    <t>113230  RETAILER ACCTS RECEIVABLE</t>
  </si>
  <si>
    <t>NEW ACCT FOR FY 2005-2006</t>
  </si>
  <si>
    <t>113231  NSF RECEIVABLE</t>
  </si>
  <si>
    <t>113232  NSF FEE DUE</t>
  </si>
  <si>
    <t>113300 ALLOW FOR DOUBTFUL ACCTS</t>
  </si>
  <si>
    <t>113310 ALLOW-DOUBT ACCT-STUDENT</t>
  </si>
  <si>
    <t>113320 ALLOW-DOUBT ACCT-PATIENT</t>
  </si>
  <si>
    <t xml:space="preserve">       Intergovernmental receivables</t>
  </si>
  <si>
    <t>113410 INTERGOV-LOC GOV REC</t>
  </si>
  <si>
    <t>113420 INTERGOV-FED AGY REC</t>
  </si>
  <si>
    <t>113425 RECEIVABLES FROM OTHER STATES</t>
  </si>
  <si>
    <t>NEW ACCT FOR FY 2010-2011</t>
  </si>
  <si>
    <t xml:space="preserve">     Interest receivable</t>
  </si>
  <si>
    <t>113510 INT EARN REC ON LOAN/NOTE</t>
  </si>
  <si>
    <t>113520 INT REC - ON INVESTMNT</t>
  </si>
  <si>
    <t xml:space="preserve">       Premiums receivable</t>
  </si>
  <si>
    <t>113600 PREMIUMS RECEIVABLE</t>
  </si>
  <si>
    <t xml:space="preserve">     Contributions receivable</t>
  </si>
  <si>
    <t>113370 ALLOWANCE-CONTRIBUTIONS</t>
  </si>
  <si>
    <t>113700 CONTRIBUTIONS RECEIVABLE</t>
  </si>
  <si>
    <t xml:space="preserve">     Other receivables</t>
  </si>
  <si>
    <t>113360 ALLOWANCE-PLEDGES</t>
  </si>
  <si>
    <t>113910 DUE FROM EMPLOYEES</t>
  </si>
  <si>
    <t>113940 PLEDGES RECEIVABLE</t>
  </si>
  <si>
    <t>113990 OTHER CURRENT RECEIVABLES</t>
  </si>
  <si>
    <t>Due from fiduciary funds</t>
  </si>
  <si>
    <t>114318 GOV INTRA REC-PENS TRUST</t>
  </si>
  <si>
    <t>114319 GOV INTRA REC-AGENCY</t>
  </si>
  <si>
    <t>114321 GOV INTRA REC-PRIV PUR TR</t>
  </si>
  <si>
    <t>114418 Due from Pension Trst Fnd</t>
  </si>
  <si>
    <t>114419 GOV INTER REC-AGENCY</t>
  </si>
  <si>
    <t>114421 GOV INTER REC-PRIV PUR TR</t>
  </si>
  <si>
    <t>114310 GOV INTRA REC-GENERAL</t>
  </si>
  <si>
    <t>114311 GOV INTRA REC-SPECIAL REV</t>
  </si>
  <si>
    <t>114313 GOV INTRA REC-CAP IMPROV</t>
  </si>
  <si>
    <t>114314 GOV INTRA REC-ENTERPRISE</t>
  </si>
  <si>
    <t>114315 GOV INTRA REC-INTERN SVC</t>
  </si>
  <si>
    <t>114320 GOV INTRA REC-PERMANENT</t>
  </si>
  <si>
    <t>114410 GOV INTER REC-GENERAL</t>
  </si>
  <si>
    <t>114411 GOV INTER REC-SPEC REV</t>
  </si>
  <si>
    <t>114413 GOV INTER REC-CAP IMPROV</t>
  </si>
  <si>
    <t>114414 Due from Enterprise Fund</t>
  </si>
  <si>
    <t>114415 GOV INTER REC-INTERN SVC</t>
  </si>
  <si>
    <t>114420 GOV INTER REC-PERMANENT</t>
  </si>
  <si>
    <t>114421  DUE FROM PRIVATE PURPOSE TRUST</t>
  </si>
  <si>
    <t>Due from component units</t>
  </si>
  <si>
    <t>114700 DUE FROM ST OF NC COMPONENT UNITS</t>
  </si>
  <si>
    <t>114800 DUE FROM AG/INSTITUTION COMPONENT UNITS</t>
  </si>
  <si>
    <t>NEW ACCT for FY 2003-2004</t>
  </si>
  <si>
    <t>114600 DUE FROM PRI GOV AGENCY</t>
  </si>
  <si>
    <t>115100 NOTES/LOANS RECEIVABLE</t>
  </si>
  <si>
    <t>115110 NOTE REC-NDSL LNS REC</t>
  </si>
  <si>
    <t>115120 NOTE REC-OTH STUD LOANS</t>
  </si>
  <si>
    <t>115200 Other Student Loans Rec</t>
  </si>
  <si>
    <t>115210 ALLOW-DOUBT ACCTS - NDSL</t>
  </si>
  <si>
    <t>115220 ALLOW-DOUBT ACCT-OTH STUD</t>
  </si>
  <si>
    <t>Accounts 116110 - 116990</t>
  </si>
  <si>
    <t>116110 INVEN-POSTAGE</t>
  </si>
  <si>
    <t>116120 INVEN-DP SUPPLIES</t>
  </si>
  <si>
    <t>116190 INVEN-OTH OFF MAT/SUPPL</t>
  </si>
  <si>
    <t>116210 INVEN-JANITORIAL SUPPLIES</t>
  </si>
  <si>
    <t>116220 INVEN-BEDDING &amp; TEXTILE</t>
  </si>
  <si>
    <t>116230 INVEN-AGRICULTURAL</t>
  </si>
  <si>
    <t>116240 INVEN-CONSTR/REPAIR SUPPL</t>
  </si>
  <si>
    <t>116250 INVEN-HEAT &amp; UTIL SUPPL</t>
  </si>
  <si>
    <t>116290 INVEN-OTH HSE &amp; CLN SUPPL</t>
  </si>
  <si>
    <t>116310 INVEN-MOTOR FUEL &amp; LUBRIC</t>
  </si>
  <si>
    <t>116320 INVEN-TIRES &amp; TUBES</t>
  </si>
  <si>
    <t>116330 INVEN-MOTOR VEHIC PARTS</t>
  </si>
  <si>
    <t>116390 INVEN-OTH MOTR VEH OP SUP</t>
  </si>
  <si>
    <t>116400 INVEN-FOOD &amp; DIETARY</t>
  </si>
  <si>
    <t>116500 INVEN-CLOTHING &amp; REC SUP</t>
  </si>
  <si>
    <t>116610 INVEN-SCIENTIFIC</t>
  </si>
  <si>
    <t>116620 INVEN-DRUGS/PHARM</t>
  </si>
  <si>
    <t>116700 INVEN-R&amp;D, ED SUPPL</t>
  </si>
  <si>
    <t>116800 INVEN-PURCHASE FOR RESALE</t>
  </si>
  <si>
    <t>116910 INVEN-CENTRAL STORES</t>
  </si>
  <si>
    <t>116990 INVEN-OTH MATERIAL/SUPPL</t>
  </si>
  <si>
    <t>Food stamps</t>
  </si>
  <si>
    <t>119400 FOOD STAMPS</t>
  </si>
  <si>
    <t>119100 PREPAID ITEMS</t>
  </si>
  <si>
    <t>119200 BOND ISSUANCE COST</t>
  </si>
  <si>
    <t>Securities held in trust (Sureties)</t>
  </si>
  <si>
    <t>119300 SECURITIES HELD IN TRUST</t>
  </si>
  <si>
    <t>Hedging Derivatives</t>
  </si>
  <si>
    <t>119700 HEDGING DERIVATIVES-CURR</t>
  </si>
  <si>
    <t>Non-Current Assets:</t>
  </si>
  <si>
    <t>121110 CASH ON HAND-NONCURRENT</t>
  </si>
  <si>
    <t>121120 CSH/BNK-NON INT BEAR CHK</t>
  </si>
  <si>
    <t>not new acct, but univ will begin using for fy 2002</t>
  </si>
  <si>
    <t>121130 CSH/BNK-INT BEAR ACCTS</t>
  </si>
  <si>
    <t>121140 CSH/BNK-:POOLED CASH</t>
  </si>
  <si>
    <t>121190 CSH/BNK-OTH ACCTS</t>
  </si>
  <si>
    <t>122121 NON-TREAS-CSH W/FISC AGT</t>
  </si>
  <si>
    <t>Restricted/designated pooled cash</t>
  </si>
  <si>
    <t>121220 POOL CASH-STIF-NONCURRENT</t>
  </si>
  <si>
    <t>121260 POOL CSH-BUD CODE-NONCURR</t>
  </si>
  <si>
    <t>121270 POOL CSH-ALLOTMNT-NONCURR</t>
  </si>
  <si>
    <t>121280 POOL CSH-UNALLOT APPR-NON</t>
  </si>
  <si>
    <t>121290 BOND PROCEED CSH ADJ-NONC</t>
  </si>
  <si>
    <t>122101 NON-TREAS-US GOV SEC</t>
  </si>
  <si>
    <t>122102 NON-TREAS-ST &amp; MUNI SEC</t>
  </si>
  <si>
    <t>122103 NON-TREAS-CORP BONDS</t>
  </si>
  <si>
    <t>122104 NON-TREAS-CORP STOCKS</t>
  </si>
  <si>
    <t>122105 NON-TREAS-REPO</t>
  </si>
  <si>
    <t>122106 NON-TREAS-COMM PAPER</t>
  </si>
  <si>
    <t>122107 NON-TREAS-BANKERS' ACCEP</t>
  </si>
  <si>
    <t>122108 NON-TREAS-ANNUITY CONTR</t>
  </si>
  <si>
    <t>122109 NON-TREAS-REAL ESTATE</t>
  </si>
  <si>
    <t>122110 NON-TREAS-INTL BONDS-CORP</t>
  </si>
  <si>
    <t>122111 NON-TREAS-INTL BONDS-GOV</t>
  </si>
  <si>
    <t>122112 NON-TREAS-INTL STOCKS</t>
  </si>
  <si>
    <t>122113 NON-TREAS-CD'S</t>
  </si>
  <si>
    <t>122114 NON-TREAS-INV AGREEMENTS</t>
  </si>
  <si>
    <t>122115 NON-TREAS-INVEST CONTRACT</t>
  </si>
  <si>
    <t>122116 NON-TREAS-MONEY MARKET</t>
  </si>
  <si>
    <t>122117 NON-TREAS-MUTUAL FUNDS</t>
  </si>
  <si>
    <t>122118 NON-TREAS-REIT</t>
  </si>
  <si>
    <t>122119 NON-TREAS-LIMITED PARTNER</t>
  </si>
  <si>
    <t>122120 NON-TREAS-REVERSE REPO</t>
  </si>
  <si>
    <t>122122 NON-TREAS-INV W/FIS AGT</t>
  </si>
  <si>
    <t>122123 NON-TREAS-POOLED INVEST</t>
  </si>
  <si>
    <t>122124 NON-TREAS-COLL MORT OBLIG</t>
  </si>
  <si>
    <t>122150 ALLOW-FV INVESTMENTS</t>
  </si>
  <si>
    <t>122151 ALLOW-FV INVEST FISCAL AG</t>
  </si>
  <si>
    <t>122190 NON-TREAS-OTHER INVESTS</t>
  </si>
  <si>
    <t>122191 NON-TREAS INV DERIV- NONCU</t>
  </si>
  <si>
    <t>122210 POOL INV-LONG TERM</t>
  </si>
  <si>
    <t>NEW ACCT for FY 2002-2003</t>
  </si>
  <si>
    <t>122280 ALLOW-FV OF POOLED INVEST</t>
  </si>
  <si>
    <t>122125 ENDOWMENT INVESTMENTS</t>
  </si>
  <si>
    <t>122126 NON-TREAS RESTRICT INVEST</t>
  </si>
  <si>
    <t>122152 ALLOW-FV ENDOWMENT INVEST</t>
  </si>
  <si>
    <t>122153 ALLOW-FV RESTRICT INVESTM</t>
  </si>
  <si>
    <t>123200 A/R-NON CURRENT</t>
  </si>
  <si>
    <t>123210 A/R-STUDENTS</t>
  </si>
  <si>
    <t>123220 Accounts Rec - Patients</t>
  </si>
  <si>
    <t>123300 Allow for Doubtful Accts</t>
  </si>
  <si>
    <t>123310 Allow Doubt Accts-Student</t>
  </si>
  <si>
    <t>123320 ALLOW-DOUBT ACCT-PATIENT</t>
  </si>
  <si>
    <t>123510 INT REC ON LOANS/NOTES</t>
  </si>
  <si>
    <t>123520 INT REC ON INVESTMENTS</t>
  </si>
  <si>
    <t>123370 ALLOWANCE FOR DOUBTFUL ACCTS-CONTRIBUTIONS</t>
  </si>
  <si>
    <t>123700 CONTRIBUTIONS RECEIVABLE-NONCURRENT</t>
  </si>
  <si>
    <t>Other receivables</t>
  </si>
  <si>
    <t>123360 ALLOWANCE-PLEDGES</t>
  </si>
  <si>
    <t>123910 REC-DUE FROM EMPLOYEE</t>
  </si>
  <si>
    <t>123940 PLEDGES RECEIVABLE</t>
  </si>
  <si>
    <t>123990 OTHER NONCURRENT RECEIV</t>
  </si>
  <si>
    <t>124100 RESTRIC DUE FROM PRIM GOV</t>
  </si>
  <si>
    <t>Restricted due from component unit</t>
  </si>
  <si>
    <t>124200 RESTRICTED DUE FROM STATE OF NC COMPONENT UNIT</t>
  </si>
  <si>
    <t>125100 NOTES RECEIVABLE</t>
  </si>
  <si>
    <t>125110 NOTES REC-NDSL LOANS REC</t>
  </si>
  <si>
    <t>125120 NOTES REC-OTH STUD LOANS</t>
  </si>
  <si>
    <t>125200 ALLOW-UNCOLL NOTES REC</t>
  </si>
  <si>
    <t>125210 ALLOW DOUBT ACCTS-NDSL</t>
  </si>
  <si>
    <t>125220 ALLOW DOUBT ACCT-OTH STUD</t>
  </si>
  <si>
    <t>Investment in Joint Venture</t>
  </si>
  <si>
    <t>129500 INVESTMENT IN JOINT VENTURE</t>
  </si>
  <si>
    <t>129100 PREPAID ITEMS - NON CUR</t>
  </si>
  <si>
    <t>129400 BOND ISSUANCE COST-NONCUR</t>
  </si>
  <si>
    <t>124310 Advances to General Fund</t>
  </si>
  <si>
    <t>124311 Advances to Spec Rev Fund</t>
  </si>
  <si>
    <t>124313 Advances to Cap Imp Fund</t>
  </si>
  <si>
    <t>124314 Advances to Enterpri Fund</t>
  </si>
  <si>
    <t>124315 Advances to int service fund</t>
  </si>
  <si>
    <t>124318 Advances Pension Trst Fnd</t>
  </si>
  <si>
    <t>124319 Advances Agency Fund</t>
  </si>
  <si>
    <t>124700 Adv to component Units</t>
  </si>
  <si>
    <t>129700 HEDGING DERIVATIV-NONCURR</t>
  </si>
  <si>
    <t>NEW ACCOUNT FY 2009-2010</t>
  </si>
  <si>
    <t>Total Non-Current Assets</t>
  </si>
  <si>
    <t>Capital Assets:</t>
  </si>
  <si>
    <t xml:space="preserve">     Land and permanent Easements</t>
  </si>
  <si>
    <t>127000 LAND/LAND IMPRV/NONDEPREC</t>
  </si>
  <si>
    <t>127510 PERMANENT EASEMENTS -NON DEPRECIABLE</t>
  </si>
  <si>
    <t xml:space="preserve">     Art, other artifacts &amp; literature - non-depre</t>
  </si>
  <si>
    <t>127410 ART/LIT/ARTIFAC-NONDEPREC</t>
  </si>
  <si>
    <t xml:space="preserve">     Construction in progress</t>
  </si>
  <si>
    <t>127800 CONSTRUCTION IN PROGRESS</t>
  </si>
  <si>
    <t xml:space="preserve">     Computer software in development </t>
  </si>
  <si>
    <t>127830 COMPUTER SOFTWARE IN DEVELOPMENT</t>
  </si>
  <si>
    <t xml:space="preserve">     Patents in development</t>
  </si>
  <si>
    <t>127820 PATENTS IN DEVELOPMENT</t>
  </si>
  <si>
    <t xml:space="preserve">     Other intangible assets, nondepreciable</t>
  </si>
  <si>
    <t>127505 Other intangible assets - Nondepreciable.</t>
  </si>
  <si>
    <t>Capital assets, depreciable</t>
  </si>
  <si>
    <t>127100 BUILDINGS</t>
  </si>
  <si>
    <t>127110 LEASEHOLD IMPROVEMENTS</t>
  </si>
  <si>
    <t>New FY 2010-2011</t>
  </si>
  <si>
    <t>127310 FURNITURE</t>
  </si>
  <si>
    <t>127320 EQUIPMENT</t>
  </si>
  <si>
    <t>127330 MOTOR VEH/MOTORIZED EQUIP</t>
  </si>
  <si>
    <t>127340 LIVESTOCK/OTHER ANIMALS</t>
  </si>
  <si>
    <t>Art, literature &amp; artifacts, depreciable</t>
  </si>
  <si>
    <t>127400 ART/LITERATURE/ARTIFACTS</t>
  </si>
  <si>
    <t>General Infrastructure</t>
  </si>
  <si>
    <t>127210 ROAD SYSTEMS</t>
  </si>
  <si>
    <t>127220 BRIDGES</t>
  </si>
  <si>
    <t>127230 LANDSCAPING</t>
  </si>
  <si>
    <t>127240 UTILITY SYSTEMS</t>
  </si>
  <si>
    <t>127250 TOWERS/TANKS/WELLS</t>
  </si>
  <si>
    <t>127255 DAMS</t>
  </si>
  <si>
    <t>127260 FENCES</t>
  </si>
  <si>
    <t>127265 EXTERIOR LIGHTING SYSTEMS</t>
  </si>
  <si>
    <t>127270 PARKING AREAS</t>
  </si>
  <si>
    <t>127280 TUNNELS</t>
  </si>
  <si>
    <t>127290 OTHER STRUCT/IMPROV</t>
  </si>
  <si>
    <t>127200 NCDOT HIGHWAY NETWORK</t>
  </si>
  <si>
    <t>Computer software</t>
  </si>
  <si>
    <t>127530  COMPUTER SOFTWARE</t>
  </si>
  <si>
    <t>127520  PATENTS</t>
  </si>
  <si>
    <t>Other Intangible assets- depreciable</t>
  </si>
  <si>
    <t>127500 OTHER INTANGIBLE ASSETS</t>
  </si>
  <si>
    <t>Accounts 1279XX.</t>
  </si>
  <si>
    <t>127900 ACCUMULATED DEPRECIATION-NC DOT Highway Network</t>
  </si>
  <si>
    <t>127910 DEPREC-BUILDINGS</t>
  </si>
  <si>
    <t>127911 ACCUM DEPREC - LEASEHOLD IMPOVEMENTS</t>
  </si>
  <si>
    <t>127920 DEPREC-OTHER STRUCTURES</t>
  </si>
  <si>
    <t>127930 ACCUM DEPREC-MOTOR VEH/EQ</t>
  </si>
  <si>
    <t>127931 ACCUM DEPREC-LANDSCAPING</t>
  </si>
  <si>
    <t>127932 ACCUM DEPREC-TOWERS/TANKS</t>
  </si>
  <si>
    <t>127933 ACCUM DEPREC-FENCES</t>
  </si>
  <si>
    <t>127934 ACCUM DEPREC-PARKING AREA</t>
  </si>
  <si>
    <t>127935 ACCUM DEPREC-FURNITURE</t>
  </si>
  <si>
    <t>127936 ACCUM DEPREC-EQUIPMENT</t>
  </si>
  <si>
    <t>127937 ACCDEPREC - LIVESTOCK AND OTHER ANIMALS</t>
  </si>
  <si>
    <t>127940  ACCUM DEP - ART, LIT, ARTIF</t>
  </si>
  <si>
    <t>127950 ACCUM DEP - INTANG ASSETS</t>
  </si>
  <si>
    <t>127951 ACCUM DEPREC- PATENTS</t>
  </si>
  <si>
    <t>127952  ACCUM DEPREC - COMPUTER SOFTWARE</t>
  </si>
  <si>
    <t>127960 ACCUM DEPREC-ROAD NON DOT</t>
  </si>
  <si>
    <t>127961 ACCUM DEPREC - BRIDGES</t>
  </si>
  <si>
    <t>127962 ACCUM DEPREC-UTILITY SYST</t>
  </si>
  <si>
    <t>127963 - ACCUM DEPREC - DAMS</t>
  </si>
  <si>
    <t>127964 ACCUM DEPREC - EXTERIOR LIGHTING SYSTEMS</t>
  </si>
  <si>
    <t>127965 ACCUM DEPREC - TUNNELS</t>
  </si>
  <si>
    <t>TOTAL ASSETS</t>
  </si>
  <si>
    <t>DEFERRED OUTFLOWS OF RESOURCES:</t>
  </si>
  <si>
    <t>Moved caption below assets in FY 2012-13 as per GASB 63</t>
  </si>
  <si>
    <t xml:space="preserve">   Accum dec in fair value hedg deriv</t>
  </si>
  <si>
    <t>129701 Accum Decrease in Fair Value Hedging Derivatives</t>
  </si>
  <si>
    <t>New account title for FY 2012-13</t>
  </si>
  <si>
    <t>TOTAL DEFERRED OUTFLOWS OF RESOURCES</t>
  </si>
  <si>
    <t>UNCLASSIFIED ASSETS</t>
  </si>
  <si>
    <t>None at this time.</t>
  </si>
  <si>
    <t>Valid asset accts that must be zero at year-end</t>
  </si>
  <si>
    <t>114191 UNIV INTRA REC-UNREST CUR</t>
  </si>
  <si>
    <t>moved from unclass for 2005-2006</t>
  </si>
  <si>
    <t>114192 UNIV INTRA REC-PROPRIET</t>
  </si>
  <si>
    <t>114193 UNIV INTRA REC-RESTR CUR</t>
  </si>
  <si>
    <t>114194 UNIV INTRA REC-LOAN</t>
  </si>
  <si>
    <t>114195 UNIV INTRA REC-ENDOWMENT</t>
  </si>
  <si>
    <t>114196 UNIV INTRA REC-AGENCY</t>
  </si>
  <si>
    <t>114197 UNIV INTRA REC-UNEXP PLNT</t>
  </si>
  <si>
    <t>114198 UNIV INTRA REC-DEBT SVC</t>
  </si>
  <si>
    <t>114199 UNIV INTRA REC-INV PLNT</t>
  </si>
  <si>
    <t>INVALID Asset Accounts</t>
  </si>
  <si>
    <t>Beginning 6/30/02</t>
  </si>
  <si>
    <t>113100 TAXES RECEIVABLE</t>
  </si>
  <si>
    <t>113330 ALLOW-DOUBT ACCT-TAX REV</t>
  </si>
  <si>
    <t>114290 UNIV INTER RECEIVABLE</t>
  </si>
  <si>
    <t>Moved to invalid in FY 2011-12</t>
  </si>
  <si>
    <t>114291 UNIV INTER REC-UNREST CUR</t>
  </si>
  <si>
    <t>114292 UNIV INTER REC-PROPRIET</t>
  </si>
  <si>
    <t>114293 UNIV INTER REC-RESTR CUR</t>
  </si>
  <si>
    <t>114294    UNIV INTER REC-LOAN FUND</t>
  </si>
  <si>
    <t>114295    UNIV INTER REC-ENDOWMENT</t>
  </si>
  <si>
    <t>114296    UNIV INTER REC-AGENCY FND</t>
  </si>
  <si>
    <t>114297    UNIV INTER REC-UNEXP PLNT</t>
  </si>
  <si>
    <t>114298    UNIV INTER REC-DEBT SVCE</t>
  </si>
  <si>
    <t>114299    UNIV INTER REC-INV PLANT</t>
  </si>
  <si>
    <t>114312    Due from Debt Svce Fund</t>
  </si>
  <si>
    <t>114316 GOV INTRA REC-EXP TRUST</t>
  </si>
  <si>
    <t>114317 GOV INTRA REC-NONEXP TRST</t>
  </si>
  <si>
    <t>114412    Due from Debt Svce Fund</t>
  </si>
  <si>
    <t>114416 GOV INTER REC-EXP TRUST</t>
  </si>
  <si>
    <t>114417    Due from Nonexp Trst Fund</t>
  </si>
  <si>
    <t>119500    Amt Provided for LTD Retire.</t>
  </si>
  <si>
    <t>119701 Deferred Outflow - Current</t>
  </si>
  <si>
    <t>New acct for 2009-10 - GASB 53. Moved to Invalid FY 2012-13</t>
  </si>
  <si>
    <t>124312    Advances to Debt Svc Fund</t>
  </si>
  <si>
    <t>124316    Advances to Exp Trust Fnd</t>
  </si>
  <si>
    <t>124317    Advances Nonexp Trst Fnd</t>
  </si>
  <si>
    <t>124600 Advances Prim Gov Agcy-NC</t>
  </si>
  <si>
    <t>127966 ACCUMULATED AMORTIZATION - EASEMENTS</t>
  </si>
  <si>
    <t>128100  AMT AVAIL/PROV GLT DEBT</t>
  </si>
  <si>
    <t>New acct beginning 6/30/02; for governmental only, will be invalid for proprietary</t>
  </si>
  <si>
    <t>128110 AMT AVAIL-GENERAL FUND</t>
  </si>
  <si>
    <t>128120    AMT AVAIL-DEBT SVC FUND</t>
  </si>
  <si>
    <t>128130    Amt Avail In Exp Trst Fnd</t>
  </si>
  <si>
    <t>128140    AMT AVAIL-CAP IMPROV FUND</t>
  </si>
  <si>
    <t>128150 AMT AVAIL-SPEC REV FUND</t>
  </si>
  <si>
    <t>128210 AMT PROV GLT DEBT-GENERAL</t>
  </si>
  <si>
    <t>128220    Amt to be Prov-Debt Svce</t>
  </si>
  <si>
    <t>128230 AMT PROV GLT DEBT-EXP TRS</t>
  </si>
  <si>
    <t>128240    Amt to be Prov-Cap Imp</t>
  </si>
  <si>
    <t>128250 AMT PROV GLT DEBT-SPC REV</t>
  </si>
  <si>
    <t>128260 AMT PROVIDED-GLT NONEXPEN</t>
  </si>
  <si>
    <t>129300 GOODWILL</t>
  </si>
  <si>
    <t>129900 OTHER NON-CURRENT ASSETS</t>
  </si>
  <si>
    <t>moved to invalid 7/30/2002</t>
  </si>
  <si>
    <t>Clearing Accounts</t>
  </si>
  <si>
    <t>Includes accounts 1138AA plus the ones below.</t>
  </si>
  <si>
    <t>113801 RECEIVABLES CLEARING</t>
  </si>
  <si>
    <t>113802 RECEIVABLES CLEARING</t>
  </si>
  <si>
    <t>113804    DUE FROM CAP IMP FUND</t>
  </si>
  <si>
    <t>113810 RECEIVABLES CLEARING</t>
  </si>
  <si>
    <t>113873 RECEIVABLES CLEARING</t>
  </si>
  <si>
    <t>113899    RECEIVABLES CLEARING</t>
  </si>
  <si>
    <t>113930 FEDERAL FUNDS REC CLRING</t>
  </si>
  <si>
    <t>113931 OTHER CON/GRANT REC CLEAR</t>
  </si>
  <si>
    <t>LIABILITIES:</t>
  </si>
  <si>
    <t xml:space="preserve">        Accounts payable &amp; accrued liabilities:</t>
  </si>
  <si>
    <t xml:space="preserve">   Accounts payable</t>
  </si>
  <si>
    <t>211100 ACCOUNTS PAYABLE</t>
  </si>
  <si>
    <t>211110 DUE TO EMPLOYEES</t>
  </si>
  <si>
    <t>211120  PRIZE LIABILITY</t>
  </si>
  <si>
    <t>211121 LOW TIER PRIZE LIABILITY</t>
  </si>
  <si>
    <t>211123 PRIZE LIABILITY - BREAKAGE</t>
  </si>
  <si>
    <t>211230 PAYROLL GARNISHMENT PAY</t>
  </si>
  <si>
    <t>211910 OBLIG FOR WORKERS COMP</t>
  </si>
  <si>
    <t>211940 ACCR-SALES TAX PAYABLE</t>
  </si>
  <si>
    <t>211941 DMV ACCR-SALES TAX PAY</t>
  </si>
  <si>
    <t>211950 FED 1099 WITHHOLDING PAY</t>
  </si>
  <si>
    <t>211951 ST NONRESIDENT WITHHOLD</t>
  </si>
  <si>
    <t>211952 FED/ST 1099 NONRES WITHLD</t>
  </si>
  <si>
    <t>211953 NONRESIDENT ALIEN WITHLD</t>
  </si>
  <si>
    <t>NEW ACCT for FY 2004-2005</t>
  </si>
  <si>
    <t>211954 1099 FED WITHHOLDING NONRESIDENT ALIEN WITHLD</t>
  </si>
  <si>
    <t>NEW ACCT for FY 2006-2007</t>
  </si>
  <si>
    <t>211960 ESCHEATS PAYABLE</t>
  </si>
  <si>
    <t>211990 OTH LIABILITIES-ACCRUED</t>
  </si>
  <si>
    <t>211991 INVESTMT DERIV LIAB-CURR</t>
  </si>
  <si>
    <t>NEW ACCT for FY 2009-2010</t>
  </si>
  <si>
    <t>217110 DEP PAY-CONTR RETAINAGE</t>
  </si>
  <si>
    <t xml:space="preserve">     Accrued payroll</t>
  </si>
  <si>
    <t>211210 ACCR-SALARY &amp; WAGES</t>
  </si>
  <si>
    <t>211220 W/HOLD &amp; EMPLOY MATCH PAY</t>
  </si>
  <si>
    <t xml:space="preserve">     Intergovernmental payables</t>
  </si>
  <si>
    <t>211310 INTERGOV PAY-LOCAL GOV</t>
  </si>
  <si>
    <t>211311 LIAB RESV-SALES &amp; USE TAX</t>
  </si>
  <si>
    <t>211320 INTERGOV PAY-FED AGENCY</t>
  </si>
  <si>
    <t>211325 PAYABLES TO OTHER STATES</t>
  </si>
  <si>
    <t>NEW ACCT for FY 2010-2011</t>
  </si>
  <si>
    <t>211330 LIAB RESV FOR WHITE GOODS</t>
  </si>
  <si>
    <t>211340 LIAB RESV FOR SCRAP TIRE</t>
  </si>
  <si>
    <t>211350 LIAB RESV-BEVERAGE TAX</t>
  </si>
  <si>
    <t>211360 Liab Reserve-Franchise Tx</t>
  </si>
  <si>
    <t xml:space="preserve">   Premium tax credit payable</t>
  </si>
  <si>
    <t>211601 PREMIUM TAX CREDIT PAY-ST</t>
  </si>
  <si>
    <t xml:space="preserve">     Due to plan participants</t>
  </si>
  <si>
    <t>211500 DUE TO DEFER COMP PARTIC</t>
  </si>
  <si>
    <t xml:space="preserve">     Claims payable</t>
  </si>
  <si>
    <t>215230 ESCHEATS REFUNDS PAY</t>
  </si>
  <si>
    <t>215290 CLAIMS PAY-OTH ASSISTANCE</t>
  </si>
  <si>
    <t>Unemployment benefits payable</t>
  </si>
  <si>
    <t>215220 CLAIMS PAY-UNEMPLOYMENT</t>
  </si>
  <si>
    <t>Due to fiduciary funds</t>
  </si>
  <si>
    <t>212318 GOV INTRA PAY-PENS TRST</t>
  </si>
  <si>
    <t>212319 GOV INTRA PAY-AGENCY</t>
  </si>
  <si>
    <t>212321 GOV INTRA PAY-PRIV PUR TR</t>
  </si>
  <si>
    <t>212418 GOV INTER PAY-PENS TRST</t>
  </si>
  <si>
    <t>212419 GOV INTER PAY-AGENCY</t>
  </si>
  <si>
    <t>212421 GOV INTER PAY-PRIV PUR TR</t>
  </si>
  <si>
    <t>Due to other funds</t>
  </si>
  <si>
    <t>212310 GOV INTRA PAY-GENERAL</t>
  </si>
  <si>
    <t>212311 GOV INTRA PAY-SPECIAL REV</t>
  </si>
  <si>
    <t>212313 GOV INTRA PAY-CAP IMPROV</t>
  </si>
  <si>
    <t>212314 GOV INTRA PAY-ENTERPRISE</t>
  </si>
  <si>
    <t>212315 GOV INTRA PAY-INTERN SVC</t>
  </si>
  <si>
    <t>212320 GOV INTRA PAY-PERMANENT</t>
  </si>
  <si>
    <t>212410 GOV INTER PAY-GENERAL</t>
  </si>
  <si>
    <t>212411 GOV INTER PAY-SPECIAL REV</t>
  </si>
  <si>
    <t>212413 GOV INTER PAY-CAP IMPROV</t>
  </si>
  <si>
    <t>212414 GOV INTER PAY-ENTERPRISE</t>
  </si>
  <si>
    <t>212415 GOV INTER PAY-INTERN SVC</t>
  </si>
  <si>
    <t>212420 GOV INTER PAY-PERMANENT</t>
  </si>
  <si>
    <t>Due to component units</t>
  </si>
  <si>
    <t>212600 DUE TO ST OF NC COMPONENT UNITS</t>
  </si>
  <si>
    <t>title changed for FY 2003-2004</t>
  </si>
  <si>
    <t>212700 DUE TO AG/INSTITUTION COMPONENT UNITS</t>
  </si>
  <si>
    <t>212500 DUE TO PRIMARY GOV AGENCY</t>
  </si>
  <si>
    <t>Obligations under reverse repo agre</t>
  </si>
  <si>
    <t>213100 OBL UNDER RVRSE PUR AGREE</t>
  </si>
  <si>
    <t>Obligation under securities lending</t>
  </si>
  <si>
    <t>213150 OBL UNDER SECUR LEND TRAN</t>
  </si>
  <si>
    <t>219200 Hedging deriv liab -Curr</t>
  </si>
  <si>
    <t>Medical claims payable</t>
  </si>
  <si>
    <t>215210 CLAIMS PAY-MEDICAL</t>
  </si>
  <si>
    <t>Liability insurance trust fund payable *</t>
  </si>
  <si>
    <t>215291 LIAB INS  TRUST FD PAY-CUR</t>
  </si>
  <si>
    <t>Revolving line of credit payable</t>
  </si>
  <si>
    <t>219100  Revolving line of credit</t>
  </si>
  <si>
    <t>219101  Commercial paper</t>
  </si>
  <si>
    <t>219102  Anticipation notes</t>
  </si>
  <si>
    <t>Bonds &amp; similar debt payable *</t>
  </si>
  <si>
    <r>
      <t xml:space="preserve">216100 </t>
    </r>
    <r>
      <rPr>
        <sz val="10"/>
        <rFont val="Arial"/>
        <family val="2"/>
      </rPr>
      <t>REVENUE</t>
    </r>
    <r>
      <rPr>
        <sz val="10"/>
        <rFont val="Arial"/>
        <family val="2"/>
      </rPr>
      <t xml:space="preserve"> BONDS PAYABLE</t>
    </r>
  </si>
  <si>
    <t>216105 CERTIF OF PARTICIPA PAYAB</t>
  </si>
  <si>
    <t>NEW ACCT FOR FY 2003-2004</t>
  </si>
  <si>
    <t>.  Matured Interest Payable</t>
  </si>
  <si>
    <t>216210 MATURED INTEREST PAYABLE</t>
  </si>
  <si>
    <t>.  Accrued Interest Payable</t>
  </si>
  <si>
    <t>216220 ACCRUED INTEREST PAYABLE</t>
  </si>
  <si>
    <t>217120 DEP PAY-FEDERAL GOV</t>
  </si>
  <si>
    <t>217130 N.C. Funds and Govt Units</t>
  </si>
  <si>
    <t>217140 DEP PAY-PATIENT DEPOSITS</t>
  </si>
  <si>
    <t>217150 DEP PAY-STUDENT DEPOSITS</t>
  </si>
  <si>
    <t>217160 DEP PAY-TENANTS DEPOSIT</t>
  </si>
  <si>
    <t>217170 DUE TO DEFER COMP PARTIC</t>
  </si>
  <si>
    <t>217190 FUNDS HELD FOR OTHERS</t>
  </si>
  <si>
    <t>Arbitrage rebate payable *</t>
  </si>
  <si>
    <t>See below.(moved from under A/P to separate caption)</t>
  </si>
  <si>
    <t>211400 ARBITRAGE REBATE PAYABLE</t>
  </si>
  <si>
    <t>Annuity &amp; life income payable *</t>
  </si>
  <si>
    <t>211915  ANNUITY &amp; LIFE INCOME PAYABLE</t>
  </si>
  <si>
    <t>Federal unemployment acct advances</t>
  </si>
  <si>
    <t>New caption FY 2010-2011</t>
  </si>
  <si>
    <t>211918 - Federal unemployment accounts -current</t>
  </si>
  <si>
    <t>Pollution Remediation *</t>
  </si>
  <si>
    <t xml:space="preserve">211919 -Pollution Remediation Payable - Current </t>
  </si>
  <si>
    <t xml:space="preserve">New Account FY 2008-2009. </t>
  </si>
  <si>
    <t>Accrued vacation leave *</t>
  </si>
  <si>
    <t xml:space="preserve">211920 ACCRUED VACATION </t>
  </si>
  <si>
    <t>See below.  Changed from Deferred Rev caption for 2005-2006.</t>
  </si>
  <si>
    <t>218111 UNEARNED INSURANCE PREM</t>
  </si>
  <si>
    <t>218200 OTHER DEFERRED CREDITS</t>
  </si>
  <si>
    <t>221100 ACCTS PAYABLE-NON CURR</t>
  </si>
  <si>
    <t>221910 OTHER PAYABLES-NON CURR</t>
  </si>
  <si>
    <t>221930 ESCHEATS PAYABLE</t>
  </si>
  <si>
    <t>227110 DEP PAY-CONTR RETAINAGE</t>
  </si>
  <si>
    <t>221991 INVEST DERIV LIAB NONCURR</t>
  </si>
  <si>
    <t>221601 PREMIUM TAX CREDIT PAY-LT</t>
  </si>
  <si>
    <t xml:space="preserve">   Intergovernmental payables</t>
  </si>
  <si>
    <t xml:space="preserve">See below </t>
  </si>
  <si>
    <t>221320 INTERGOV PAY-FED-NONCURR</t>
  </si>
  <si>
    <t xml:space="preserve">   Claims payable</t>
  </si>
  <si>
    <t>221990 OBLIG FOR WORKER COMP</t>
  </si>
  <si>
    <t>225290 Other Assist Claims Pay</t>
  </si>
  <si>
    <t>225220 Unemployment Claims Pay</t>
  </si>
  <si>
    <t>No accounts roll to this caption currently.</t>
  </si>
  <si>
    <t>( Blank )</t>
  </si>
  <si>
    <t>222700 DUE TO PRIMARY GOV AGENCY</t>
  </si>
  <si>
    <t>Advances from primary government</t>
  </si>
  <si>
    <t>222500 ADV FROM PRIM GOV AGENCY</t>
  </si>
  <si>
    <t>Advance from Other funds</t>
  </si>
  <si>
    <t>222310    GOV INTRA PAY-GENERAL</t>
  </si>
  <si>
    <t>222311 GOV INTRA PAY-SPECIAL REV</t>
  </si>
  <si>
    <t>222313    Advances From Cap Imp Fnd</t>
  </si>
  <si>
    <t>222314    Advances From Enterp Fund</t>
  </si>
  <si>
    <t>222315    Advances From Int Svc Fnd</t>
  </si>
  <si>
    <t>222318    Advances Pension Trst Fnd</t>
  </si>
  <si>
    <t>222319    Advances From Agency Fund</t>
  </si>
  <si>
    <t>Advances from component units</t>
  </si>
  <si>
    <t>222600 Advances from Comp Units</t>
  </si>
  <si>
    <t>Contracts payable</t>
  </si>
  <si>
    <t>( blank )</t>
  </si>
  <si>
    <t>229200 HEDGING DERIV LIAB-NONCURR</t>
  </si>
  <si>
    <t>225210 CLAIMS PAYABLE-MEDICAL</t>
  </si>
  <si>
    <t>225291 LIAB INS  TRUST FD PAY-NONCUR</t>
  </si>
  <si>
    <t>226100 REVENUE BONDS PAYABLE</t>
  </si>
  <si>
    <t>226101 GENERAL OBLIGATION BONDS PAYABLE</t>
  </si>
  <si>
    <t>226102 LSE-PURCH REV BNDS PAYABLE</t>
  </si>
  <si>
    <t>226105 CERTIFICATES OF PARTICIPATION PAYABLE</t>
  </si>
  <si>
    <t>226106 LIMITED OBLIGATION BONDS PAYABLE</t>
  </si>
  <si>
    <t>226110 UNAMORT DISC ON BONDS PAY</t>
  </si>
  <si>
    <t>226120 UNAMORT PREM ON BONDS PAY</t>
  </si>
  <si>
    <t>acct title change 7/12/02</t>
  </si>
  <si>
    <t>226130 UNAMORT CHARGE-REFUNDING BONDS</t>
  </si>
  <si>
    <t>226140 DEEP DISCOUNT DEBT</t>
  </si>
  <si>
    <t>227120 Federal Government</t>
  </si>
  <si>
    <t>227130 N.C. Funds and Govt Units</t>
  </si>
  <si>
    <t>227140 Patient Deposits</t>
  </si>
  <si>
    <t>227150 DEP PAY-STUDENT DEPOSITS</t>
  </si>
  <si>
    <t>227160 Tenants Deposits</t>
  </si>
  <si>
    <t>227170 Due to Defd Comp Plan Par</t>
  </si>
  <si>
    <t>227190 FUNDS HELD FOR OTHERS</t>
  </si>
  <si>
    <t>227191 FNDS HLD TRUST POOL PARTI</t>
  </si>
  <si>
    <t>See below. (moved from under A/P to separate caption)</t>
  </si>
  <si>
    <t>221400 ARBITRAGE REBATE PAYABLE</t>
  </si>
  <si>
    <t>221915  ANNUITY &amp; LIFE INCOME PAYABLE</t>
  </si>
  <si>
    <t>Fed unemploy acct advances- noncurr</t>
  </si>
  <si>
    <t>221918 - Federal unemployment accounts -noncurrent</t>
  </si>
  <si>
    <t>New account FY-2010-2011</t>
  </si>
  <si>
    <t>221919 -Pollution Remediation Payable - NonCurrent</t>
  </si>
  <si>
    <t>221920 ACCRUED VACATION</t>
  </si>
  <si>
    <t>Total Non-Current Liabilities</t>
  </si>
  <si>
    <t>TOTAL LIABILITIES</t>
  </si>
  <si>
    <t>Moved caption after liabilities in FY 2012-13 as per GASB 63</t>
  </si>
  <si>
    <t xml:space="preserve">   Accum incr in fair value hedg deriv</t>
  </si>
  <si>
    <t>NEW ACCT title for FY 2012-13</t>
  </si>
  <si>
    <t xml:space="preserve">  SCA revenue applicable to future year</t>
  </si>
  <si>
    <t>NEW ACCT for FY 2012-13</t>
  </si>
  <si>
    <t>TOTAL DEFERRED INFLOWS OF RESOURCES</t>
  </si>
  <si>
    <t>UNCLASSIFIED LIABILITIES</t>
  </si>
  <si>
    <t>Valid liability accts that must be zero at year-end</t>
  </si>
  <si>
    <t>212191 UNIV INTRA PAY-UNREST CUR</t>
  </si>
  <si>
    <t>212192 UNIV INTRA PAY-PROPRI</t>
  </si>
  <si>
    <t>212193 UNIV INTRA PAY-RESTR CUR</t>
  </si>
  <si>
    <t>212194 UNIV INTRA PAY-LOAN</t>
  </si>
  <si>
    <t>212195 UNIV INTRA PAY-ENDOWMENT</t>
  </si>
  <si>
    <t>212196 UNIV INTRA PAY-AGENCY</t>
  </si>
  <si>
    <t>212197 UNIV INTRA PAY-UNEXP PLNT</t>
  </si>
  <si>
    <t>212198 UNIV INTRA PAY-DEBT SVC</t>
  </si>
  <si>
    <t>212199 UNIV INTRA PAY-INV/PLANT</t>
  </si>
  <si>
    <t>INVALID Liability Accounts</t>
  </si>
  <si>
    <t>211370 Liab resv for Solid waste</t>
  </si>
  <si>
    <t>211600 TAX REFUNDS PAYABLE</t>
  </si>
  <si>
    <t>211999 AP ACCRUAL CLEARING</t>
  </si>
  <si>
    <t>moved from clearing accounts 2005-2006</t>
  </si>
  <si>
    <t>212290 UNIV INTER PAYABLE</t>
  </si>
  <si>
    <t>212291 UNIV INTER PAY-UNREST CUR</t>
  </si>
  <si>
    <t>212292 UNIV INTER PAY-PROPRI</t>
  </si>
  <si>
    <t>212293 UNIV INTER PAY-RESTR CUR</t>
  </si>
  <si>
    <t>212294    UNIV INTER PAY-LOAN</t>
  </si>
  <si>
    <t>212295 UNIV INTER PAY-ENDOWMENT</t>
  </si>
  <si>
    <t>212296    UNIV INTER PAY-AGENCY</t>
  </si>
  <si>
    <t>212297    UNIV INTER PAY-UNEX PLANT</t>
  </si>
  <si>
    <t>212298    UNIV INTER PAY-DEBT SVC</t>
  </si>
  <si>
    <t>212299    UNIV INTER PAY-INV PLANT</t>
  </si>
  <si>
    <t>212312 GOV INTRA PAY-DEBT SVC</t>
  </si>
  <si>
    <t>212316 GOV INTRA PAY-EXP TRUST</t>
  </si>
  <si>
    <t>212317    GOV INTRA PAY-NONEXP TRST</t>
  </si>
  <si>
    <t>212412    Due To Debt Service Fund</t>
  </si>
  <si>
    <t>212416 GOV INTER PAY-EXP TRUST</t>
  </si>
  <si>
    <t>212417    Due To Nonexp Trust Fund</t>
  </si>
  <si>
    <t>215110 BENEFIT PAY-PENSION</t>
  </si>
  <si>
    <t>215120    State Retirement Sys Pay</t>
  </si>
  <si>
    <t>216110 DISCNT/PREM ON BONDS PAY</t>
  </si>
  <si>
    <t>use noncurrent acct 226110</t>
  </si>
  <si>
    <t>216120 UNDERWRITERS FEES</t>
  </si>
  <si>
    <t>use noncurrent acct 226120</t>
  </si>
  <si>
    <t>216130 DEF CHRGE DUE TO ADV REF</t>
  </si>
  <si>
    <t>use noncurrent bonds payable accts 2261XX</t>
  </si>
  <si>
    <t>216140 Deep Discount Debt</t>
  </si>
  <si>
    <t>216150 MATURED BONDS PAYABLE</t>
  </si>
  <si>
    <t>216160 Unmatured Bonds Payable</t>
  </si>
  <si>
    <t>217180 INV TRUST DISTRIBUTIONS</t>
  </si>
  <si>
    <t>proprietary funds should not use/have this acct.(7/22/02)</t>
  </si>
  <si>
    <t>217191 FNDS HLD TRUST POOL PARTI</t>
  </si>
  <si>
    <t>use noncurrent acct 227191</t>
  </si>
  <si>
    <t>218120 DEF REV-UNAVAIL CURR PER</t>
  </si>
  <si>
    <t>moved from Unearned Rev 2005-2006</t>
  </si>
  <si>
    <t>219000 OTHER CURRENT LIABILITIES</t>
  </si>
  <si>
    <t>219201 Deferred Inflow - Current</t>
  </si>
  <si>
    <t>NEW ACCT for FY 2009-2010. Invalid for FY-2012-2013</t>
  </si>
  <si>
    <t>222312    Advances From Dbt Svc Fnd</t>
  </si>
  <si>
    <t>Not used since GASB 34</t>
  </si>
  <si>
    <t>222316    Advances Exp Trst Fund</t>
  </si>
  <si>
    <t>222317    Advances Nonexp Trst Fnd</t>
  </si>
  <si>
    <t>229000 OTHER NON-CURRENT LIAB</t>
  </si>
  <si>
    <t>Includes account 2138AA plus the ones below.</t>
  </si>
  <si>
    <t>211240 CENTRAL PAYROLL CLEARING</t>
  </si>
  <si>
    <t>211250 ELECTRONIC PAYABLES CLEAR</t>
  </si>
  <si>
    <t>211255 PAYROLL BENEFITS PAYABLES CLEAR</t>
  </si>
  <si>
    <t>211260 PROCUREMENT CARD CLEARING</t>
  </si>
  <si>
    <t>211270 A/P RECOVERY CLEARING</t>
  </si>
  <si>
    <t>211280 SET OFF DEBT CLEARING</t>
  </si>
  <si>
    <t>211930 HEALTH BENEFITS PAYABLE</t>
  </si>
  <si>
    <t>211970 FED CONT/GRANT PAY CLEAR</t>
  </si>
  <si>
    <t>211971 OTHER CONT/GRANT PAY CLEA</t>
  </si>
  <si>
    <t>2138AA    PAYABLES CLEARING</t>
  </si>
  <si>
    <t>NET POSITION</t>
  </si>
  <si>
    <t>330000 NET POSITION</t>
  </si>
  <si>
    <t>Change in title for FY2012-13</t>
  </si>
  <si>
    <t>Net Position Adjustments</t>
  </si>
  <si>
    <t>See below</t>
  </si>
  <si>
    <t>330001 RESTATEMENT-NET POSITION</t>
  </si>
  <si>
    <t>Revenue/expense summaries</t>
  </si>
  <si>
    <t>399998    PRIOR YEAR REV/EXP SUM</t>
  </si>
  <si>
    <t>399999 Curr Year Rev/Exp Summary</t>
  </si>
  <si>
    <t>TOTAL NET POSITION</t>
  </si>
  <si>
    <t>UNCLASSIFIED FUND EQUITY</t>
  </si>
  <si>
    <t>390000 COMPANY CLOSING ACCOUNT</t>
  </si>
  <si>
    <t>should be zero at year-end</t>
  </si>
  <si>
    <t>999999    SUSPENSE ACCOUNT</t>
  </si>
  <si>
    <t>999999998 SUSPENSE ACCOUNT</t>
  </si>
  <si>
    <t>INVALID Equity Accts</t>
  </si>
  <si>
    <t>310000 CONTRIBUTED CAPITAL</t>
  </si>
  <si>
    <t>311000 CONT CAPITAL-DONATE ASSET</t>
  </si>
  <si>
    <t>320000 FUND BALANCE</t>
  </si>
  <si>
    <t>320001 RESTATEMENT-FUND BAL</t>
  </si>
  <si>
    <t>32xxxx RESERVED BALANCES ( OLD REPORTING MODEL)</t>
  </si>
  <si>
    <t>321101 RESV BAL-INVENTORIES</t>
  </si>
  <si>
    <t>321102 RESV BAL-INVTY-VARIANCE</t>
  </si>
  <si>
    <t>321103 RESV BAL-SPECIFIC ENCUM</t>
  </si>
  <si>
    <t>321104 RESV BAL-CLEAN WATER PROJ</t>
  </si>
  <si>
    <t>321105 RESV BAL-RETRE HLTH PREM</t>
  </si>
  <si>
    <t>321106 RESV BAL-ENERGY CONSERV</t>
  </si>
  <si>
    <t>321107 RESV BAL-MEDICAID</t>
  </si>
  <si>
    <t>321108 RESV BAL-ADV FOR COM UNIT</t>
  </si>
  <si>
    <t>321109 RESV BAL-SAVINGS</t>
  </si>
  <si>
    <t>321110 RESV BAL-REPAIRS&amp;RENOV</t>
  </si>
  <si>
    <t>321111 RESV BAL-DISPROP SHARE</t>
  </si>
  <si>
    <t>321112 RESV BAL-VAC &amp; SICK LEAVE</t>
  </si>
  <si>
    <t>321113 RESV BAL-NOTES REC</t>
  </si>
  <si>
    <t>321114 RESV BAL-PUB SCHL BLDG</t>
  </si>
  <si>
    <t>321115 RESV-CRIT SCHL FAC NEEDS</t>
  </si>
  <si>
    <t>321116 RESV BAL-PREPAID EXPENSE</t>
  </si>
  <si>
    <t>321117 RESV BAL-CAPITAL PROJECTS</t>
  </si>
  <si>
    <t>321118 RESV BAL-CLAIMS/BENEFITS</t>
  </si>
  <si>
    <t>321119 RESV BAL-LOAN &amp; GRANT COM</t>
  </si>
  <si>
    <t>321120 RESV BAL-ABANDONED PROP</t>
  </si>
  <si>
    <t>321121 RESV BAL-POLITICL PARTIES</t>
  </si>
  <si>
    <t>321122 RESV BAL-WILDLIFE ENDOW</t>
  </si>
  <si>
    <t>321123 RESV BAL-RETIREMENT SYS</t>
  </si>
  <si>
    <t>321124 RES-WILDLIFE LT INTEREST</t>
  </si>
  <si>
    <t>321125 RES-WILDLIFE ST INTEREST</t>
  </si>
  <si>
    <t>321126 RES-WILDLIFE INTEREST EX</t>
  </si>
  <si>
    <t>321127 RES-WILDLIFE TRANS YOUTH</t>
  </si>
  <si>
    <t>321128 RES-CHEM ALCH TEST</t>
  </si>
  <si>
    <t>321129 RES-CULTURAL RESOURCES</t>
  </si>
  <si>
    <t>321130 RES-RESV FED RETIREE ADMIN.</t>
  </si>
  <si>
    <t>321131 RESV FED RETIREE REFUND</t>
  </si>
  <si>
    <t>321132 RESV CLEAN WATER MGMT.</t>
  </si>
  <si>
    <t>321133 RESERVE FOR INVESTMENTS</t>
  </si>
  <si>
    <t>321134 RESV BAL-INTANGIBLE TAX</t>
  </si>
  <si>
    <t>321135 RESV BAL-RAILROAD</t>
  </si>
  <si>
    <t>321137 RESV BAL-BAILEY &amp; EMORY</t>
  </si>
  <si>
    <t>321138 RESERVE FOR WORK FIRST</t>
  </si>
  <si>
    <t>321139 RESERVE FOR DPI ALLOCATIO</t>
  </si>
  <si>
    <t>321140 RESERVE-WILDLIFE TRANS IN</t>
  </si>
  <si>
    <t>321141 RESERVE FOR AQUARIUMS</t>
  </si>
  <si>
    <t>321142 RESV FOR RAILROAD DIVIDENDS</t>
  </si>
  <si>
    <t>321190 RESV BAL-OTHER RESERVED</t>
  </si>
  <si>
    <t>321198 RESV BAL-MONTHLY ACCRUALS</t>
  </si>
  <si>
    <t>321199 RESV BEG FUND BAL ADJUST</t>
  </si>
  <si>
    <t>322100 RESTR FUND BALANCE</t>
  </si>
  <si>
    <t>322101 RESTR BAL-LOANS</t>
  </si>
  <si>
    <t>322102 RESTR BAL-ENDOWMENTS</t>
  </si>
  <si>
    <t>322103 RESTR-REV BOND RETIREMENT</t>
  </si>
  <si>
    <t>322104 RESTR FOR RESTR FUNDS</t>
  </si>
  <si>
    <t>322105 RESTRICTED FOR UNEXP PLNT</t>
  </si>
  <si>
    <t>322106 REST US GOV GRANTS REFUND</t>
  </si>
  <si>
    <t>322107 RESTRICTED FOR TERM ENDOW</t>
  </si>
  <si>
    <t>322108 RESTRICT FOR QUASI-ENDOWM</t>
  </si>
  <si>
    <t>322109 REST ANNUITY LIFE INC FDS</t>
  </si>
  <si>
    <t>322110 RESTRICT REPAIR &amp; REPLACE</t>
  </si>
  <si>
    <t>322190 RESTR BEG FUND BAL ADJUST</t>
  </si>
  <si>
    <t>323110 UNRESV-UNDESIG FUND BAL</t>
  </si>
  <si>
    <t>323120 UNRESV-SUBSEQUENT YR EXP</t>
  </si>
  <si>
    <t>323130 UNRES SAVINGS RESERVE</t>
  </si>
  <si>
    <t>323201 DES REPAIRS &amp; RENOVATIONS</t>
  </si>
  <si>
    <t>323202 DES CW MANAGEMNT TRUST FD</t>
  </si>
  <si>
    <t>323203 DES DISPROPORTIONATE SHAR</t>
  </si>
  <si>
    <t>323204 DES AQUARIUMS</t>
  </si>
  <si>
    <t>323205 DES WORK FIRST</t>
  </si>
  <si>
    <t>323206 DES CAPITAL PROJECTS</t>
  </si>
  <si>
    <t>323207 DES RAILROAD DIVIDENDS</t>
  </si>
  <si>
    <t>323208 DES INTANGIBLES RESERVE</t>
  </si>
  <si>
    <t>323190 UNRSV BEG FUND BAL ADJUST</t>
  </si>
  <si>
    <t>324110 UNRESTR-UNDESIG FUND BAL</t>
  </si>
  <si>
    <t>324120 UNRESTR-SUBSEQUENT YR EXP</t>
  </si>
  <si>
    <t>324130 UNRESTRICTED QUASI ENDOW</t>
  </si>
  <si>
    <t>324190 UNRESTR-BEG FUND BAL ADJ</t>
  </si>
  <si>
    <t>331910 RET EARN-AJD TO CSH REV</t>
  </si>
  <si>
    <t>331920 RET EARN-AJD TO CSH EXP</t>
  </si>
  <si>
    <t>340000 INVESTMENT IN PROPERTY</t>
  </si>
  <si>
    <t xml:space="preserve">Note: New accounts for current fiscal year can be found at </t>
  </si>
  <si>
    <t xml:space="preserve">http://www.osc.nc.gov/sigdocs/sig_docs/sigNCAS_Data_Elements.html </t>
  </si>
  <si>
    <t>Nine digit sub accounts roll to the  6 digit account</t>
  </si>
  <si>
    <t>OPERATING REVENUES</t>
  </si>
  <si>
    <t>434101 SALES/SERVICES - BAD DEBT</t>
  </si>
  <si>
    <t>434102 SALES/SERVICES-ALLOWANCE</t>
  </si>
  <si>
    <t>434110 HOUSEHOLD/CLEANING SVC</t>
  </si>
  <si>
    <t>434120 TRANSPORTATION SALES/SVC</t>
  </si>
  <si>
    <t>434131 TELEPHONE/TELECOM SVC</t>
  </si>
  <si>
    <t>434132 COMPUTER SALES &amp; SVC</t>
  </si>
  <si>
    <t>434133 POSTGE,FRGHT &amp; DELIV SVC</t>
  </si>
  <si>
    <t>434134 PRINT, BIND &amp; DUPLIC SVC</t>
  </si>
  <si>
    <t>434139 OTHER COMMUNICATION SVC</t>
  </si>
  <si>
    <t>434140 MAINTENANCE &amp; REPAIR SVC</t>
  </si>
  <si>
    <t>434150 FOOD &amp; VENDING SVC</t>
  </si>
  <si>
    <t>434160 PROFESSIONAL SERVICES</t>
  </si>
  <si>
    <t>434170 UTILITY SALES &amp; SERVICES</t>
  </si>
  <si>
    <t>434180 AGRICULT &amp; FORESTRY SVC</t>
  </si>
  <si>
    <t>434190 OTHER SALES &amp; SERVICES</t>
  </si>
  <si>
    <t>434195 UNIV/CC AUXILIARY SALES</t>
  </si>
  <si>
    <t>434196 SALES COMMISSIONS</t>
  </si>
  <si>
    <t>434310 SALE OF PUBLICATIONS</t>
  </si>
  <si>
    <t>434390 OTH SALES OF GOODS</t>
  </si>
  <si>
    <t>434700  LOTTERY TICKET SALES</t>
  </si>
  <si>
    <t>4358XX  Tuition &amp; fees</t>
  </si>
  <si>
    <t>434200 HOSPITAL &amp; MEDICAL SALES</t>
  </si>
  <si>
    <t>434201 HOSP/MED SALES-BAD DEBT</t>
  </si>
  <si>
    <t>535611 CONTRACTUAL ADJUSTMENTS</t>
  </si>
  <si>
    <t>535612 INDIGENT CARE WRITE-OFFS</t>
  </si>
  <si>
    <t>436150 EMPLYER UNEMP INS CONTRIB</t>
  </si>
  <si>
    <t>432997 FEDERAL APPROPRIATIONS</t>
  </si>
  <si>
    <t xml:space="preserve">Accounts 4327AA </t>
  </si>
  <si>
    <t>State and local grants and contacts</t>
  </si>
  <si>
    <t>Accounts 4328AA,432CAA, 432FAA, 432HAA</t>
  </si>
  <si>
    <t>Nongovernmental grants and contacts</t>
  </si>
  <si>
    <t>Accounts 432BAA</t>
  </si>
  <si>
    <t>433200 INTEREST EARN ON LOANS-PROGRAM</t>
  </si>
  <si>
    <t>433210 CONSTRUCTION PERIOD INT</t>
  </si>
  <si>
    <t>437112 LOAN COLLECTION-INTEREST</t>
  </si>
  <si>
    <t>434410 RENTAL OF REAL PROPERTY</t>
  </si>
  <si>
    <t>434420 RENTAL OF EQUIPMENT</t>
  </si>
  <si>
    <t>434430 RENTAL PARKING LOTS</t>
  </si>
  <si>
    <t>437993 ELECTRON/DIGITAL TRAN FEE</t>
  </si>
  <si>
    <t>moved from Misc Rev 2005-2006</t>
  </si>
  <si>
    <t>437994 RETURNED CHECK FEE</t>
  </si>
  <si>
    <t>435901 UPPER PAYMENT LIMIT (UPL) HOSPITAL ASSESSMENTS</t>
  </si>
  <si>
    <t>New for FY 2011-2012</t>
  </si>
  <si>
    <t>435902 EQUITY ASSESSMENTS</t>
  </si>
  <si>
    <t>435903 PUB HOSP ENHANCED DEF PAY</t>
  </si>
  <si>
    <t>538030 FINE/PENALTY/FORFEIT -TRANSFER</t>
  </si>
  <si>
    <t>New account for FY 2010-2011</t>
  </si>
  <si>
    <t>Toll revenue</t>
  </si>
  <si>
    <t>435710 Toll receipts</t>
  </si>
  <si>
    <t>New for FY 2010-2011</t>
  </si>
  <si>
    <t>435711 Toll receipts - bad debt</t>
  </si>
  <si>
    <t>Insurance premiums</t>
  </si>
  <si>
    <t>434600 INSURANCE PREMIUMS</t>
  </si>
  <si>
    <t>437111 LOAN COLLECTION-PRINCIPAL</t>
  </si>
  <si>
    <t>437115 LIQU. DAMAGE COLLECTIONS</t>
  </si>
  <si>
    <t>437117 REBATES</t>
  </si>
  <si>
    <t>437118 PER DIEM COLLECTIONS</t>
  </si>
  <si>
    <t>437119 PUBLIC ASSIST COLLECTIONS</t>
  </si>
  <si>
    <t>437120 MED RECOUP NON-ST AGENCY</t>
  </si>
  <si>
    <t>437121 PAYBACK SETTLEMENTS</t>
  </si>
  <si>
    <t>437122 ACCTS REC INTEREST</t>
  </si>
  <si>
    <t>437123 ACCTS REC PENALTY</t>
  </si>
  <si>
    <t>437127 PROCUREMENT CARD REBATES</t>
  </si>
  <si>
    <t>NEW FOR FY 2008</t>
  </si>
  <si>
    <t>437800 RESERVE TO BDGT REDUCTION</t>
  </si>
  <si>
    <t>437990 OTHER MISC REV-PROGRAM</t>
  </si>
  <si>
    <t>437995 OTHER MISC REV-GENERAL</t>
  </si>
  <si>
    <t>UNCLASSIFIED REVENUES</t>
  </si>
  <si>
    <t>432998 COUNTY APPROPRIATIONS</t>
  </si>
  <si>
    <t>will be analyzed, when used</t>
  </si>
  <si>
    <t>Valid rev accts that must be zero at year-end</t>
  </si>
  <si>
    <t>432996 PROVIDER MATCH</t>
  </si>
  <si>
    <t>435900064 STATE ICF-MR ASSESSMENT CLEARING</t>
  </si>
  <si>
    <t>moved from fees for 2005-2006</t>
  </si>
  <si>
    <t>437210 PROCEEDS-GENERAL OBLIGATION BONDS</t>
  </si>
  <si>
    <t>437211 PROCEEDS - REVENUE BONDS</t>
  </si>
  <si>
    <t>437212 PROCEEDS OF REFUND DEBT</t>
  </si>
  <si>
    <t>437214 PROCEEDS-OTHER FINANCING</t>
  </si>
  <si>
    <t>437215 BOND PREMIUM</t>
  </si>
  <si>
    <t>437217 PROCEED-LSE PURCH REV BND</t>
  </si>
  <si>
    <t>437218 PROCEEDS - GARVEE</t>
  </si>
  <si>
    <t>NEW FOR FY 2007-2008</t>
  </si>
  <si>
    <t>437219 PROCEEDS-LIMITED OBLIGATION BONDS</t>
  </si>
  <si>
    <t>437220 PROCEEDS -FEDERAL LOAN</t>
  </si>
  <si>
    <t>NEW FOR FY 2009-2010</t>
  </si>
  <si>
    <t>437300 INDIRECT(OVERHD) COST REC</t>
  </si>
  <si>
    <t>moved from misc for 2006-2007</t>
  </si>
  <si>
    <t>437500 RETIREMENT OF INDEBTEDNES</t>
  </si>
  <si>
    <t>moved from misc for 2005-2006</t>
  </si>
  <si>
    <t>437600 PLANT FUND ADDITION-UNIV</t>
  </si>
  <si>
    <t>437992 IMP/PETTY CASH RE-DEPOSIT</t>
  </si>
  <si>
    <t>438045 INTERFUND BORROWING</t>
  </si>
  <si>
    <t>NEW FOR FY 2010-2011</t>
  </si>
  <si>
    <t>438046 INTERFUND BORROWING REPAYMENT</t>
  </si>
  <si>
    <t>4389 PRIOR YEAR CARRYFORWARD</t>
  </si>
  <si>
    <t>moved from trf in for 2005-2006</t>
  </si>
  <si>
    <t>438RAA Transfer In- ARRA Billing Rate (should be zero for year end)</t>
  </si>
  <si>
    <t>NEW ACCOUNT FOR FY 2009-2010</t>
  </si>
  <si>
    <t>INVALID Revenue Accounts</t>
  </si>
  <si>
    <t>431100 TAX REVENUES</t>
  </si>
  <si>
    <t>431101 HIGHWAY USE TAX</t>
  </si>
  <si>
    <t>431102 MOTOR FUEL TAX</t>
  </si>
  <si>
    <t>431200 TAX REVENUE REFUNDS</t>
  </si>
  <si>
    <t>431201 TAX REFUND HIGHWAY USE</t>
  </si>
  <si>
    <t>431202 TAX REFUND MOTOR FUEL</t>
  </si>
  <si>
    <t>431300 TAX DISTRIBUTION IN</t>
  </si>
  <si>
    <t>431400 TAX DISTRIBUTION OUT</t>
  </si>
  <si>
    <t xml:space="preserve">432999 FEDERAL GRANTS - NONOPER  </t>
  </si>
  <si>
    <t>433110 INT/DIV ON INVESTMENTS</t>
  </si>
  <si>
    <t>433112 INTEREST INC-BOND PROCEED</t>
  </si>
  <si>
    <t>433113 INT/DIV INC INVST-GENERAL</t>
  </si>
  <si>
    <t>433114 INT INC-BOND PROC-GENERAL</t>
  </si>
  <si>
    <t>433120 STIF INTEREST INCOME</t>
  </si>
  <si>
    <t>433122 STIF INT INC-GENERAL REV</t>
  </si>
  <si>
    <t>433130 LTIF INTEREST INCOME</t>
  </si>
  <si>
    <t>433132 LTIF INT INC-GENERAL REV</t>
  </si>
  <si>
    <t>433140 EQUITY FUND INT INCOME</t>
  </si>
  <si>
    <t>433150 REAL ESTATE FUND INT INC</t>
  </si>
  <si>
    <t>433160 VENTURE CAP FUND INT INC</t>
  </si>
  <si>
    <t>433170 LIQUID ASSET FUND INT INC</t>
  </si>
  <si>
    <t>433180 INFLATION PROTECTION INVESTMENT FUND INTEREST INCOME</t>
  </si>
  <si>
    <t>New Account FY 2009-2010</t>
  </si>
  <si>
    <t>433190 CREDIT INVESTMENT FUND INTEREST INCOME</t>
  </si>
  <si>
    <t>433201 INT EARNINGS LOAN-GENERAL</t>
  </si>
  <si>
    <t>Use acct 433200</t>
  </si>
  <si>
    <t>434320 SALE OF SURPLUS PROPERTY</t>
  </si>
  <si>
    <t>434500 SALE OF LAND</t>
  </si>
  <si>
    <t>435590 TOBACCO SETTLEMENT</t>
  </si>
  <si>
    <t>435811 RESIDENT ELDERLY TUITION WAIVER</t>
  </si>
  <si>
    <t>435829 NONRES MILITARY TUITION</t>
  </si>
  <si>
    <t>moved from Fees, Lic 2005-2006</t>
  </si>
  <si>
    <t>436110 PENS/INSUR EMPLYER CONTR</t>
  </si>
  <si>
    <t>436120 PENS/INSUR EMPLYEE CONTR</t>
  </si>
  <si>
    <t>436130 ON BEHALF CONTRIBUTIONS</t>
  </si>
  <si>
    <t>436140 RETIREE INSURANCE CONTRIB</t>
  </si>
  <si>
    <t>436160 TRUSTEE DEPOSITS</t>
  </si>
  <si>
    <t>436201 PRIV DON &amp; GIFTS - NONOP</t>
  </si>
  <si>
    <t>Use accts 436200 or 436203</t>
  </si>
  <si>
    <t>436300 PUBLIC DONATIONS &amp; GIFTS</t>
  </si>
  <si>
    <t>436301 PUB DON &amp; GIFTS - NONOPER</t>
  </si>
  <si>
    <t>437113 INSURANCE RECOVERIES</t>
  </si>
  <si>
    <t>moved from Miscell Rev 2005-2006</t>
  </si>
  <si>
    <t>437114 ESCHEAT FUND COLLECTIONS</t>
  </si>
  <si>
    <t>437216 CERTIFICATES OF PARTICIPA</t>
  </si>
  <si>
    <t>437400 REALIZED GAIN-SALE OF INV</t>
  </si>
  <si>
    <t>437401 REALIZD GAIN-SALE INV-GEN</t>
  </si>
  <si>
    <t>437410 UNREALIZD GAIN INV-PROGRM</t>
  </si>
  <si>
    <t>437411 UNREALIZD GAIN INV-GENERL</t>
  </si>
  <si>
    <t>437420 PURCHASE/REDEMPT OF UNITS</t>
  </si>
  <si>
    <t>437430 REINVESTMENT OF DISTRIB</t>
  </si>
  <si>
    <t>438030 TRANSFER FROM CIVIL FINE/PENALTY FUND</t>
  </si>
  <si>
    <t>New Account FY 2010-2011</t>
  </si>
  <si>
    <t>438072 TRANSFER NIN TO UNIV 2011 R&amp;R RESERVE</t>
  </si>
  <si>
    <t>4382AA STATEWIDE REIMBURSEMENTS</t>
  </si>
  <si>
    <t>OPERATING EXPENSES</t>
  </si>
  <si>
    <t>.  Personal services</t>
  </si>
  <si>
    <t>531110 EPA REG SALARIES-UNIV</t>
  </si>
  <si>
    <t>531111 EPA-REG SALARIES-APPRO</t>
  </si>
  <si>
    <t>531112 EPA-REG SALARIES-RECPT</t>
  </si>
  <si>
    <t>531113 EPA-REG SALARIES-UNDESIG</t>
  </si>
  <si>
    <t>531114 EPA-REG SAL/WAGE-INDIRECT</t>
  </si>
  <si>
    <t>ADDED 2004</t>
  </si>
  <si>
    <t>531120 EPA-SPC SAL-APP-DIRECTOR</t>
  </si>
  <si>
    <t>531121 EPA-SPC SAL-APP-JUDGES</t>
  </si>
  <si>
    <t>531122 EPA-SPC SAL-APP-DA/AST DA</t>
  </si>
  <si>
    <t>531123 EPA-SPC SAL-APP-MAGISTRAT</t>
  </si>
  <si>
    <t>531124 EPA-SPC SAL-APP-CRT REP</t>
  </si>
  <si>
    <t>531125 EPA-SPC SAL-APP-CLERK</t>
  </si>
  <si>
    <t>531126 EPA-SPC SAL-APP-SPEC COUN</t>
  </si>
  <si>
    <t>531127 EPA-SPC SAL-APP-CRT COUN</t>
  </si>
  <si>
    <t>531128 EPA-SPC SAL-APP-PD/AST PD</t>
  </si>
  <si>
    <t>531129 EPA-SPC SAL-APP-AD/AST AD</t>
  </si>
  <si>
    <t>531130 EPA-SPC-SAL-APP-STAFF</t>
  </si>
  <si>
    <t>531141 SEC/COUNCIL OF ST SAL-APP</t>
  </si>
  <si>
    <t>531142   EPA SEC/COUNCIL OF ST SAL</t>
  </si>
  <si>
    <t>531150 EPA-TEACH SALARIES-UNIV</t>
  </si>
  <si>
    <t>531151 EPA-TEACH SALARIES-APPRO</t>
  </si>
  <si>
    <t>531152 EPA-TEACH SALARIES-RECPT</t>
  </si>
  <si>
    <t>531153 EPA - TEACH SALARIES - UNDESIGNATED</t>
  </si>
  <si>
    <t>531154 EPA - TIME LIMITED SAL - APPROPRIATED</t>
  </si>
  <si>
    <t>531156 EPA - TIME LIMITED TEACH SAL - UNDESIGNATED</t>
  </si>
  <si>
    <t>531160 EPA - TIME LIMITED SAL - UNIVERSITY</t>
  </si>
  <si>
    <t>531155 EPA-T LIMIT TEACH SAL-REC</t>
  </si>
  <si>
    <t>NEW ACCT FOR FY 2002-2003</t>
  </si>
  <si>
    <t>531161 EPA- Time limited Sal- Approp</t>
  </si>
  <si>
    <t>Old account used in FY 2008-2009</t>
  </si>
  <si>
    <t>531162 EPA-TIME LIMITED SAL-RECP</t>
  </si>
  <si>
    <t>531191 EPA-REG SALARY -INCREASES</t>
  </si>
  <si>
    <t>531192 EPA-TEACH SAL -INCREASES</t>
  </si>
  <si>
    <t>531210 SPA-REG SALARIES-UNIV</t>
  </si>
  <si>
    <t>531211 SPA-REG SALARIES-APPRO</t>
  </si>
  <si>
    <t>531212 SPA-REG SALARIES-RECPT</t>
  </si>
  <si>
    <t>531213 SPA-REG SALARIES-UNDESIG</t>
  </si>
  <si>
    <t>531214 SPA-REG SAL/WAGE-INDIRECT</t>
  </si>
  <si>
    <t>531220 SPA TIME LIMITED SAL-UNIV</t>
  </si>
  <si>
    <t>531221 SPA TIME LIMITED SAL-APP</t>
  </si>
  <si>
    <t>531222 SPA TIME LIMITEDSAL-REC</t>
  </si>
  <si>
    <t>531223 SPA TIME LIMITED SAL-UNDE</t>
  </si>
  <si>
    <t>531230 LEO SALARIES-UNIVERSITY</t>
  </si>
  <si>
    <t>NEW ACCT FOR FY 2005-2006. Title changed in 2009-2010</t>
  </si>
  <si>
    <t>531231 LEO SALARIES -APPROPRIATED</t>
  </si>
  <si>
    <t>531232 LEO SALARIES -RECEIPTS</t>
  </si>
  <si>
    <t>531233 LEO SALARIES  -UNDESIGNATED</t>
  </si>
  <si>
    <t>531251 SPA-TEACH SALARIES-APPRO</t>
  </si>
  <si>
    <t>531252 SPA-TEACH SALARIES-RECPT</t>
  </si>
  <si>
    <t>531253 SPA-TEACH SALARIES-UNDESG</t>
  </si>
  <si>
    <t>531254 SPA TEACHING SUPPL-APPROP</t>
  </si>
  <si>
    <t>531255 SPA TEACHING SUPPLE-REC</t>
  </si>
  <si>
    <t>531256 SPA TEACHING SUPP-UNDESIG</t>
  </si>
  <si>
    <t>531257 SPA T LIMIT TEACH SAL-APP</t>
  </si>
  <si>
    <t>531258 SPA T LIMIT TEACH SAL-REC</t>
  </si>
  <si>
    <t>531291 SPA REG SALARY -INCREASES</t>
  </si>
  <si>
    <t>531292 SPA TEACH SAL -INCREASES</t>
  </si>
  <si>
    <t>531310 REG(N S) TEMP WAGES-UNIV</t>
  </si>
  <si>
    <t>531311 REG(N S) TEMP WAGES-APPR</t>
  </si>
  <si>
    <t>531312 REG(N S) TEMP WAGES-RECPT</t>
  </si>
  <si>
    <t>531313 REG(N S) TEMP WAGES-UNDES</t>
  </si>
  <si>
    <t>531320 CONTR EMPL PER IRS-UNIV</t>
  </si>
  <si>
    <t>531321 CONTR EMPL PER IRS-APPRO</t>
  </si>
  <si>
    <t>531322 CONTR EMPL PER IRS-RECPT</t>
  </si>
  <si>
    <t>531323 CONTR EMPL PER IRS-UNDES</t>
  </si>
  <si>
    <t>531350 STU TEMP WAGES - UNIV</t>
  </si>
  <si>
    <t>531351 STU TEMP WAGES - APPRO</t>
  </si>
  <si>
    <t>531352 STU TEMP WAGES - RECPTS</t>
  </si>
  <si>
    <t>531353 STU TEMP WAGES - UNDESIG</t>
  </si>
  <si>
    <t>531410 OT PAY - UNIV</t>
  </si>
  <si>
    <t>531411 OT PAY - APPROPRIATED</t>
  </si>
  <si>
    <t>531412 OT PAY - RECEIPTS</t>
  </si>
  <si>
    <t>531413 OT PAY - UNDESIGNATED</t>
  </si>
  <si>
    <t>531420 HOLIDAY PAY - UNIV</t>
  </si>
  <si>
    <t>531421 HOLIDAY PAY - APPRO</t>
  </si>
  <si>
    <t>531421000 HOLIDAY PAY - APPRO</t>
  </si>
  <si>
    <t>531422 HOLIDAY PAY - RECEIPTS</t>
  </si>
  <si>
    <t>531423 HOLIDAY PAY - UNDESIGNATD</t>
  </si>
  <si>
    <t>531430 SHIFT PREM PAY - UNIV</t>
  </si>
  <si>
    <t>531431 SHIFT PREM PAY - APPRO</t>
  </si>
  <si>
    <t>531432 SHIFT PREM PAY - RECEIPTS</t>
  </si>
  <si>
    <t>531433 SHIFT PREM PAY - UNDESIG</t>
  </si>
  <si>
    <t>531440 CALLBK/STBY PREM PAY-UNIV</t>
  </si>
  <si>
    <t>531441 CALLBK/STBY PREM PAY-APPR</t>
  </si>
  <si>
    <t>531442 CALLBK/STBY PREM PAY-RECT</t>
  </si>
  <si>
    <t>531443 CALLBK/STBY PREM PAY-UNDE</t>
  </si>
  <si>
    <t>531450 DUAL EMPL WAGES - UNIV</t>
  </si>
  <si>
    <t>531452 DUAL EMPL WAGES - RECPTS</t>
  </si>
  <si>
    <t>531453 DUAL EMPL WAGES - UNDESIG</t>
  </si>
  <si>
    <t>531620 SEVER SLRY CONTINUE-UNIV</t>
  </si>
  <si>
    <t>531621 SEVER SLRY CONTINUE-APPRO</t>
  </si>
  <si>
    <t>531622 SEVER SLRY CONTINUE-RECT</t>
  </si>
  <si>
    <t>531623 SEVER SLRY CONTINUE-UNDES</t>
  </si>
  <si>
    <t>531641 INMATE LABOR</t>
  </si>
  <si>
    <t>531642 THERAPEUTIC WAGES</t>
  </si>
  <si>
    <t>531643 NATIONAL GUARD PAYMENTS</t>
  </si>
  <si>
    <t>531649 OTH SPECIAL PROGRAM WAGES</t>
  </si>
  <si>
    <t>531651 COMPENSATION TO BOARD MEM</t>
  </si>
  <si>
    <t>531652 COMPEN TO OTH ELECTED OFF</t>
  </si>
  <si>
    <t>.  Employee benefits</t>
  </si>
  <si>
    <t>531460 EPA&amp;SPA-LONGVTY PAY-UNIV</t>
  </si>
  <si>
    <t>531461 EPA&amp;SPA-LONGVTY PAY-APPRO</t>
  </si>
  <si>
    <t>531462 EPA&amp;SPA-LONGVTY PAY-REC</t>
  </si>
  <si>
    <t>Acct 531462001 inactivated 6/1/05</t>
  </si>
  <si>
    <t>531463 EPA&amp;SPA-LONGVTY PAY-UNDES</t>
  </si>
  <si>
    <t>531464 LONGEVITY-INDIRECT COST</t>
  </si>
  <si>
    <t>531471 BONUS INCENTIVE PAY - APPROP</t>
  </si>
  <si>
    <t>531472 BONUS INCENTIVE WAGES- RECEIPTS</t>
  </si>
  <si>
    <t>531510 SOCIAL SEC CONTRIB-UNIV</t>
  </si>
  <si>
    <t>531511 SOCIAL SEC CONTRIB-APPRO</t>
  </si>
  <si>
    <t>531512 SOCIAL SEC CONTRIB-RECPTS</t>
  </si>
  <si>
    <t>531513 SOCIAL SEC CONTRIB-UNDES</t>
  </si>
  <si>
    <t>531514 SOC SECURITY-INDIRECT COS</t>
  </si>
  <si>
    <t>531520 REG RETIRE CONTRIB-UNIV</t>
  </si>
  <si>
    <t>531521 REG RETIRE CONTRIB-APPRO</t>
  </si>
  <si>
    <t>531522 REG RETIRE CONTRIB-RECPTS</t>
  </si>
  <si>
    <t>531523 REG RETIRE CONTRIB-UNDES</t>
  </si>
  <si>
    <t>531524 REG RETIRE-INDIRECT COST</t>
  </si>
  <si>
    <t>531530 LEO RETIRE CONTRIB-UNIV</t>
  </si>
  <si>
    <t>531531 LEO RETIRE CONTRIB-APPRO</t>
  </si>
  <si>
    <t>531532 LEO RETIRE CONTRIB-RECPTS</t>
  </si>
  <si>
    <t>531533 LEO RETIRE CONTRIB-UNDES</t>
  </si>
  <si>
    <t>531540 OPT RETIRE CONTRIB-UNIV</t>
  </si>
  <si>
    <t>531541 OPTIONAL RETIREMENT - APPROPRIATED</t>
  </si>
  <si>
    <t>531542 OPTIONAL RETIREMENT - RECEIPTS</t>
  </si>
  <si>
    <t>531560 MED INS CONTRIB-UNIV</t>
  </si>
  <si>
    <t>531561 MED INS CONTRIB-APPRO</t>
  </si>
  <si>
    <t>531562 MED INS CONTRIB-RECPTS</t>
  </si>
  <si>
    <t>531563 MED INS CONTRIB-UNDES</t>
  </si>
  <si>
    <t>531564 MED INS CONTRIB-INDIRECT</t>
  </si>
  <si>
    <t>531571 DISABILITY INS PREM</t>
  </si>
  <si>
    <t>531573 WORKER COMP PREMIUMS</t>
  </si>
  <si>
    <t>531574 ADDITIONAL EMPLOYEE BENEFITS</t>
  </si>
  <si>
    <t>531575 EMPLOYEE ASSISTANCE PROGR</t>
  </si>
  <si>
    <t>531576 FLEXIBLE SPENDING ACCOUNT SAVINGS TRANSFER</t>
  </si>
  <si>
    <t>531590 RESERVES FOR STAFF BENE</t>
  </si>
  <si>
    <t>531611 EMPLOYEE SUGGESTION AWARD</t>
  </si>
  <si>
    <t>531624 GRIEVANCE SETTLEMENT</t>
  </si>
  <si>
    <t>531625 ST DISABILITY PMT-UNDES/UNIV</t>
  </si>
  <si>
    <t>531626 EXTEND ST DISABILITY PMT</t>
  </si>
  <si>
    <t>531627 ST DISABILITY PMT-APPROP</t>
  </si>
  <si>
    <t>531628 ST DISABILITY PMT-RECEIPT</t>
  </si>
  <si>
    <t>531631 WRKER COMP-MED PAYMENTS</t>
  </si>
  <si>
    <t>531632 WRKER COMP-TEMP DIS PAYMN</t>
  </si>
  <si>
    <t>531633 WRKER COMP-PERM DIS PAYMN</t>
  </si>
  <si>
    <t>531634 WRKER COMP-DEATH BENEFITS</t>
  </si>
  <si>
    <t>531639 OTHER WORKERS COMP COSTS</t>
  </si>
  <si>
    <t>531660 TAXBLE EMPL EXP REIMB</t>
  </si>
  <si>
    <t>531661 TAXABLE EMPLOYEE EXPENSE REIMBURSEMENT - APPROPRIATED</t>
  </si>
  <si>
    <t>531662 TAXABLE EMPLOYEE EXPENSE REIMBURSEMENT-RECEIPTS</t>
  </si>
  <si>
    <t>531663 TAXABLE EMPLOYEE EXPENSE REIMBURSEMENT- UNDESIGNATED</t>
  </si>
  <si>
    <t>set up in 6/2/07. Not used yet.</t>
  </si>
  <si>
    <t>531664 NONTAXABLE EMPLOYEE CELL PHONE REIMBURSEMENT</t>
  </si>
  <si>
    <t>NEW ACCT FOR FY 2011-2012</t>
  </si>
  <si>
    <t>531700 CHANGE IN ACCRD VACATION</t>
  </si>
  <si>
    <t>531998 HLTH BNFITS INTRFACE SUSP</t>
  </si>
  <si>
    <t>531999 PAYROLL INTRFACE SUSPENSE</t>
  </si>
  <si>
    <t>532941 EMP EDUCATION ASSIST PROG</t>
  </si>
  <si>
    <t>moved from Other Services 2005-2006</t>
  </si>
  <si>
    <t>532942 OTHER EMP EDUCATIONAL EXP</t>
  </si>
  <si>
    <t>532950 EMP MOVING EXPENSES</t>
  </si>
  <si>
    <t>532951 STAFF TUITION WAIVER</t>
  </si>
  <si>
    <t>535840 SERVICE &amp; OTHER AWARDS</t>
  </si>
  <si>
    <t>Unemployment benefits</t>
  </si>
  <si>
    <t>535241 UNEMP COMP PAYMENTS</t>
  </si>
  <si>
    <t>533XXX Supplies except 533800</t>
  </si>
  <si>
    <t>.  Contracted personal services</t>
  </si>
  <si>
    <t>532110 LEGAL SERVICES</t>
  </si>
  <si>
    <t>532120 FINAN/AUDIT SERVICES</t>
  </si>
  <si>
    <t>532123 ARRA BILLING RATE</t>
  </si>
  <si>
    <t>532131 HOSPITAL PROVDED MED SERV</t>
  </si>
  <si>
    <t>532132 OTHER PROVIDED MED SER</t>
  </si>
  <si>
    <t>532133 EMPLYEE/EMPLYMENT PHYSICA</t>
  </si>
  <si>
    <t>532141 WAN SUPPORT SERVICES</t>
  </si>
  <si>
    <t>NEW effective July 1, 2002</t>
  </si>
  <si>
    <t>532142 VIDEO TRANSMISSION SUPPORT SVCS</t>
  </si>
  <si>
    <t>NEW effective January 1, 2003</t>
  </si>
  <si>
    <t>532143 LAN SUPPORT SERVICES</t>
  </si>
  <si>
    <t>532144 PC/PRINTER SUPPORT SVC</t>
  </si>
  <si>
    <t>532146 MAINFRAME SUPPORT SVC</t>
  </si>
  <si>
    <t>532147 IT SEAT MANAGEMENT SVC</t>
  </si>
  <si>
    <t>532150 ACADEMIC SERVICES</t>
  </si>
  <si>
    <t>532150000 ACADEMIC SERVICES</t>
  </si>
  <si>
    <t>532160 ENGINEERING SERVICES</t>
  </si>
  <si>
    <t>532170 ADMIN SERVICES</t>
  </si>
  <si>
    <t>532171 ADMIN SVCS-EXTENDED SVCS</t>
  </si>
  <si>
    <t>532181 FOOD SER AGREEMENT</t>
  </si>
  <si>
    <t>532182 LAUNDRY SER AGREEMENT</t>
  </si>
  <si>
    <t>532183 LABORATORY SER AGREEMENT</t>
  </si>
  <si>
    <t>532183000 LABORATORY SER AGREEMENT</t>
  </si>
  <si>
    <t>532185 WASTE REM/RECY SER AGREEM</t>
  </si>
  <si>
    <t>532185000 WASTE REM/RECY SER AGREEM</t>
  </si>
  <si>
    <t>532186 SECURITY SERVICE AGREE</t>
  </si>
  <si>
    <t>532187 PEST CONTROL AGREEMENT</t>
  </si>
  <si>
    <t>532188 LAWNS &amp; GROUNDS SER AGREE</t>
  </si>
  <si>
    <t>532191 DUAL EMP PAY TO AGENCY</t>
  </si>
  <si>
    <t>532192 HONORARIUMS</t>
  </si>
  <si>
    <t>532193 TRANSPORTATION SVCS</t>
  </si>
  <si>
    <t>532194 EMPLOYEE ON LOAN PAYMENTS</t>
  </si>
  <si>
    <t>532195 VETERINARY SERVICES</t>
  </si>
  <si>
    <t>NEW ACCT FOR FY 2004-2005</t>
  </si>
  <si>
    <t>532196 RESTORATION SERVICES</t>
  </si>
  <si>
    <t>532197 GAMING SYSTEMS SERVICES</t>
  </si>
  <si>
    <t>532199 MISC CONTRACTUAL SERVICES</t>
  </si>
  <si>
    <t>Acct 532199014 inactivated 5/9/05</t>
  </si>
  <si>
    <t>532199000 MISC CONTRACTUAL SERVICES</t>
  </si>
  <si>
    <t>532199001 MISC SVC-AUCTION SVC</t>
  </si>
  <si>
    <t>532199002 MISC SVC-AGRI/FORSTRY SVC</t>
  </si>
  <si>
    <t>532199003 MISC SVC-BURIAL/CREM SVCS</t>
  </si>
  <si>
    <t>532199004 MISC SVC-INTERPRETER SVCS</t>
  </si>
  <si>
    <t>532199005 MISC SVC-O/S HOUSE CSTS-M</t>
  </si>
  <si>
    <t>532199006 MISC SVC-O/S HOUSE CSTS-F</t>
  </si>
  <si>
    <t>532199007 MISC SVC-NURSE AID TR PG</t>
  </si>
  <si>
    <t>532199008 PARENT KIDNAP SVCS</t>
  </si>
  <si>
    <t>532199009 PARENT LOCATING SERVICES</t>
  </si>
  <si>
    <t>532199010 TRANSITIONAL HOME PROGRAM</t>
  </si>
  <si>
    <t>532199215 MISC CONTRACTUAL SERVICES</t>
  </si>
  <si>
    <t>532199310 MISC CONTRACTUAL SERVICES</t>
  </si>
  <si>
    <t>532199314 MISC CONTRACTUAL SERVICES</t>
  </si>
  <si>
    <t>532199356 STUDENT WORK PROGRAM</t>
  </si>
  <si>
    <t>53219935A MISC CONTRACTUAL SERVICES</t>
  </si>
  <si>
    <t>532199380 MISC CONTRACTUAL SERVICES</t>
  </si>
  <si>
    <t>532199383 MISC CONTRACTUAL SERVICES</t>
  </si>
  <si>
    <t>532199476 MISC CONTRACTUAL SERVICES</t>
  </si>
  <si>
    <t>532199604 ACQ OF ROW-DEED FROM IND</t>
  </si>
  <si>
    <t>532199619 MISC CONTRACTUAL SERVICES</t>
  </si>
  <si>
    <t>532199900 WORKSHOP/CONF EXP-MISC</t>
  </si>
  <si>
    <t>.  Utilities</t>
  </si>
  <si>
    <t>532210 ENRG SER -ELECTRICAL</t>
  </si>
  <si>
    <t>532220 ENRG SER -NAT.GAS/PROPANE</t>
  </si>
  <si>
    <t>532230 ENRG SER -WATER &amp; SEWER</t>
  </si>
  <si>
    <t>532241 ENRG SER -FUEL OIL</t>
  </si>
  <si>
    <t>532242 ENRG SER -COAL FUEL</t>
  </si>
  <si>
    <t>532243 ENRG SER -WOOD FUEL</t>
  </si>
  <si>
    <t>532244 ENRG SER -CHEM &amp; ADDIT</t>
  </si>
  <si>
    <t>532245 STEAM</t>
  </si>
  <si>
    <t>532870 CABLE TV</t>
  </si>
  <si>
    <t>.  Travel</t>
  </si>
  <si>
    <t>532711 TRANSP AIR - IN STATE</t>
  </si>
  <si>
    <t>532712 TRANS AIR-OUT STATE,IN US</t>
  </si>
  <si>
    <t>532713 TRANSP AIR-OUT OF COUNTRY</t>
  </si>
  <si>
    <t>532714 TRANSP-GRND - IN STATE</t>
  </si>
  <si>
    <t>532715 TRANS GRND-OUT STA,IN US</t>
  </si>
  <si>
    <t>532716 TRANS GRND-OUT OF COUNTRY</t>
  </si>
  <si>
    <t>532717 TRANSP OTHER - IN STATE</t>
  </si>
  <si>
    <t>532718 TRANS OTH-OUTSTATE, IN US</t>
  </si>
  <si>
    <t>532719 TRANS OTH-OUT OF COUNTRY</t>
  </si>
  <si>
    <t>532721 LODGING - IN STATE</t>
  </si>
  <si>
    <t>532722 LODGING-OUT STATE, IN US</t>
  </si>
  <si>
    <t>532723 LODGING-OUT OF COUNTRY</t>
  </si>
  <si>
    <t>532724 MEALS - IN STATE</t>
  </si>
  <si>
    <t>532725 MEALS-OUT OF STATE,IN US</t>
  </si>
  <si>
    <t>532726 MEALS  - OUT OF COUNTRY</t>
  </si>
  <si>
    <t>532727 MISC - IN STATE</t>
  </si>
  <si>
    <t>532728 MISC - OUT STATE, IN US</t>
  </si>
  <si>
    <t>532729 MISC  - OUT OF COUNTRY</t>
  </si>
  <si>
    <t>532731 BD/NON-EMPLOYEE TRANSP</t>
  </si>
  <si>
    <t>532732 BD/NON-EMPLOYEE SUBSIS</t>
  </si>
  <si>
    <t>532733 BD/NON-EMPLOYEE TRAINING</t>
  </si>
  <si>
    <t>.  Communication</t>
  </si>
  <si>
    <t>532810 BUNDLED VOICE/DATA</t>
  </si>
  <si>
    <t>new account for 2005-2006</t>
  </si>
  <si>
    <t>532811 TELEPHONE SERVICE</t>
  </si>
  <si>
    <t>532812 TELECOMMUN DATA CHRG</t>
  </si>
  <si>
    <t>532813 TELECONFERENCE CHARGES</t>
  </si>
  <si>
    <t>532814 CELLULAR PHONE SERVICES</t>
  </si>
  <si>
    <t>532815 EMAIL AND CALENDARING</t>
  </si>
  <si>
    <t>532816 VIDEO TRANSMISSION CHARGE</t>
  </si>
  <si>
    <t>532817 INTERNET SERV PROV CHARGE</t>
  </si>
  <si>
    <t>532818 DATA WIRING SVC CHRG</t>
  </si>
  <si>
    <t>532819 TELEPHONE WIRING SVC CHRG</t>
  </si>
  <si>
    <t>.  Data processing services</t>
  </si>
  <si>
    <t>532821 COMPUTER/DATA PROCESS SVC</t>
  </si>
  <si>
    <t>532822 MANAGED LAN SVC CHARGE</t>
  </si>
  <si>
    <t>.  Other services</t>
  </si>
  <si>
    <t>532184 JANITORIAL SER AGREEMENT</t>
  </si>
  <si>
    <t>532310 REPAIRS-BUILDINGS</t>
  </si>
  <si>
    <t>532320 REPAIRS-OTHER STRUCTURES</t>
  </si>
  <si>
    <t>532331 REPAIRS-MOTOR VEHICLES</t>
  </si>
  <si>
    <t>532332 REPAIRS-OTHER COMPUTER EQUIP</t>
  </si>
  <si>
    <t>532333 REPAIRS-OTHER EQUIPMENT</t>
  </si>
  <si>
    <t>532334 REPAIR-WAN EQUIP</t>
  </si>
  <si>
    <t>532335 REPAIR-VIDEO TRANSMSN EQP</t>
  </si>
  <si>
    <t>532336 REPAIRS-LAN EQUIP</t>
  </si>
  <si>
    <t>532337 REPAIRS-PC/PRINTER</t>
  </si>
  <si>
    <t>532338 REPAIRS-SERVERS</t>
  </si>
  <si>
    <t>532339 REPAIRS - VOICE COMMUNICATIONS EQUIPMENT</t>
  </si>
  <si>
    <t>532390 REPAIRS-OTHER</t>
  </si>
  <si>
    <t>532840 POSTAGE, FREIGHT &amp; DELIV</t>
  </si>
  <si>
    <t>532849 CENTRAL MAIL SUSPENSE</t>
  </si>
  <si>
    <t>532850 PRINT,BIND,DUPLICATE</t>
  </si>
  <si>
    <t>532860 ADVERTISING</t>
  </si>
  <si>
    <t>moved from unclassified for 2005-2006</t>
  </si>
  <si>
    <t>532925 INMATE TUITION</t>
  </si>
  <si>
    <t>532930 REGISTRATION FEES</t>
  </si>
  <si>
    <t>535621 INVENTOR PRICE VAR ADJUST</t>
  </si>
  <si>
    <t>535622 OTH INVENTORY ADJUSTMENTS</t>
  </si>
  <si>
    <t>535630 FIXED ASSET WRITEDOWNS</t>
  </si>
  <si>
    <t>535660 SVC CHRG-SALE SURPLUS</t>
  </si>
  <si>
    <t>535670 AD VALORUM TAX-ST SHARE</t>
  </si>
  <si>
    <t>535680 VENDOR REFUND CLEARING</t>
  </si>
  <si>
    <t>535810 STUD/PATINT ENTRTNMNT EXP</t>
  </si>
  <si>
    <t>535890 OTHER ADMIN EXPENSE</t>
  </si>
  <si>
    <t>Lottery Prize</t>
  </si>
  <si>
    <t>See below.  New Caption 2005-2006</t>
  </si>
  <si>
    <t>535980  LOTTERY PRIZE EXPENSE</t>
  </si>
  <si>
    <t>Claims</t>
  </si>
  <si>
    <t>535210 PENSION FUND PAYMENTS</t>
  </si>
  <si>
    <t>535219 OTHER NON-EMP PENSIONS</t>
  </si>
  <si>
    <t>535221 LONG TERM DISAB PAYMENTS</t>
  </si>
  <si>
    <t>535222 DIS CLAIM-DEATH BENEFITS</t>
  </si>
  <si>
    <t>535223 REIM-STATE DISABILITY PAY</t>
  </si>
  <si>
    <t>535232 LEO SEPARATION ALLOWANCE</t>
  </si>
  <si>
    <t>535242 MEDICAL CLAIM PAYMENTS</t>
  </si>
  <si>
    <t>535243 CONTRIB DEATH BENEFITS</t>
  </si>
  <si>
    <t>535244 PHARMACY CLAIM PAYMENTS</t>
  </si>
  <si>
    <t>535251 FIRE LOSS CLAIM PAYMENTS</t>
  </si>
  <si>
    <t>535252 WIND STORM LOSSES &amp; OTHR</t>
  </si>
  <si>
    <t>535253 INSURANCE EXTENDED COVER</t>
  </si>
  <si>
    <t>535254 VOL SAFETY WC CLAIM PMTS</t>
  </si>
  <si>
    <t>533800 PURCHASES FOR RESALE</t>
  </si>
  <si>
    <t>535430 DEPRECIATION</t>
  </si>
  <si>
    <t>532911 PROPERTY-INSURANCE</t>
  </si>
  <si>
    <t>532912 MOTOR VEHICLE INSURANCE</t>
  </si>
  <si>
    <t>532913 LIABILITY INSURANCE</t>
  </si>
  <si>
    <t>532919 OTHER INSURANCE</t>
  </si>
  <si>
    <t>532920 BONDING</t>
  </si>
  <si>
    <t>535218 REFUND OF CONTRIB</t>
  </si>
  <si>
    <t>536810 EDUC AWAR-APPROP GRANTS</t>
  </si>
  <si>
    <t>536820 MINORITY PRESENCE AWARD</t>
  </si>
  <si>
    <t>536840 ACAD ENHANCEMENT SCHOOL</t>
  </si>
  <si>
    <t>536850 TEACHERS SCHOLARSHIPS</t>
  </si>
  <si>
    <t>536860 MEDICAL &amp; DENTAL GRANTS</t>
  </si>
  <si>
    <t>536870 TRAINEESHIPS</t>
  </si>
  <si>
    <t>536875 GRAD ASST TUITION AWARDS</t>
  </si>
  <si>
    <t>536880 INCENTIVE SCHOLARSHIPS</t>
  </si>
  <si>
    <t>536885    NO DESCRIPTION FOUND</t>
  </si>
  <si>
    <t>536890 OTHER EDUCATIONAL AWARDS</t>
  </si>
  <si>
    <t>5368XX EDUCATIONAL AWARDS &amp; SCHOLARSHIPS</t>
  </si>
  <si>
    <t xml:space="preserve">      Other:</t>
  </si>
  <si>
    <t>.   Other fixed charges</t>
  </si>
  <si>
    <t>532410 MAINT AGREEMNT-BUILDINGS</t>
  </si>
  <si>
    <t>532420 MAINT AGREEMNT-OTH STRUCT</t>
  </si>
  <si>
    <t>532430 MAINT AGREEMENT-EQUIP</t>
  </si>
  <si>
    <t>532441 MAINT AGREEMENT-OTHER SOFTWARE</t>
  </si>
  <si>
    <t>532442 MAINT AGRMT-WAN SOFTWARE</t>
  </si>
  <si>
    <t>NEW ACCT effective July 1, 2002</t>
  </si>
  <si>
    <t>532443 MAINT AGRMT-NON-WAN DP EQ</t>
  </si>
  <si>
    <t>532444 MAINT AGRMT-WAN EQUIP</t>
  </si>
  <si>
    <t>532445 MAINT AGRMT-VIDEO TRAN EQ</t>
  </si>
  <si>
    <t>532446 MAINT AGREE-LAN EQUIP</t>
  </si>
  <si>
    <t>NEW ACCT effective January 1, 2003</t>
  </si>
  <si>
    <t>532447 MAINT AGREE-PC/PRINTER</t>
  </si>
  <si>
    <t>532448 MAINT AGREE-PC SOFTWARE</t>
  </si>
  <si>
    <t>532449 MAINT AGREE-SERVER SOFTWR</t>
  </si>
  <si>
    <t>532450 MAINT AGREE-SERVER EQUIP</t>
  </si>
  <si>
    <t>532451 MAINT AGREE-MAINFRAME EQP</t>
  </si>
  <si>
    <t>532452 MAINT AGREE-MAINFRME SFTW</t>
  </si>
  <si>
    <t>532490 MAINT AGREEMENT-OTHER</t>
  </si>
  <si>
    <t>535111 LEGAL SETTLEMENTS</t>
  </si>
  <si>
    <t>535112 TORT CLAIMS</t>
  </si>
  <si>
    <t>535113 COURT COSTS</t>
  </si>
  <si>
    <t>535114 EXPERT WITNESS FEES</t>
  </si>
  <si>
    <t>535115 REWRD,CAPTRE,EXTRDITN EXP</t>
  </si>
  <si>
    <t>535120 LICENSES &amp; PERMIT COSTS</t>
  </si>
  <si>
    <t>535830 MEMBERSHIP DUES&amp;SUBSCRIPT</t>
  </si>
  <si>
    <t>. Grants, aid and subsidies</t>
  </si>
  <si>
    <t>536J00 NGO OTHER AIDS &amp; GRANTS</t>
  </si>
  <si>
    <t>moved from invalid for 2005-2006</t>
  </si>
  <si>
    <t>536900 OTHER AIDS &amp; GRANTS</t>
  </si>
  <si>
    <t>536Q00 OTHER AIDS &amp; GRANTS TO INDIVIDUALS</t>
  </si>
  <si>
    <t>.   Other expenses</t>
  </si>
  <si>
    <t>532511 RENT/LEASE -LAND</t>
  </si>
  <si>
    <t>532512 RENT/LEASE-BLDINGS/OFFICE</t>
  </si>
  <si>
    <t>532513 RENT/LEASE-OTH FACILITIES</t>
  </si>
  <si>
    <t>532521 RENT/LEASE-MOTOR VEHICLES</t>
  </si>
  <si>
    <t>532523 RENT/LEASE-COMMUN EQUIP</t>
  </si>
  <si>
    <t>532524 RENT/LEASE-GEN OFF EQUIP</t>
  </si>
  <si>
    <t>532525 RENT/LEASE-FURN &amp; FURNISH</t>
  </si>
  <si>
    <t>532530 RENT/LEASE-NON-WAN DP EQ</t>
  </si>
  <si>
    <t>532531 RENT/LEASE-WAN EQUIP</t>
  </si>
  <si>
    <t>532532 RENT/LEASE-VIDEO TRAN EQU</t>
  </si>
  <si>
    <t>532533 RENT/LEASE OF LAN EQUIMENT</t>
  </si>
  <si>
    <t>532534 RENT/LEASE-PC/PRINTER</t>
  </si>
  <si>
    <t>532535 RENT/LEASE-SERVER EQUIP</t>
  </si>
  <si>
    <t>532536 RENT/LEASE-MAINFRAME EQP</t>
  </si>
  <si>
    <t>532541 RENT/LEASE-PC SOFTWARE</t>
  </si>
  <si>
    <t>532542 RENT/LEASE-SERVER SOFTWR</t>
  </si>
  <si>
    <t>532543 RENT/LEASE-MAINFRAME SOFTWR</t>
  </si>
  <si>
    <t>532590 RENT/LEASE OTHER PROPERTY</t>
  </si>
  <si>
    <t>535610 RECEIVABLE WRITEOFFS</t>
  </si>
  <si>
    <t>new title</t>
  </si>
  <si>
    <t>535820 ADMIN TRANSITION EXP</t>
  </si>
  <si>
    <t>535850 INTERST EXP-CASH MGMT ACT</t>
  </si>
  <si>
    <t>535900 OTHER EXPENSES</t>
  </si>
  <si>
    <t>535912 INV INCOME DISTRIBUTION</t>
  </si>
  <si>
    <t>535930 AIRCRAFT EXPENSES</t>
  </si>
  <si>
    <t>535940 COLLECTION COSTS</t>
  </si>
  <si>
    <t>535960 ELECTRONIC PAYMT PROC FEE</t>
  </si>
  <si>
    <t>UNCLASSIFIED EXPENSES</t>
  </si>
  <si>
    <t>Valid exp accts that must be zero at year-end</t>
  </si>
  <si>
    <t>531673 Ref Pr Yr Deduction Clrng</t>
  </si>
  <si>
    <t>New acct - Fiscal Year 2006-2007</t>
  </si>
  <si>
    <t>532799 TRAVEL ADVANCES</t>
  </si>
  <si>
    <t>moved from travel for 2005-2006</t>
  </si>
  <si>
    <t>535311 BOND PRINCIPAL PAYMENTS</t>
  </si>
  <si>
    <t>535311674 BOND PRINCIPAL PAYMENTS</t>
  </si>
  <si>
    <t>535312 ANTICIPATN NOTES PRIN PAY</t>
  </si>
  <si>
    <t>535314 OTHER PRINCIPAL PAYMENTS</t>
  </si>
  <si>
    <t>535333 PAY-REF DEBT ESCROW AGENT</t>
  </si>
  <si>
    <t>535334 PAYMENT OF DEBT SERVICE PRINCIPAL</t>
  </si>
  <si>
    <t>535613 ACCRUED EXPENSE ADJUSTMNT</t>
  </si>
  <si>
    <t>535640 INDIRECT (OVERHEAD) COSTS</t>
  </si>
  <si>
    <t>moved from other services for 2006-2007</t>
  </si>
  <si>
    <t>535675 P-CARD CLEARING</t>
  </si>
  <si>
    <t>535950 PETTY/IMPREST CASH</t>
  </si>
  <si>
    <t>moved from other exp for 2005-2006</t>
  </si>
  <si>
    <t>538045 INTERFUND BORROWING</t>
  </si>
  <si>
    <t>538046 INTERFUND BORROWING REPAYMENT</t>
  </si>
  <si>
    <t>5382XX STATEWIDE REIMBURSEMENT</t>
  </si>
  <si>
    <t>5383AA AGENCY REIMBURSEMENT</t>
  </si>
  <si>
    <t>5388AA AGENCY FED FUND TRANS/RECEIPT</t>
  </si>
  <si>
    <t>5389AA TRANSFER OF APPROPRIATIONS</t>
  </si>
  <si>
    <t>moved from trf out for 2005-2006</t>
  </si>
  <si>
    <t>538RAA Transfer Out - ARRA Billing Rate (should be zero for year end)</t>
  </si>
  <si>
    <t>INVALID EXPENSES</t>
  </si>
  <si>
    <t>See below - invalid accts for proprietary funds</t>
  </si>
  <si>
    <t>531451 DUAL EMPL WAGES - APPRO</t>
  </si>
  <si>
    <t>532121 SECURITIES TRANS FEE</t>
  </si>
  <si>
    <t>moved from Contracted Personal Svc 2005-2006</t>
  </si>
  <si>
    <t>532440 MAINT AGREEMENT-DP EQUIP</t>
  </si>
  <si>
    <t>stop using effective January 1, 2003</t>
  </si>
  <si>
    <t>532522 RENT/LEASE-DP EQUIPMENT</t>
  </si>
  <si>
    <t>533899 THIRTEENTH PERIOD PURCHASE FOR RESALE INVENTORY ADJUSTMENT</t>
  </si>
  <si>
    <t>533999 THIRTEENTH PERIOD SUPPLIES AND MATERIALS INVENTORY ADJUSTMENT</t>
  </si>
  <si>
    <t>534522 COMPUTER EQUIPMENT</t>
  </si>
  <si>
    <t>534710 COMPUTER SOFTWARE</t>
  </si>
  <si>
    <t>535233 RETIREMENT SUPPLEMENT</t>
  </si>
  <si>
    <t>moved from Claims 2005-2006</t>
  </si>
  <si>
    <t>535335 RETIREMENT OF INDEBTEDNESS</t>
  </si>
  <si>
    <t>535337 BOND DISCOUNT</t>
  </si>
  <si>
    <t>Moved to Invalid for FY 2011-2012</t>
  </si>
  <si>
    <t>535410 DEPRECIATION-BUILDINGS</t>
  </si>
  <si>
    <t>use acct 535430 Depreciation</t>
  </si>
  <si>
    <t>535420 DEPRCIATN-OTH STR&amp;IMPROV</t>
  </si>
  <si>
    <t>535440 AMORTIZATION</t>
  </si>
  <si>
    <t>535631 FIXED ASSET WRTDWNS-NONOP</t>
  </si>
  <si>
    <t>moved from Fixed Asset Writedown 2005-2006</t>
  </si>
  <si>
    <t>535710 LOSS-REFUNDING OF DEBT</t>
  </si>
  <si>
    <t>535909 REALIZD LOSS-SALE INV-GEN</t>
  </si>
  <si>
    <t>535910 REALIZED LOSS SALE ON INV</t>
  </si>
  <si>
    <t>535911 UNREALIZD LOSS INV-PROGRM</t>
  </si>
  <si>
    <t>535913 UNREALIZD LOSS INV-GENERL</t>
  </si>
  <si>
    <t>535970 PAYMENTS UNDER TRUST</t>
  </si>
  <si>
    <t>535993 UNALLOT APP-BROUGHT FORWD</t>
  </si>
  <si>
    <t>536XXX except 5368XX, 536900, 536997, 536999, 536J00,536J99, 536Q00 and 536Q99</t>
  </si>
  <si>
    <t>537XXX Agency Reserves</t>
  </si>
  <si>
    <t>538010 Statewide Operating Transfer</t>
  </si>
  <si>
    <t>NON OPERATING REVENUES (EXPENSES)</t>
  </si>
  <si>
    <t>439100 State appropriations</t>
  </si>
  <si>
    <t>538044 Transfer to Reimburse Appropriation for payroll.</t>
  </si>
  <si>
    <t xml:space="preserve">State Aid- General </t>
  </si>
  <si>
    <t>432908 State Aid - General</t>
  </si>
  <si>
    <t>State Aid-Program</t>
  </si>
  <si>
    <t>432990 State Aid-Program</t>
  </si>
  <si>
    <t>432906 State aid- National Mortgage Settlement</t>
  </si>
  <si>
    <t>State aid - lottery proceeds</t>
  </si>
  <si>
    <t>432992 state aid - Lottery proceeds</t>
  </si>
  <si>
    <t>Noncapital grants</t>
  </si>
  <si>
    <t xml:space="preserve">Accounts 4321AA, 4322AA, 4323AA, 4324AA, </t>
  </si>
  <si>
    <t>4325AA, 4326AA, 432995</t>
  </si>
  <si>
    <t>436200 NONCAP GIFTS</t>
  </si>
  <si>
    <t>436202 NONCAP GIFTS-BAD DEBT</t>
  </si>
  <si>
    <t>Interest &amp; fees on capital asset-related debt</t>
  </si>
  <si>
    <t xml:space="preserve">.    Debt interest </t>
  </si>
  <si>
    <t>535321 BOND INTEREST PAYMENTS</t>
  </si>
  <si>
    <t>535322 ANTICIPATN NOTES INT PAY</t>
  </si>
  <si>
    <t>535324 OTHER INTEREST PAYMENTS</t>
  </si>
  <si>
    <t>535325 OTH INT PAY-NONOPERATING</t>
  </si>
  <si>
    <t>535326 AMORTIZATION - DEBT DISCOUNTS, PREMIUMS, AND REFUNDING DEFERRALS</t>
  </si>
  <si>
    <t>NEW ACCT FOR FY 2011-12</t>
  </si>
  <si>
    <t>.    Other debt service costs</t>
  </si>
  <si>
    <t>535331 FISCAL AGENT &amp; OTH FEES</t>
  </si>
  <si>
    <t>535336 ARBITRAGE EXPENSE</t>
  </si>
  <si>
    <t>Gain (loss) on sale of property &amp; equip</t>
  </si>
  <si>
    <t>Accounts 434330 and 535650.</t>
  </si>
  <si>
    <t xml:space="preserve">Gain on extinguishment of Debt </t>
  </si>
  <si>
    <t>437510 Gain on Extinguishment of Debt</t>
  </si>
  <si>
    <t>Investment earnings, net</t>
  </si>
  <si>
    <t>433111 INT/DIV ON INV - NONOPER</t>
  </si>
  <si>
    <t>433121 STIF INT INCOME - NONOPER</t>
  </si>
  <si>
    <t>433131 LTIF INT INCOME - NONOPER</t>
  </si>
  <si>
    <t>433300 ENDOWMENT INCOME</t>
  </si>
  <si>
    <t>433400 SECURITIES LENDING INCOME</t>
  </si>
  <si>
    <t>437402 REAL GAIN INV-NONOP-PROG</t>
  </si>
  <si>
    <t>437412 UNREA GAIN INV-NONOP-PROG</t>
  </si>
  <si>
    <t>532122 SECURITIES TRANS FEE NOOP</t>
  </si>
  <si>
    <t>535914 REAL LOSS INV-NONOP-PROG</t>
  </si>
  <si>
    <t>535916 UNREA LOSS INV-NONOP-PROG</t>
  </si>
  <si>
    <t>535918 INVESTMENT EXP-NONOP-PROG</t>
  </si>
  <si>
    <t>437116 INSURANCE RECOV - NONOPER</t>
  </si>
  <si>
    <t>Grants, aid and subsidies</t>
  </si>
  <si>
    <t>536J99 NGO OTHER AIDS &amp; GRANTS</t>
  </si>
  <si>
    <t>536997  FEDERAL LOAN SUBSIDY</t>
  </si>
  <si>
    <t>536999  OTHER GRANTS &amp; AIDS-NONOP</t>
  </si>
  <si>
    <t xml:space="preserve">536Q99  OTHER AIDS AND GRANTS TO INDIVIDUALS - NONOPERATING
</t>
  </si>
  <si>
    <t>Federal interest Subsidy on debt</t>
  </si>
  <si>
    <t>432907 FEDERAL INTEREST SUBSIDY ON DEBT</t>
  </si>
  <si>
    <t>Miscellaneous:</t>
  </si>
  <si>
    <t>.   Miscellaneous non-operating rev</t>
  </si>
  <si>
    <t>434321 SALE OF SURP PROP-NONOPER</t>
  </si>
  <si>
    <t>437991 OTHER MISC REV-NONOP-PROG</t>
  </si>
  <si>
    <t>437996 NATIONAL MORTGAGE SETTLEMENT</t>
  </si>
  <si>
    <t>NEW FY 2012-13</t>
  </si>
  <si>
    <t>4383AA OTH REV-COMPONENT UNITS (as directed only by OSC)</t>
  </si>
  <si>
    <t>Moved from Invalid for FY 2011-2012</t>
  </si>
  <si>
    <t>.   Miscellaneous non-operating exp</t>
  </si>
  <si>
    <t>535332 BOND ISSUE COST</t>
  </si>
  <si>
    <t>Moved from Other debt service in FY 2011-2012</t>
  </si>
  <si>
    <t>535901 OTHER EXPENSES, NON-OPER</t>
  </si>
  <si>
    <t>NEW FY 2008-2009</t>
  </si>
  <si>
    <t>535920 REFUNDED TO GRANTORS</t>
  </si>
  <si>
    <t xml:space="preserve">535923 LEGISLATIVE MANDATED TRANSFER </t>
  </si>
  <si>
    <t>NEW FY 2011-12</t>
  </si>
  <si>
    <t>535925 COMPONENT UNIT CI REVERSION</t>
  </si>
  <si>
    <t>535926 REVRSN CI- PROJECT RES 40703</t>
  </si>
  <si>
    <t>535927 COMPONENT UNIT TRANSFER TO CONTINGENCY RESERVE</t>
  </si>
  <si>
    <t>Other Revenues, expenses, gains ,or losses:</t>
  </si>
  <si>
    <t>Capital Contributions</t>
  </si>
  <si>
    <t>.   State capital aid</t>
  </si>
  <si>
    <t>.   Capital grants</t>
  </si>
  <si>
    <t xml:space="preserve">Account 432DAA, 432EAA, 432JAA, </t>
  </si>
  <si>
    <t>.   Capital gifts, net</t>
  </si>
  <si>
    <t>436203, 436204</t>
  </si>
  <si>
    <t>436205  PERMANENT ENDOWMENTS</t>
  </si>
  <si>
    <t>436206  TERM ENDOWMENTS</t>
  </si>
  <si>
    <t>4380XX STATEWIDE OPERATING TRANSFERS (Invalid for Universities and Component Units)</t>
  </si>
  <si>
    <t>Except 438030 rolls to 536XXX, 438045 and 438046 roll to valid accounts that zero at Year end</t>
  </si>
  <si>
    <t>4381XX OPERATING TRANSFERS (Invalid for Universities and Component Units)</t>
  </si>
  <si>
    <t>4384XX AGENCY NONROUTINE TRANSFR (Invalid for Universities and Component Units)</t>
  </si>
  <si>
    <t>5380XX STATEWIDE OPERATING TRANSFERS (Invalid for Universities and Component Units)</t>
  </si>
  <si>
    <t>538010 is invalid. Effective July 1, 2008. 538030 rolls to Fees, Licenses and fines. 538045 and 538046 roll to valid expenses which are zero at year end. 538044 rolls to State appropriations</t>
  </si>
  <si>
    <t>5381XX OPERATING TRANSFERS (Invalid for Universities and Component Units)</t>
  </si>
  <si>
    <t>5384XX AGENCY NONROUTINE TRANSFR (Invalid for Universities and Component Units)</t>
  </si>
  <si>
    <t>4385XX Mandatory</t>
  </si>
  <si>
    <t>4386XX Non Mandatory</t>
  </si>
  <si>
    <t>4387XX Inter-Institutional</t>
  </si>
  <si>
    <t>5385XX Mandatory</t>
  </si>
  <si>
    <t>5386XX Non Mandatory</t>
  </si>
  <si>
    <t>5387XX Inter-Institutional</t>
  </si>
  <si>
    <t>Accounts 437750, 535750</t>
  </si>
  <si>
    <t>Extraordinary gain (loss):</t>
  </si>
  <si>
    <t>.   Extraordinary gain</t>
  </si>
  <si>
    <t>437700 EXTRAORDINARY GAIN</t>
  </si>
  <si>
    <t>.   Extraordinary loss</t>
  </si>
  <si>
    <t>535700 EXTRAORDINARY LOSS</t>
  </si>
  <si>
    <t>Account 330001</t>
  </si>
  <si>
    <t>226103 GRANT ANTIC REV BONDS PAY</t>
  </si>
  <si>
    <t>NEW ACCT FOR FY 2006-2007</t>
  </si>
  <si>
    <t>Deferred outflows of resources:</t>
  </si>
  <si>
    <t>3) Condensed Statement of Revenues, Expenses and Changes in Net Position:</t>
  </si>
  <si>
    <t>Change in net position</t>
  </si>
  <si>
    <t>Beginning net position</t>
  </si>
  <si>
    <t>Ending net position</t>
  </si>
  <si>
    <t>Total deferred outflows</t>
  </si>
  <si>
    <t>Deferred inflows of resources:</t>
  </si>
  <si>
    <t>SCA revenue applicable to future year</t>
  </si>
  <si>
    <t>Accumulated increase in fair value of hedging derivatives</t>
  </si>
  <si>
    <t>Accumulated decrease in fair value of hedging derivatives</t>
  </si>
  <si>
    <r>
      <t>COMMITMENTS</t>
    </r>
    <r>
      <rPr>
        <b/>
        <i/>
        <sz val="10"/>
        <rFont val="Arial"/>
        <family val="2"/>
      </rPr>
      <t xml:space="preserve"> </t>
    </r>
    <r>
      <rPr>
        <sz val="10"/>
        <rFont val="Arial"/>
        <family val="2"/>
      </rPr>
      <t>are</t>
    </r>
    <r>
      <rPr>
        <sz val="10"/>
        <rFont val="Arial"/>
        <family val="2"/>
      </rPr>
      <t xml:space="preserve"> "existing arrangements to enter into future transactions or events."  Construction</t>
    </r>
  </si>
  <si>
    <t>Was any of the debt reported on this worksheet variable rate debt?</t>
  </si>
  <si>
    <t>Foreign exchange futures</t>
  </si>
  <si>
    <t>B.  - Other Significant Commitments, including investment contracts</t>
  </si>
  <si>
    <t>The transferor (government) conveys to the operator (private party or government) the right and</t>
  </si>
  <si>
    <t>The transferor is entitled to significant residual interest in the service utility of the facility at the end</t>
  </si>
  <si>
    <t xml:space="preserve">GASB Fund No: </t>
  </si>
  <si>
    <t>GASB Statement 60 establishes accounting and financial reporting standards for service concession</t>
  </si>
  <si>
    <t xml:space="preserve">exchange for significant consideration, such as an up-front payment, installment payments, a new </t>
  </si>
  <si>
    <t>facility, or improvements to an existing facility.</t>
  </si>
  <si>
    <t xml:space="preserve">GASB Statement 60 requires certain disclosures about an agency's service concession arrangements.  The </t>
  </si>
  <si>
    <t xml:space="preserve">The transferor determines or has the ability to modify or approve (1) what services the operator is </t>
  </si>
  <si>
    <r>
      <t xml:space="preserve">required to provide, (2) to whom the operator is required to provide the services, </t>
    </r>
    <r>
      <rPr>
        <b/>
        <u/>
        <sz val="10"/>
        <rFont val="Arial"/>
        <family val="2"/>
      </rPr>
      <t>AND</t>
    </r>
    <r>
      <rPr>
        <sz val="10"/>
        <rFont val="Arial"/>
        <family val="2"/>
      </rPr>
      <t xml:space="preserve"> (3) the prices</t>
    </r>
  </si>
  <si>
    <t>or rates that can be charged for the services.</t>
  </si>
  <si>
    <t>rather than ancillary services operated in conjunction with the facility (e.g., vendor concessions at</t>
  </si>
  <si>
    <r>
      <t xml:space="preserve">related obligation to provide </t>
    </r>
    <r>
      <rPr>
        <u/>
        <sz val="10"/>
        <rFont val="Arial"/>
        <family val="2"/>
      </rPr>
      <t>public services</t>
    </r>
    <r>
      <rPr>
        <sz val="10"/>
        <rFont val="Arial"/>
        <family val="2"/>
      </rPr>
      <t xml:space="preserve"> through the use and operation of a capital asset in </t>
    </r>
  </si>
  <si>
    <t>Note: The services should relate to the primary function of the facility (e.g., operating a stadium)</t>
  </si>
  <si>
    <r>
      <t xml:space="preserve">The operator collects and is compensated by fees from </t>
    </r>
    <r>
      <rPr>
        <u/>
        <sz val="10"/>
        <rFont val="Arial"/>
        <family val="2"/>
      </rPr>
      <t>third parties</t>
    </r>
    <r>
      <rPr>
        <sz val="10"/>
        <rFont val="Arial"/>
        <family val="2"/>
      </rPr>
      <t xml:space="preserve"> (not by the transferor government).</t>
    </r>
  </si>
  <si>
    <r>
      <t xml:space="preserve">still in force and meet </t>
    </r>
    <r>
      <rPr>
        <b/>
        <u/>
        <sz val="10"/>
        <rFont val="Arial"/>
        <family val="2"/>
      </rPr>
      <t>ALL</t>
    </r>
    <r>
      <rPr>
        <sz val="10"/>
        <rFont val="Arial"/>
        <family val="2"/>
      </rPr>
      <t xml:space="preserve"> of the above criteria (Indicate with an "X")?</t>
    </r>
  </si>
  <si>
    <t>Has your agency/university entered into any public-private or public-public partnership arrangements that are</t>
  </si>
  <si>
    <t xml:space="preserve">As used in this Statement, an SCA is an arrangement between a transferor (a government) and an operator </t>
  </si>
  <si>
    <r>
      <t xml:space="preserve">(governmental or nongovernmental entity) in which </t>
    </r>
    <r>
      <rPr>
        <b/>
        <u/>
        <sz val="10"/>
        <rFont val="Arial"/>
        <family val="2"/>
      </rPr>
      <t>ALL</t>
    </r>
    <r>
      <rPr>
        <sz val="10"/>
        <rFont val="Arial"/>
        <family val="2"/>
      </rPr>
      <t xml:space="preserve"> of the following criteria are met:</t>
    </r>
  </si>
  <si>
    <t>arrangements (SCAs), which are a type of public-private or public-public partnership.</t>
  </si>
  <si>
    <t>the stadium).</t>
  </si>
  <si>
    <t>COPS</t>
  </si>
  <si>
    <t>Short Term Debt</t>
  </si>
  <si>
    <t>Click here</t>
  </si>
  <si>
    <t>Select Type of Debt:</t>
  </si>
  <si>
    <t>Net Investment in capital assets</t>
  </si>
  <si>
    <t>Other-_____________</t>
  </si>
  <si>
    <t>Limited Obligation Bonds</t>
  </si>
  <si>
    <t xml:space="preserve">$ Change </t>
  </si>
  <si>
    <t>Analytical Review (625)</t>
  </si>
  <si>
    <t>check: Assets + Def outflows - Liab - Def inflows = Net position</t>
  </si>
  <si>
    <t>Total net position</t>
  </si>
  <si>
    <t xml:space="preserve">check: Net position between statements </t>
  </si>
  <si>
    <t>SEGMENTS (635)</t>
  </si>
  <si>
    <r>
      <rPr>
        <b/>
        <sz val="10"/>
        <rFont val="Arial"/>
        <family val="2"/>
      </rPr>
      <t xml:space="preserve">Offline Fiduciary Proforma-Deferred Comp and NC 401(k) </t>
    </r>
    <r>
      <rPr>
        <b/>
        <sz val="12"/>
        <rFont val="Arial"/>
        <family val="2"/>
      </rPr>
      <t xml:space="preserve">
</t>
    </r>
    <r>
      <rPr>
        <b/>
        <sz val="10"/>
        <rFont val="Arial"/>
        <family val="2"/>
      </rPr>
      <t>Combining Stmt of Net Position &amp; Stmt of Changes in Net Postion - 906-6BC</t>
    </r>
  </si>
  <si>
    <r>
      <rPr>
        <u/>
        <sz val="9"/>
        <rFont val="Arial"/>
        <family val="2"/>
      </rPr>
      <t>Note</t>
    </r>
    <r>
      <rPr>
        <sz val="9"/>
        <rFont val="Arial"/>
        <family val="2"/>
      </rPr>
      <t>: Please do not key to this worksheet. It is populated from the 906-6B and 906-6C worksheets</t>
    </r>
  </si>
  <si>
    <t xml:space="preserve">Statement of Net Position verification </t>
  </si>
  <si>
    <r>
      <rPr>
        <u/>
        <sz val="9"/>
        <rFont val="Arial"/>
        <family val="2"/>
      </rPr>
      <t>Note</t>
    </r>
    <r>
      <rPr>
        <sz val="9"/>
        <rFont val="Arial"/>
        <family val="2"/>
      </rPr>
      <t>: Please do not key to this worksheet. It is populated from the 905 and PriorYr905 worksheets, so the cells are locked.</t>
    </r>
  </si>
  <si>
    <r>
      <rPr>
        <u/>
        <sz val="9"/>
        <rFont val="Arial"/>
        <family val="2"/>
      </rPr>
      <t>Note</t>
    </r>
    <r>
      <rPr>
        <sz val="9"/>
        <rFont val="Arial"/>
        <family val="2"/>
      </rPr>
      <t>: Please do not key to this worksheet. It is populated from the 905Hosp and PriorYr905 worksheets, so the cells are locked.</t>
    </r>
  </si>
  <si>
    <t>From 905Hosp Tab</t>
  </si>
  <si>
    <t>From 906-6B tab</t>
  </si>
  <si>
    <t>Net position—July 1</t>
  </si>
  <si>
    <t>Net position—June 30</t>
  </si>
  <si>
    <t>Verification of Net Position between statements</t>
  </si>
  <si>
    <t>From 906-6C tab</t>
  </si>
  <si>
    <t>3318</t>
  </si>
  <si>
    <t>3324</t>
  </si>
  <si>
    <t>Note: for 6B - Deferred Comp only-NA all other agencies</t>
  </si>
  <si>
    <t>Note: for 6C - NC 401(k) only-NA all other agencies</t>
  </si>
  <si>
    <t>UNC System total</t>
  </si>
  <si>
    <t>Net position between Stmt of Net Position  and Operating Stmnt</t>
  </si>
  <si>
    <t>on the 905, but this serves as a general guide for how</t>
  </si>
  <si>
    <t>the accounts should roll for year-end reporting.</t>
  </si>
  <si>
    <t>ANNUAL DEBT SERVICE REQUIREMENTS (315)</t>
  </si>
  <si>
    <t>CHANGES IN LONG-TERM LIABILITIES AND SHORT-TERM DEBT (305)</t>
  </si>
  <si>
    <t xml:space="preserve">NA for State Health Plan </t>
  </si>
  <si>
    <t>NA for State Health Plan</t>
  </si>
  <si>
    <t>ANNUAL DEBT SERVICE REQUIREMENTS (320)</t>
  </si>
  <si>
    <t>Pollution Remediation Obligations (322)</t>
  </si>
  <si>
    <r>
      <t xml:space="preserve">Traded? </t>
    </r>
    <r>
      <rPr>
        <vertAlign val="superscript"/>
        <sz val="11"/>
        <rFont val="Arial"/>
        <family val="2"/>
      </rPr>
      <t>(1)</t>
    </r>
  </si>
  <si>
    <r>
      <t>Type</t>
    </r>
    <r>
      <rPr>
        <vertAlign val="superscript"/>
        <sz val="10"/>
        <color indexed="8"/>
        <rFont val="Arial"/>
        <family val="2"/>
      </rPr>
      <t xml:space="preserve"> </t>
    </r>
  </si>
  <si>
    <t>Government-wide Net Position – OSC Only (Automatic Calculations)</t>
  </si>
  <si>
    <t>GENERAL FUND (401)</t>
  </si>
  <si>
    <t>SPECIAL REVENUE FUNDS (405)</t>
  </si>
  <si>
    <t>CAPITAL PROJECTS FUNDS (410)</t>
  </si>
  <si>
    <t>PERMANENT FUNDS (415)</t>
  </si>
  <si>
    <t>Juvenile offenders</t>
  </si>
  <si>
    <t>Rejection rate</t>
  </si>
  <si>
    <t>2.  Art, literature, and artifacts</t>
  </si>
  <si>
    <t>3c. Other intangible assets</t>
  </si>
  <si>
    <t>6.  Art, literature, and artifacts</t>
  </si>
  <si>
    <t>7. General infrastructure</t>
  </si>
  <si>
    <t>11.Other intangible assets</t>
  </si>
  <si>
    <t>906-6BC</t>
  </si>
  <si>
    <t xml:space="preserve">CAPITAL ASSET STATISTICS (220) </t>
  </si>
  <si>
    <t>PLEDGED REVENUE COVERAGE (325)</t>
  </si>
  <si>
    <t>DEBT DEFEASANCES (330)</t>
  </si>
  <si>
    <t>CONSTRUCTION AND OTHER SIGNIFICANT COMMITMENTS (350)</t>
  </si>
  <si>
    <t>BUSINESS TYPE ACTIVITIES (420)</t>
  </si>
  <si>
    <r>
      <t xml:space="preserve">NOTE:  This workbook is for primary government agencies and </t>
    </r>
    <r>
      <rPr>
        <b/>
        <u/>
        <sz val="10.5"/>
        <rFont val="Times New Roman"/>
        <family val="1"/>
      </rPr>
      <t>major</t>
    </r>
    <r>
      <rPr>
        <sz val="10.5"/>
        <rFont val="Times New Roman"/>
        <family val="1"/>
      </rPr>
      <t xml:space="preserve"> component units only.  All nonmajor </t>
    </r>
  </si>
  <si>
    <t>48HP</t>
  </si>
  <si>
    <t>48CW</t>
  </si>
  <si>
    <t>Caldwell Memorial Hospital</t>
  </si>
  <si>
    <t>High Point Regional</t>
  </si>
  <si>
    <t xml:space="preserve">Caldwell Memorial </t>
  </si>
  <si>
    <t xml:space="preserve">Service Concession Arrangements </t>
  </si>
  <si>
    <t xml:space="preserve">Restricted and Unrestricted Net Position - Business Type Activities </t>
  </si>
  <si>
    <t xml:space="preserve">Offline Fiduciary - Stmt of Net Position &amp; Stmt of Chgs in Net position NC 401(k)-6C </t>
  </si>
  <si>
    <t>Offline Fiduciary - Stmt of Net Position &amp; Stmt of Chgs in Net position-Combined DefComp&amp;401(k)</t>
  </si>
  <si>
    <t>Offline Proprietary Proforma - Stmt of Net Position &amp; Stmt of Revs, Exps and Chgs in Net Position and Certification of Data file for Universities</t>
  </si>
  <si>
    <t>Sue Kearney</t>
  </si>
  <si>
    <t>(919) 707-3036</t>
  </si>
  <si>
    <t>Anita Bunch</t>
  </si>
  <si>
    <t>(828) 231-5109</t>
  </si>
  <si>
    <t>(336) 285-3028</t>
  </si>
  <si>
    <t>Terry Dail</t>
  </si>
  <si>
    <t>(910) 343-6414</t>
  </si>
  <si>
    <t>336-506-4410</t>
  </si>
  <si>
    <t>David Holman</t>
  </si>
  <si>
    <t>910-362-7074</t>
  </si>
  <si>
    <t>919-718-7498</t>
  </si>
  <si>
    <t>Michelle Stiles</t>
  </si>
  <si>
    <t>910-938-6218</t>
  </si>
  <si>
    <t>(919) 754-2518</t>
  </si>
  <si>
    <t>Jackie McKoy</t>
  </si>
  <si>
    <t>(919) 754-2524</t>
  </si>
  <si>
    <t>(704) 687-5755</t>
  </si>
  <si>
    <t>OPERATING INDICATORS BY FUNCTION (105)</t>
  </si>
  <si>
    <t>CONTINGENCIES (345)</t>
  </si>
  <si>
    <t>STEWARDSHIP, COMPLIANCE, AND ACCOUNTABILITY (425)</t>
  </si>
  <si>
    <t>Restricted Assets (365)</t>
  </si>
  <si>
    <t>Trina Warren</t>
  </si>
  <si>
    <t xml:space="preserve">       Total  deferred outflows of resources</t>
  </si>
  <si>
    <t xml:space="preserve">Deferred gain on refunding </t>
  </si>
  <si>
    <t>SCHEDULE OF INTRA-AGENCY RECEIVABLES AND PAYABLES (501)</t>
  </si>
  <si>
    <t>SCHEDULE OF INTER-AGENCY RECEIVABLES (505)</t>
  </si>
  <si>
    <t>SCHEDULE OF INTER-AGENCY PAYABLES (510)</t>
  </si>
  <si>
    <t>(919) 707-0768</t>
  </si>
  <si>
    <t>David Jamison</t>
  </si>
  <si>
    <t>(828) 262-6426</t>
  </si>
  <si>
    <t>SUBSEQUENT EVENTS / OTHER ITEMS (355)</t>
  </si>
  <si>
    <r>
      <rPr>
        <b/>
        <u/>
        <sz val="9"/>
        <rFont val="Arial"/>
        <family val="2"/>
      </rPr>
      <t>Instructions:</t>
    </r>
    <r>
      <rPr>
        <b/>
        <sz val="9"/>
        <rFont val="Arial"/>
        <family val="2"/>
      </rPr>
      <t xml:space="preserve">  Analyze the balances for the cash and cash equivalents; pooled cash; investments; pooled investments; and receivables captions on the</t>
    </r>
  </si>
  <si>
    <t>Total GASB 5100</t>
  </si>
  <si>
    <t>Total GASB 5200</t>
  </si>
  <si>
    <t>Totals</t>
  </si>
  <si>
    <t>For business-type fund activity, Capital Transactions total should tie back to worksheets 201 and 210 Prior Year Adjustments column totals.</t>
  </si>
  <si>
    <t>For business-type fund activity, Long term/short term transactions total should tie back to worksheet 310 Prior Year Adjustments column total.</t>
  </si>
  <si>
    <t>3a</t>
  </si>
  <si>
    <t>3b</t>
  </si>
  <si>
    <t>3c</t>
  </si>
  <si>
    <t>Deferred inflows-nonexchange transactions</t>
  </si>
  <si>
    <r>
      <t xml:space="preserve">Complete an individual schedule for each GASB fund that has restated </t>
    </r>
    <r>
      <rPr>
        <b/>
        <i/>
        <sz val="10"/>
        <rFont val="Arial"/>
        <family val="2"/>
      </rPr>
      <t>fund equity</t>
    </r>
    <r>
      <rPr>
        <b/>
        <sz val="10"/>
        <rFont val="Arial"/>
        <family val="2"/>
      </rPr>
      <t xml:space="preserve">.  </t>
    </r>
  </si>
  <si>
    <t xml:space="preserve">Do not complete if GASB reclass is between governmental funds.  </t>
  </si>
  <si>
    <t>Construction Commitments</t>
  </si>
  <si>
    <t>Amount of
Other Commitments</t>
  </si>
  <si>
    <t>Total Other Commitments</t>
  </si>
  <si>
    <t>on the appropriate narrative page.</t>
  </si>
  <si>
    <r>
      <t xml:space="preserve">If other significant commitments (including investment contracts) </t>
    </r>
    <r>
      <rPr>
        <b/>
        <u/>
        <sz val="10"/>
        <rFont val="Arial"/>
        <family val="2"/>
      </rPr>
      <t>exceed $10 million</t>
    </r>
    <r>
      <rPr>
        <sz val="10"/>
        <rFont val="Arial"/>
        <family val="2"/>
      </rPr>
      <t>, prepare a note disclosure</t>
    </r>
    <r>
      <rPr>
        <b/>
        <u/>
        <sz val="10"/>
        <rFont val="Arial"/>
        <family val="2"/>
      </rPr>
      <t/>
    </r>
  </si>
  <si>
    <t>Deferred loss on refunding</t>
  </si>
  <si>
    <t>Agency GASB number</t>
  </si>
  <si>
    <t xml:space="preserve">905Hosp - Offline Proprietary Proforma for UNC-Health Care Reporting Unit  - Combining Stmt of Net Position &amp; 
Stmt of Revenues, Expenses and Changes in Net Position </t>
  </si>
  <si>
    <t>**</t>
  </si>
  <si>
    <t>**Code in column A is OSC WTB code - for OSC use</t>
  </si>
  <si>
    <r>
      <rPr>
        <b/>
        <u/>
        <sz val="9.75"/>
        <rFont val="Arial"/>
        <family val="2"/>
      </rPr>
      <t>Note</t>
    </r>
    <r>
      <rPr>
        <sz val="9.75"/>
        <rFont val="Arial"/>
        <family val="2"/>
      </rPr>
      <t>: GASB Standards require most investments to be reported at fair value but permit or require cost-based</t>
    </r>
  </si>
  <si>
    <t>Final</t>
  </si>
  <si>
    <t>Payment</t>
  </si>
  <si>
    <t>List method for amortizing premiums/discounts on long-term debt and deferred charges on refundings</t>
  </si>
  <si>
    <t>(e.g., straight-line, effective interest, proportionate-to-stated interest requirements).</t>
  </si>
  <si>
    <t>Government Wide - Debt Issuances (370)</t>
  </si>
  <si>
    <t>ANALYSIS OF UNAVAILABLE REVENUES (620)</t>
  </si>
  <si>
    <t>Analysis of Unavailable Revenues</t>
  </si>
  <si>
    <t>Complete the following information only for Deferred Inflows that are for unavailable revenues in the current period (Account 218120).</t>
  </si>
  <si>
    <t>CUSTODIAL CREDIT RISK - DEPOSITS (705)</t>
  </si>
  <si>
    <t>CUSTODIAL CREDIT RISK - INVESTMENTS (710)</t>
  </si>
  <si>
    <t>CUSTODIAL CREDIT RISK - DEPOSITS (715)</t>
  </si>
  <si>
    <t>INTEREST RATE RISK (720)</t>
  </si>
  <si>
    <t>ADDITIONAL LEVEL OF DETAIL (730)</t>
  </si>
  <si>
    <t>CONCENTRATION OF CREDIT RISK (735)</t>
  </si>
  <si>
    <t>Investments Held Outside the State Treasurer - Foreign Currency</t>
  </si>
  <si>
    <t>FOREIGN CURRENCY (740)</t>
  </si>
  <si>
    <t>A.  Foreign Currency Risk</t>
  </si>
  <si>
    <t>B.  Foreign Currency Transactions</t>
  </si>
  <si>
    <t>Total Amount</t>
  </si>
  <si>
    <t xml:space="preserve">Transaction gains or losses result from a change in exchange rates between the U.S. dollar and the currency in which a foreign currency transaction is </t>
  </si>
  <si>
    <t xml:space="preserve">2.  Provide the total amount of unsettled foreign currency transaction balances at year-end.  </t>
  </si>
  <si>
    <t>DEPOSIT AND INVESTMENT POLICIES (745)</t>
  </si>
  <si>
    <t xml:space="preserve">                                  CREDIT RISK (725)</t>
  </si>
  <si>
    <t xml:space="preserve">GASB Statement 70 provides new recognition, measurement, and disclosure guidance for state and local </t>
  </si>
  <si>
    <t>governments that extend or receive nonexchange financial guarantees.</t>
  </si>
  <si>
    <t xml:space="preserve">A nonexchange financial guarantee occurs when a government guarantees a financial obligation but generally </t>
  </si>
  <si>
    <t xml:space="preserve">receives little or no compensation in return. The government guaranteeing the debt (guarantor) agrees to make </t>
  </si>
  <si>
    <t>payments to the holder of the debt if the entity that issued the debt (issuer) is unable to fulfill its obligations.</t>
  </si>
  <si>
    <t xml:space="preserve">Nonexchange financial guarantees that meet certain recognition and measurement requirements should be </t>
  </si>
  <si>
    <t>reported in the financial statements.</t>
  </si>
  <si>
    <t>For more information on GASB 70, refer to the GASB Resources link on OSC's homepage (or see link below).</t>
  </si>
  <si>
    <t>Financial Reporting Update GASB 70</t>
  </si>
  <si>
    <t>Has your agency/university been a party to any nonexchange financial guarantees during the year?</t>
  </si>
  <si>
    <t>GASB Statement 70 requires certain disclosures for both the guarantor government and issuer government.</t>
  </si>
  <si>
    <t>Nonexchange Financial Guarantees</t>
  </si>
  <si>
    <t>Revenue Allocation:</t>
  </si>
  <si>
    <t>This question is to help when making government-wide entry needed per GASB 34.</t>
  </si>
  <si>
    <t>NONEXCHANGE FINANCIAL GUARANTEES (338)</t>
  </si>
  <si>
    <t>Savings accounts, NOW accounts, money market accounts, pooled cash accounts (AOC only)</t>
  </si>
  <si>
    <t>Total investments held outside the State Treasurer (Worksheet 710)</t>
  </si>
  <si>
    <t>Less: Certificates of deposit (Worksheet 710)</t>
  </si>
  <si>
    <t>Total investments does not equal Total per CAFR 11G/11P/11F.</t>
  </si>
  <si>
    <t>Gina Knight</t>
  </si>
  <si>
    <t>(252) 335-4822</t>
  </si>
  <si>
    <t>Note:  If a proprietary fund has a prior year adjustment, the adjustment must be reported on the 430BTA Restatements worksheet and reflected in the financial statements as a restatement.</t>
  </si>
  <si>
    <t xml:space="preserve">Note:  If a proprietary fund has a prior year adjustment, the adjustment must be reported on the 430BTA Restatements worksheet and reflected in the financial statements as a restatement.  </t>
  </si>
  <si>
    <t>UNIVERSITY OPTIONAL RETIREMENT PROGRAM (605)</t>
  </si>
  <si>
    <t>Laketha Miller</t>
  </si>
  <si>
    <t>(919) 855-3700</t>
  </si>
  <si>
    <t>01</t>
  </si>
  <si>
    <t>02</t>
  </si>
  <si>
    <t>04</t>
  </si>
  <si>
    <t>05</t>
  </si>
  <si>
    <t>06</t>
  </si>
  <si>
    <t>07</t>
  </si>
  <si>
    <t>08</t>
  </si>
  <si>
    <t>09</t>
  </si>
  <si>
    <t>10</t>
  </si>
  <si>
    <t>11</t>
  </si>
  <si>
    <t>12</t>
  </si>
  <si>
    <t>14</t>
  </si>
  <si>
    <t>15</t>
  </si>
  <si>
    <t>16</t>
  </si>
  <si>
    <t>17</t>
  </si>
  <si>
    <t>43</t>
  </si>
  <si>
    <t>45</t>
  </si>
  <si>
    <t>46</t>
  </si>
  <si>
    <t>50</t>
  </si>
  <si>
    <t>60</t>
  </si>
  <si>
    <t>67</t>
  </si>
  <si>
    <t>8a. NC Toll Road System</t>
  </si>
  <si>
    <t xml:space="preserve">8a. NC Toll Road System </t>
  </si>
  <si>
    <t>* GASB 14XX is Capital Outlay function</t>
  </si>
  <si>
    <r>
      <t>Separate analysis required</t>
    </r>
    <r>
      <rPr>
        <b/>
        <sz val="10"/>
        <rFont val="MS Sans Serif"/>
        <family val="2"/>
      </rPr>
      <t>**</t>
    </r>
  </si>
  <si>
    <r>
      <t>1599</t>
    </r>
    <r>
      <rPr>
        <b/>
        <sz val="10"/>
        <rFont val="MS Sans Serif"/>
        <family val="2"/>
      </rPr>
      <t>*</t>
    </r>
  </si>
  <si>
    <t>Capital Outlay</t>
  </si>
  <si>
    <t>076</t>
  </si>
  <si>
    <t>077</t>
  </si>
  <si>
    <t>** Analysis of accounts needed to determine functionality</t>
  </si>
  <si>
    <t>035</t>
  </si>
  <si>
    <t>Amy Penson</t>
  </si>
  <si>
    <t>LaTasha Moore</t>
  </si>
  <si>
    <t>919-209-2070</t>
  </si>
  <si>
    <t>Debbie Cashwell</t>
  </si>
  <si>
    <t>910-410-1803</t>
  </si>
  <si>
    <t>Lettie Navarrete</t>
  </si>
  <si>
    <t>910-272-3552</t>
  </si>
  <si>
    <t>336-342-4261 x2186</t>
  </si>
  <si>
    <t>704-216-7235</t>
  </si>
  <si>
    <t>Kelly Jackson</t>
  </si>
  <si>
    <t>Leah Englebright</t>
  </si>
  <si>
    <t>Marla Tart</t>
  </si>
  <si>
    <t>Annette Woodard</t>
  </si>
  <si>
    <t>Jessica Jones</t>
  </si>
  <si>
    <t>Larna Griffin</t>
  </si>
  <si>
    <t>919-248-4698</t>
  </si>
  <si>
    <t>John House</t>
  </si>
  <si>
    <t>919-829-8132</t>
  </si>
  <si>
    <t>919-954-7601</t>
  </si>
  <si>
    <t>Joan Fontes</t>
  </si>
  <si>
    <t>Toll revenues</t>
  </si>
  <si>
    <t xml:space="preserve">Notes: This worksheet is only for Deferred Comp, so NA for all others. </t>
  </si>
  <si>
    <t xml:space="preserve">   Change in net position</t>
  </si>
  <si>
    <t>High Point</t>
  </si>
  <si>
    <t>Regional</t>
  </si>
  <si>
    <t>Caldwell</t>
  </si>
  <si>
    <t>Memorial</t>
  </si>
  <si>
    <t>Stmnt of Changes in Fid Net Position verification</t>
  </si>
  <si>
    <t>Net position — July 1</t>
  </si>
  <si>
    <t>Net position — June 30</t>
  </si>
  <si>
    <t>Prior year 906- Offline Fiduciary Proforma for 401(k) and Deferred Compensation Plans
Stmt of Plan Net Position &amp; Stmt of Changes in Plan Net Position
To populate prior year balances on 906 and 911 worksheeets</t>
  </si>
  <si>
    <t>Prepaid Items</t>
  </si>
  <si>
    <t>Total Deferred Outflows of Resources</t>
  </si>
  <si>
    <t xml:space="preserve">Supplies and materials </t>
  </si>
  <si>
    <t>SUMMARY OF SIGNIFICANT ACCOUNTING POLICIES (101)</t>
  </si>
  <si>
    <t>CAPITAL ASSET IMPAIRMENTS (215)</t>
  </si>
  <si>
    <t>Derivative Instruments (340)</t>
  </si>
  <si>
    <t>Hedging Derivative Instruments (341)</t>
  </si>
  <si>
    <t>Investment Derivative Instruments (342)</t>
  </si>
  <si>
    <t>GASB Statement No. 42 requires certain disclosures about an agency's impaired capital assets. The required</t>
  </si>
  <si>
    <t xml:space="preserve">Other revenues </t>
  </si>
  <si>
    <t>430G</t>
  </si>
  <si>
    <t>430BTA</t>
  </si>
  <si>
    <t xml:space="preserve"> RECEIVABLES (570)</t>
  </si>
  <si>
    <t>Part 1 of 2 for Fund Equity Restatements</t>
  </si>
  <si>
    <r>
      <t>RESTATEMENTS GOVERNMENTAL FUNDS</t>
    </r>
    <r>
      <rPr>
        <b/>
        <sz val="11"/>
        <rFont val="Arial"/>
        <family val="2"/>
      </rPr>
      <t xml:space="preserve"> (430G)</t>
    </r>
  </si>
  <si>
    <r>
      <t xml:space="preserve">RESTATEMENTS Business Type Activities </t>
    </r>
    <r>
      <rPr>
        <b/>
        <sz val="11"/>
        <rFont val="Arial"/>
        <family val="2"/>
      </rPr>
      <t>(430BTA)</t>
    </r>
  </si>
  <si>
    <t>Agrees to page 710</t>
  </si>
  <si>
    <r>
      <t>Noninterest</t>
    </r>
    <r>
      <rPr>
        <sz val="10"/>
        <rFont val="Arial Narrow"/>
        <family val="2"/>
      </rPr>
      <t xml:space="preserve"> </t>
    </r>
    <r>
      <rPr>
        <b/>
        <u/>
        <sz val="10"/>
        <rFont val="Arial Narrow"/>
        <family val="2"/>
      </rPr>
      <t>and interest</t>
    </r>
    <r>
      <rPr>
        <b/>
        <u/>
        <sz val="9"/>
        <rFont val="Arial Narrow"/>
        <family val="2"/>
      </rPr>
      <t xml:space="preserve"> </t>
    </r>
    <r>
      <rPr>
        <sz val="9"/>
        <rFont val="Arial Narrow"/>
        <family val="2"/>
      </rPr>
      <t>bearing checking accounts</t>
    </r>
  </si>
  <si>
    <t xml:space="preserve">Notes: This worksheet is only for 401(k) , so NA for all others. </t>
  </si>
  <si>
    <t>Unavailable</t>
  </si>
  <si>
    <t>Revenues Earned</t>
  </si>
  <si>
    <t>in Current Year</t>
  </si>
  <si>
    <t>In Unavailable</t>
  </si>
  <si>
    <t>amount is not included in the current year unavailable revenue balance.</t>
  </si>
  <si>
    <t>Narrative NA for component units</t>
  </si>
  <si>
    <t>State appropriations(for CUs only)</t>
  </si>
  <si>
    <t>SIGNIFICANT TRANSACTIONS BETWEEN COMPONENT UNITS (610)</t>
  </si>
  <si>
    <t>(2) Other significant transactions ($10 million threshold) with other component units:</t>
  </si>
  <si>
    <r>
      <rPr>
        <b/>
        <sz val="10"/>
        <rFont val="Arial"/>
        <family val="2"/>
      </rPr>
      <t>(1)</t>
    </r>
    <r>
      <rPr>
        <sz val="10"/>
        <rFont val="Arial"/>
        <family val="2"/>
      </rPr>
      <t xml:space="preserve"> </t>
    </r>
    <r>
      <rPr>
        <b/>
        <sz val="10"/>
        <rFont val="Arial"/>
        <family val="2"/>
      </rPr>
      <t>Transactions with the State Health Plan, a major component unit of the State of NC:</t>
    </r>
    <r>
      <rPr>
        <sz val="10"/>
        <rFont val="Arial"/>
        <family val="2"/>
      </rPr>
      <t xml:space="preserve">  </t>
    </r>
  </si>
  <si>
    <t>Aggregate Gain or Loss</t>
  </si>
  <si>
    <t xml:space="preserve">1.  Provide the aggregate amount of foreign currency transaction gains or losses recognized in the period.  Specify gain or loss by entering gains as </t>
  </si>
  <si>
    <t>Governmental Funds Only; NA Dept. of State Treasurer Statewide Debt</t>
  </si>
  <si>
    <t>All component units must complete this worksheet - it cannot be marked NA for component units.</t>
  </si>
  <si>
    <t>Significant Transactions Between Component Units (required worksheet for all component units)</t>
  </si>
  <si>
    <t>112243 EXTERNAL FIXED INCOME INVESTMENT</t>
  </si>
  <si>
    <t>NEW ACCT FOR FY 2013-2014</t>
  </si>
  <si>
    <t>112287 ALLOWANCE - FAIR VALUE OF EXTERNAL FIXED INCOME INVESTMENT</t>
  </si>
  <si>
    <t>Prepaid Items -Noncurrent</t>
  </si>
  <si>
    <t>129200 UNAMORTIZED DREDGING</t>
  </si>
  <si>
    <t>Account title changed FY2014</t>
  </si>
  <si>
    <t xml:space="preserve">  Deferred loss on refunding</t>
  </si>
  <si>
    <t>New caption FY 2013-14</t>
  </si>
  <si>
    <t>129702 DEF LOSS ON REFUNDING BOND</t>
  </si>
  <si>
    <t>New account FY 2013-14</t>
  </si>
  <si>
    <t xml:space="preserve">  Deferred outflows - Other</t>
  </si>
  <si>
    <t>129703 OTH DEF OUTFLOW OF RESRCS</t>
  </si>
  <si>
    <t>Moved to Invalid FY 2014</t>
  </si>
  <si>
    <t>Moved in FY 2013-14</t>
  </si>
  <si>
    <t>211122 PRIZE LIABILITY - ROLLOVER</t>
  </si>
  <si>
    <t xml:space="preserve">216103 GRANT ANTICIPATION REVENUE BONDS PAYABLE-CURRENT </t>
  </si>
  <si>
    <t>218110 UNEARNED REVENUE</t>
  </si>
  <si>
    <t xml:space="preserve">   Death benefit payable</t>
  </si>
  <si>
    <t>221500 DEATH BEN PAYABLE</t>
  </si>
  <si>
    <t>Account title updated FY 2014</t>
  </si>
  <si>
    <t>229201 ACCUM INCR FV HEDG DERIV</t>
  </si>
  <si>
    <t>229202 SCA REV APPLIC FUTURE YRS</t>
  </si>
  <si>
    <t xml:space="preserve">  Deferred Gain on refunding</t>
  </si>
  <si>
    <t>New caption for FY 2013-14</t>
  </si>
  <si>
    <t>229203 DEF GAIN ON REFUNDNG BOND</t>
  </si>
  <si>
    <t>New account for  FY 2013-14</t>
  </si>
  <si>
    <t xml:space="preserve">  Deferred inflows - nonexchange transactions</t>
  </si>
  <si>
    <t>229204 DEF INFLOW-NONEXCH TXNS</t>
  </si>
  <si>
    <t>New account for FY 2013-14</t>
  </si>
  <si>
    <t xml:space="preserve">  Deferred inflows - other</t>
  </si>
  <si>
    <t>229205 OTH DEF INFLOW OF RESRCS</t>
  </si>
  <si>
    <t>Moved for FY 2013-14</t>
  </si>
  <si>
    <t>435500005 FEED TAX</t>
  </si>
  <si>
    <t xml:space="preserve"> Moved from Fees, licenses and fines in FY 2012-2013</t>
  </si>
  <si>
    <t>435500006 FERTILIZER TAX</t>
  </si>
  <si>
    <t>435500007 LIME TAX</t>
  </si>
  <si>
    <t>435500008 SEED TAX</t>
  </si>
  <si>
    <t>435500031 FOREST PRODUCTION ASSESSMENT</t>
  </si>
  <si>
    <t>435500118 911 FEE</t>
  </si>
  <si>
    <t>New for FY 2012-13</t>
  </si>
  <si>
    <t>531572 UNEMP COMP PAYMNTS TO DES</t>
  </si>
  <si>
    <t>TITLE UPDATED FY 2013-14</t>
  </si>
  <si>
    <t>531577 UNEMPLOYMENT INSURANCE 1% PAYMENT TO DIVISION OF EMPLOYMENT SECURITY</t>
  </si>
  <si>
    <t>NEW ACCT FOR FY 2013-14</t>
  </si>
  <si>
    <t xml:space="preserve">   .534XXX Capital outlay (Accounts 534XXX. 534522 and 534710 are invalid accounts)</t>
  </si>
  <si>
    <t xml:space="preserve"> (moved from Other to be under supplies and materials in FY 2013)</t>
  </si>
  <si>
    <t>532140 OTH INFORMATION TECH SVCS</t>
  </si>
  <si>
    <t>Revised title FY 2013-14</t>
  </si>
  <si>
    <t>532145 MANAGE SERVER SUPPORT SVC</t>
  </si>
  <si>
    <t>532148 APPLICATION DEVELOPMENT</t>
  </si>
  <si>
    <t>532149 IT PROJ MGMT ANLSIS SVCS</t>
  </si>
  <si>
    <t>532823 AUTHENTIC &amp; AUTHORIZ SVCS</t>
  </si>
  <si>
    <t>532824 MANAGED SERVER SVCS</t>
  </si>
  <si>
    <t>532825 MANAGED WAN SVCS</t>
  </si>
  <si>
    <t>532826 SOFTWARE SUBSCRIPTIONS</t>
  </si>
  <si>
    <t>532827 ELECTRONIC SERVICES</t>
  </si>
  <si>
    <t>532828 MANAGED DESKTOP SVCS</t>
  </si>
  <si>
    <t>See below. Exceptions are 435811 and 435829 which are invalid</t>
  </si>
  <si>
    <t>See below. Accts 435XXX except for 4358XX, 435500005 to 435500008,435500031, 435500118, 435590, 435710, 435711 and  435900064.</t>
  </si>
  <si>
    <t>Compensated absences (Gen. Assembly only)</t>
  </si>
  <si>
    <t>NA for Primary Gov agencies – for Component units only</t>
  </si>
  <si>
    <t>Number of employees participating in the program</t>
  </si>
  <si>
    <t xml:space="preserve">Chatham </t>
  </si>
  <si>
    <t>Physicians Ntwrk</t>
  </si>
  <si>
    <t>Total deferred outflows of resources</t>
  </si>
  <si>
    <t>Deferred gain on refunding</t>
  </si>
  <si>
    <t>Workers compensation-current (ws 310)</t>
  </si>
  <si>
    <t>Workers compensation (ws 310)</t>
  </si>
  <si>
    <t>Workers compensation - current</t>
  </si>
  <si>
    <t>Oblig for Workers Comp</t>
  </si>
  <si>
    <t xml:space="preserve">  Fed unemploy acct advances- current</t>
  </si>
  <si>
    <t>Obligation for Workers comp - Current *</t>
  </si>
  <si>
    <t>Restatements Governmental Funds (Part 1 of 2)</t>
  </si>
  <si>
    <t>Restatements Business Type Activities (Part 1 of 2)</t>
  </si>
  <si>
    <t>Fund Balance Classifications Special Revenue Funds</t>
  </si>
  <si>
    <t>Fund Balance Classifications General Fund</t>
  </si>
  <si>
    <t>Fund Balance Classifications Capital Projects Funds</t>
  </si>
  <si>
    <t>Fund Balance Classifications Permanent Funds</t>
  </si>
  <si>
    <t>NetPosition</t>
  </si>
  <si>
    <t>NetPosition and GASB Table for worksheets 905 &amp; 906</t>
  </si>
  <si>
    <t>AllAgencies</t>
  </si>
  <si>
    <t>SERVICE CONCESSION ARRANGEMENTS (110)</t>
  </si>
  <si>
    <t>Offline Fiduciary Analytical Review for  NC 401(k)  - Computed Variances - 911-6C</t>
  </si>
  <si>
    <t>Offline Fiduciary Analytical Review for Deferred Comp  - Computed Variances - 911-6B</t>
  </si>
  <si>
    <t>Death benefit payable</t>
  </si>
  <si>
    <r>
      <t xml:space="preserve">If </t>
    </r>
    <r>
      <rPr>
        <b/>
        <u/>
        <sz val="11"/>
        <color indexed="8"/>
        <rFont val="Calibri"/>
        <family val="2"/>
      </rPr>
      <t>revenue</t>
    </r>
    <r>
      <rPr>
        <sz val="11"/>
        <color indexed="8"/>
        <rFont val="Calibri"/>
        <family val="2"/>
      </rPr>
      <t xml:space="preserve"> is collected in this fund, how much is a contribution to the principal?</t>
    </r>
  </si>
  <si>
    <t>Prior Yr 906 worksheet - Stmt of Plan Net Position  &amp; Stmnt of Changes in PNP for Variances 911 ws</t>
  </si>
  <si>
    <t>Combination hunting/fishing licenses sold</t>
  </si>
  <si>
    <t>GASB Statement 69 establishes accounting and financial reporting standards related to government</t>
  </si>
  <si>
    <r>
      <t xml:space="preserve">As used in this Statement, the term </t>
    </r>
    <r>
      <rPr>
        <i/>
        <sz val="10"/>
        <rFont val="Arial"/>
        <family val="2"/>
      </rPr>
      <t>government combinations</t>
    </r>
    <r>
      <rPr>
        <sz val="10"/>
        <rFont val="Arial"/>
        <family val="2"/>
      </rPr>
      <t xml:space="preserve"> includes a variety of transactions referred to</t>
    </r>
  </si>
  <si>
    <t>as mergers, acquisitions, and transfers of operations.</t>
  </si>
  <si>
    <t>significant consideration.</t>
  </si>
  <si>
    <t>Government acquisitions are transactions in which a government acquires another entitiy,</t>
  </si>
  <si>
    <t>or its operations, in exchange for significant consideration.</t>
  </si>
  <si>
    <t>Immaterial gain on refunding written off in current period</t>
  </si>
  <si>
    <t>RECONCILIATION OF DEFERRED LOSS ON REFUNDING:</t>
  </si>
  <si>
    <t>Beginning balance</t>
  </si>
  <si>
    <t>Additions (should agree with amount above)</t>
  </si>
  <si>
    <t>Deletions (enter as negative)</t>
  </si>
  <si>
    <t>Ending Balance (should agree with account # 129702)</t>
  </si>
  <si>
    <t>(Note to Preparer: The attached narratives should not include disclosures for debt defeased in prior years.)</t>
  </si>
  <si>
    <t>(Note: Old debt premium/discount above refers to amounts actually booked.)</t>
  </si>
  <si>
    <r>
      <t>(b)  Less: Accumulated depreciation (</t>
    </r>
    <r>
      <rPr>
        <i/>
        <sz val="10"/>
        <rFont val="Arial"/>
        <family val="2"/>
      </rPr>
      <t>Proprietary funds only</t>
    </r>
    <r>
      <rPr>
        <sz val="10"/>
        <rFont val="Arial"/>
        <family val="2"/>
      </rPr>
      <t>) (enter as negative).</t>
    </r>
  </si>
  <si>
    <t>Issuance discounts</t>
  </si>
  <si>
    <t>Issuance premium</t>
  </si>
  <si>
    <t>GOVERNMENT COMBINATIONS AND DISPOSALS OF GOVERNMENT OPERATIONS (120)</t>
  </si>
  <si>
    <t xml:space="preserve">  Other employee benefits</t>
  </si>
  <si>
    <t xml:space="preserve">  Pension benefits</t>
  </si>
  <si>
    <t>See below. Caption title changed FY 2014</t>
  </si>
  <si>
    <t>See below. New Caption FY 2013-14</t>
  </si>
  <si>
    <t>See below. Caption title updated FY 2014</t>
  </si>
  <si>
    <t>updated for 2014 on 1/15/15 dkd</t>
  </si>
  <si>
    <t>Net pension liability</t>
  </si>
  <si>
    <t>Visitation to state parks</t>
  </si>
  <si>
    <t>Visitation to state aquariums</t>
  </si>
  <si>
    <t>A. – Prior Year Defeasance of Debt</t>
  </si>
  <si>
    <t>B. – Current Year Defeasances</t>
  </si>
  <si>
    <r>
      <t xml:space="preserve">Deferred loss on refunding – Additions </t>
    </r>
    <r>
      <rPr>
        <sz val="10"/>
        <rFont val="Arial"/>
        <family val="2"/>
      </rPr>
      <t>(should agree with amount below)</t>
    </r>
  </si>
  <si>
    <t>Higher education student aid</t>
  </si>
  <si>
    <t>Highway construction/preservation</t>
  </si>
  <si>
    <t>Highway maintenance</t>
  </si>
  <si>
    <t>Capital projects/repairs and renovations</t>
  </si>
  <si>
    <r>
      <rPr>
        <b/>
        <sz val="10"/>
        <rFont val="Arial"/>
        <family val="2"/>
      </rPr>
      <t>NOTE:</t>
    </r>
    <r>
      <rPr>
        <sz val="10"/>
        <rFont val="Arial"/>
        <family val="2"/>
      </rPr>
      <t xml:space="preserve"> Outstanding encumbrances (excluding those for capital improvements) or purchase orders are</t>
    </r>
  </si>
  <si>
    <t>not considered to be commitments.</t>
  </si>
  <si>
    <t>NC OSC Policy 102.13</t>
  </si>
  <si>
    <t>ZM</t>
  </si>
  <si>
    <t>disaster, mold remediation, and asbestos removal.</t>
  </si>
  <si>
    <r>
      <t xml:space="preserve">capital assets.  A capital asset is considered impaired when its service utility has declined </t>
    </r>
    <r>
      <rPr>
        <b/>
        <sz val="10"/>
        <rFont val="Arial"/>
        <family val="2"/>
      </rPr>
      <t>significantly</t>
    </r>
  </si>
  <si>
    <r>
      <rPr>
        <b/>
        <sz val="10"/>
        <rFont val="Arial"/>
        <family val="2"/>
      </rPr>
      <t>and unexpectedly</t>
    </r>
    <r>
      <rPr>
        <sz val="10"/>
        <rFont val="Arial"/>
        <family val="2"/>
      </rPr>
      <t>. Additional guidance is included in the Impairment of Capital Assets Policy:</t>
    </r>
  </si>
  <si>
    <r>
      <t>Other</t>
    </r>
    <r>
      <rPr>
        <sz val="8"/>
        <rFont val="Arial Narrow"/>
        <family val="2"/>
      </rPr>
      <t xml:space="preserve"> (Call OSC/describe in Explanations tab)</t>
    </r>
  </si>
  <si>
    <r>
      <t xml:space="preserve">Other </t>
    </r>
    <r>
      <rPr>
        <sz val="9"/>
        <rFont val="Arial Narrow"/>
        <family val="2"/>
      </rPr>
      <t>(Call OSC/describe in Explanations tab)</t>
    </r>
  </si>
  <si>
    <t>Economic Development Partnership of NC</t>
  </si>
  <si>
    <t>New in 2015</t>
  </si>
  <si>
    <t>Deferred outflows for pensions</t>
  </si>
  <si>
    <t>Compensated absences-current (ws 310)</t>
  </si>
  <si>
    <t>Net pension liability-current (ws 310)</t>
  </si>
  <si>
    <t>Compensated absences (ws 310)</t>
  </si>
  <si>
    <t>Net pension liability (ws 310)</t>
  </si>
  <si>
    <t>Deferred inflows for pensions</t>
  </si>
  <si>
    <t>Deferred state aid</t>
  </si>
  <si>
    <t>Excess consideration provided for acquisition</t>
  </si>
  <si>
    <t xml:space="preserve">Compensated absences-current </t>
  </si>
  <si>
    <t xml:space="preserve">Compensated absences </t>
  </si>
  <si>
    <t xml:space="preserve">Net pension liability </t>
  </si>
  <si>
    <t>Compensated absences - current</t>
  </si>
  <si>
    <t>Disaster relief (OSC only)</t>
  </si>
  <si>
    <t>Financial Reporting Update for GASB 69</t>
  </si>
  <si>
    <t xml:space="preserve">Transfers of operations are government combination involving the operations (as defined in paragraph 4 </t>
  </si>
  <si>
    <t>of GASB 69) of a government or nongovernmental entity, rather than a combination of legally separate</t>
  </si>
  <si>
    <t xml:space="preserve">entities, in which no significant consideration is exchanged. </t>
  </si>
  <si>
    <t>(Indicate with an "X")</t>
  </si>
  <si>
    <t>Government merger</t>
  </si>
  <si>
    <t>Government acquisition</t>
  </si>
  <si>
    <t>Transfer of operations</t>
  </si>
  <si>
    <t>combinations and disposals of government operations. Additional guidance is included as follows:</t>
  </si>
  <si>
    <t>2) Condensed Statement of Net Position</t>
  </si>
  <si>
    <t>Total deferred inflows</t>
  </si>
  <si>
    <t>Kathy Burckley</t>
  </si>
  <si>
    <t>Lori Oldham</t>
  </si>
  <si>
    <t>Please scroll down to see instructions.</t>
  </si>
  <si>
    <t>Revenue bonds which are pledged by general revenues should be excluded.</t>
  </si>
  <si>
    <t>Select type of debt from drop-down box. A separate worksheet is required for each type of debt.</t>
  </si>
  <si>
    <t>Row D (Net Revenue Available for Debt Service) should equal  Y (Net Revenue Available) on the narrative worksheet 326.</t>
  </si>
  <si>
    <t>Row E (Principal) plus Row F (Interest) should equal X ( Principal plus Interest) on the narrative worksheet 326.</t>
  </si>
  <si>
    <t xml:space="preserve">For Universities,  Row D (Net available Revenue), Row E (Principal) Plus Row F (Interest) for this year should equal </t>
  </si>
  <si>
    <t>Pledged Revenue Coverage (325) - Continue scrolling down for additional instructions.</t>
  </si>
  <si>
    <t>113450 ALLOWANCE -INTERGOVT REC</t>
  </si>
  <si>
    <t xml:space="preserve">  Forward funded state aid</t>
  </si>
  <si>
    <t>129704 Forward funded state aid</t>
  </si>
  <si>
    <t xml:space="preserve">112205 POOL INV-ST INVESTMT POOL </t>
  </si>
  <si>
    <t>New for  FY15. For State Treasurer use only</t>
  </si>
  <si>
    <t>Accrued Interest Payable</t>
  </si>
  <si>
    <t>226220 ACCRUED INTEREST PAYABLE</t>
  </si>
  <si>
    <t>NEW ACCT for FY 2014-15</t>
  </si>
  <si>
    <t xml:space="preserve">  Deferred State aid</t>
  </si>
  <si>
    <t>229206 Deferred state aid</t>
  </si>
  <si>
    <t>Moved from Other Services FY 2015</t>
  </si>
  <si>
    <t>531570 NO STATEWIDE DESC FOUND</t>
  </si>
  <si>
    <t>acct has not been set up in NCAS as of 7/1/14</t>
  </si>
  <si>
    <t>437997 SETTLEMENTS</t>
  </si>
  <si>
    <t>NEW FY 2014-15</t>
  </si>
  <si>
    <t>Foreign Currency Denomination</t>
  </si>
  <si>
    <t>Other limited partnerships</t>
  </si>
  <si>
    <t>IN410</t>
  </si>
  <si>
    <t>NSIRR330</t>
  </si>
  <si>
    <t xml:space="preserve">Government mergers include combinations of legally separate entities without the exchange of </t>
  </si>
  <si>
    <t>NA - Proprietary Funds and Component Units</t>
  </si>
  <si>
    <t>1398</t>
  </si>
  <si>
    <t>1330</t>
  </si>
  <si>
    <t>1357</t>
  </si>
  <si>
    <t xml:space="preserve">  Excess consideration provided for acqusition</t>
  </si>
  <si>
    <t>New caption FY 2014-15</t>
  </si>
  <si>
    <t>129705 Excss cons prov for aqstn</t>
  </si>
  <si>
    <t>New account FY 2014-15</t>
  </si>
  <si>
    <t>(910) 672-1163</t>
  </si>
  <si>
    <t xml:space="preserve">    Deferred outflows for Pensions</t>
  </si>
  <si>
    <t>129710 Def outflows for Pensions</t>
  </si>
  <si>
    <t>229150 Net pension liab - Noncur</t>
  </si>
  <si>
    <t>New account for FY 2014-15</t>
  </si>
  <si>
    <t xml:space="preserve">  Deferred Inflows for Pensions</t>
  </si>
  <si>
    <t>New caption for FY 2014-15</t>
  </si>
  <si>
    <t>229210 Def inflows for Pensions</t>
  </si>
  <si>
    <t>Select Function/Purpose (Click here)</t>
  </si>
  <si>
    <t>(Note: The Department of State Treasurer should include all investments)</t>
  </si>
  <si>
    <t>Government Combinations and Disposals of Government Operations</t>
  </si>
  <si>
    <t>Higher Education - Student aid</t>
  </si>
  <si>
    <t>Provide explanations for significant changes from the prior year at the bottom of this worksheet.</t>
  </si>
  <si>
    <t>Significant Change Explanations (if need additional space, use Explanations tab):</t>
  </si>
  <si>
    <t>(Losses should be negative)</t>
  </si>
  <si>
    <t>531595 PENSION EXPENSE</t>
  </si>
  <si>
    <t>NEW FOR FY 2014-2015</t>
  </si>
  <si>
    <t>Other deferred outflows</t>
  </si>
  <si>
    <t>Other deferred inflows</t>
  </si>
  <si>
    <t>Net pension liabiilty - current</t>
  </si>
  <si>
    <t>(1) Employer's share of medical insurance premiums paid to State Health Plan</t>
  </si>
  <si>
    <t xml:space="preserve">      (enter as negative).</t>
  </si>
  <si>
    <t>Amount of pension expense recognized during the reporting period</t>
  </si>
  <si>
    <t xml:space="preserve">Amount of forfeitures reflected in pension expense recognized during the </t>
  </si>
  <si>
    <t>reporting period</t>
  </si>
  <si>
    <t>Thresholds:</t>
  </si>
  <si>
    <t>Percent change</t>
  </si>
  <si>
    <t>Offline Computed Variances  - 910</t>
  </si>
  <si>
    <t>$ value of change</t>
  </si>
  <si>
    <t>From the 905 for Analytical Review ws 625</t>
  </si>
  <si>
    <t>Number of comments</t>
  </si>
  <si>
    <t>For ws 625</t>
  </si>
  <si>
    <t>C=Comment</t>
  </si>
  <si>
    <t>Review</t>
  </si>
  <si>
    <t>Net Position for</t>
  </si>
  <si>
    <t>reasonableness</t>
  </si>
  <si>
    <t>Review net position changes and classifications for reasonableness</t>
  </si>
  <si>
    <r>
      <rPr>
        <b/>
        <u/>
        <sz val="8"/>
        <rFont val="Arial"/>
        <family val="2"/>
      </rPr>
      <t>SNP</t>
    </r>
    <r>
      <rPr>
        <b/>
        <sz val="8"/>
        <rFont val="Arial"/>
        <family val="2"/>
      </rPr>
      <t xml:space="preserve"> - ASSETS</t>
    </r>
  </si>
  <si>
    <t xml:space="preserve">Accumulated decr in fair value of hedging derivative </t>
  </si>
  <si>
    <t xml:space="preserve">Accumulated incr in fair value of hedging derivative </t>
  </si>
  <si>
    <t xml:space="preserve">Serv concess arrangmt rev applicable to future yrs </t>
  </si>
  <si>
    <t>Offline Computed Variances  - 910Hosp
For 48X UNC Health Care Combined Pkg; NA for others</t>
  </si>
  <si>
    <t>Bonds and similar debt payable:</t>
  </si>
  <si>
    <t>216106 LIMITED OBLIGATION BONDS PAYABLE - CURRENT</t>
  </si>
  <si>
    <t>Restricted due from Prim Gov</t>
  </si>
  <si>
    <t>437985 OTHER MISC REVENUE-GRANT RELATED PROGRAM REVENUE</t>
  </si>
  <si>
    <t>NEW FOR FY 2014-15</t>
  </si>
  <si>
    <t xml:space="preserve">                                                               Office of the State Controller                                                                </t>
  </si>
  <si>
    <t>431G</t>
  </si>
  <si>
    <t>431BTA</t>
  </si>
  <si>
    <t>RESTATEMENTS GOVERNMENTAL FUNDS (431G)</t>
  </si>
  <si>
    <t>RESTATEMENTS BTA's (431BTA)</t>
  </si>
  <si>
    <t>as Restated</t>
  </si>
  <si>
    <t>Deferred Outflows of Resources</t>
  </si>
  <si>
    <t>Deferred Inflows of Resources</t>
  </si>
  <si>
    <t>Program Revenues</t>
  </si>
  <si>
    <t>General Revenues</t>
  </si>
  <si>
    <t xml:space="preserve">    Charges for services</t>
  </si>
  <si>
    <t xml:space="preserve">    Operating Grants &amp; Contributions</t>
  </si>
  <si>
    <t xml:space="preserve">    Capital Grants &amp; Contributions</t>
  </si>
  <si>
    <t xml:space="preserve">    Miscellaneous</t>
  </si>
  <si>
    <t>Total Revenues</t>
  </si>
  <si>
    <t>Unemployment Comp Fund</t>
  </si>
  <si>
    <t>NC State Lottery</t>
  </si>
  <si>
    <t>EPA Revolving Loan</t>
  </si>
  <si>
    <t>NC Turnpike Authority</t>
  </si>
  <si>
    <t>Regulatory Programs</t>
  </si>
  <si>
    <t>Insurance Programs</t>
  </si>
  <si>
    <t>NC State Fair</t>
  </si>
  <si>
    <t>Other business-type Activities</t>
  </si>
  <si>
    <t>Net Position (beginning restated)</t>
  </si>
  <si>
    <t>8a</t>
  </si>
  <si>
    <t>Clean water grants/loans and other cost reimbursement grants</t>
  </si>
  <si>
    <r>
      <t xml:space="preserve">is a </t>
    </r>
    <r>
      <rPr>
        <b/>
        <u/>
        <sz val="10"/>
        <rFont val="Arial"/>
        <family val="2"/>
      </rPr>
      <t>long-term</t>
    </r>
    <r>
      <rPr>
        <sz val="10"/>
        <rFont val="Arial"/>
        <family val="2"/>
      </rPr>
      <t xml:space="preserve"> contractual obligation with suppliers for future purchases at specified prices and sometimes</t>
    </r>
  </si>
  <si>
    <t>contracts are the most common example of a commitment.  Other examples of commitments are cost</t>
  </si>
  <si>
    <t>reimbursement grants/loans, software in development contracts, and supply contracts.  A supply contract</t>
  </si>
  <si>
    <t>of grant/loan commitments would be Clean Water grants/loans and 911 cost reimbursement grants.</t>
  </si>
  <si>
    <t>at specified quantities.  A common supply contract is an utility fuel purchase contract.  Common examples</t>
  </si>
  <si>
    <t xml:space="preserve">Restricted </t>
  </si>
  <si>
    <t xml:space="preserve">Unrestricted </t>
  </si>
  <si>
    <t xml:space="preserve">Balance Sheet Change </t>
  </si>
  <si>
    <t>Operating Statement Change</t>
  </si>
  <si>
    <t>Total Expenditures</t>
  </si>
  <si>
    <t>Taxes</t>
  </si>
  <si>
    <t xml:space="preserve">   Individual Income Tax</t>
  </si>
  <si>
    <t xml:space="preserve">   Corporate Tax</t>
  </si>
  <si>
    <t xml:space="preserve">   Sales and Use Tax</t>
  </si>
  <si>
    <t xml:space="preserve">   Gasoline Tax</t>
  </si>
  <si>
    <t xml:space="preserve">   Franchise Tax</t>
  </si>
  <si>
    <t xml:space="preserve">   Highway Use Tax</t>
  </si>
  <si>
    <t xml:space="preserve">   Insurance Tax</t>
  </si>
  <si>
    <t xml:space="preserve">   Beverage Tax</t>
  </si>
  <si>
    <t xml:space="preserve">   Tobacco Products Tax</t>
  </si>
  <si>
    <t xml:space="preserve">   Other Taxes</t>
  </si>
  <si>
    <t xml:space="preserve">Federal grants not restricted to </t>
  </si>
  <si>
    <t xml:space="preserve">     specifc programs</t>
  </si>
  <si>
    <t xml:space="preserve">   General government</t>
  </si>
  <si>
    <t xml:space="preserve">   Primary &amp; secondary education</t>
  </si>
  <si>
    <t xml:space="preserve">   Higher education</t>
  </si>
  <si>
    <t xml:space="preserve">   Health &amp; human services</t>
  </si>
  <si>
    <t xml:space="preserve">   Economic development</t>
  </si>
  <si>
    <t xml:space="preserve">   Environment &amp; natural resources</t>
  </si>
  <si>
    <t xml:space="preserve">   Public safety, corrections &amp; reg</t>
  </si>
  <si>
    <t xml:space="preserve">   Transportation</t>
  </si>
  <si>
    <t xml:space="preserve">   Agriculture</t>
  </si>
  <si>
    <t>Contributions to permanent funds</t>
  </si>
  <si>
    <t>Beginning Fund Equity (restated)</t>
  </si>
  <si>
    <r>
      <t>Complete an individual schedule for each GASB fund that has restated</t>
    </r>
    <r>
      <rPr>
        <b/>
        <i/>
        <sz val="10"/>
        <rFont val="Arial"/>
        <family val="2"/>
      </rPr>
      <t xml:space="preserve"> net position</t>
    </r>
    <r>
      <rPr>
        <b/>
        <sz val="10"/>
        <rFont val="Arial"/>
        <family val="2"/>
      </rPr>
      <t xml:space="preserve">.  </t>
    </r>
  </si>
  <si>
    <t xml:space="preserve">Department of Commerce - Division of Employment Security </t>
  </si>
  <si>
    <t>Certification required for UNC Health Care System:</t>
  </si>
  <si>
    <t>Certification required for Universities and UNC Hospitals:</t>
  </si>
  <si>
    <t>data file has been reviewed by the University Controller/UNC Hospitals management.</t>
  </si>
  <si>
    <r>
      <rPr>
        <u/>
        <sz val="8"/>
        <rFont val="Arial"/>
        <family val="2"/>
      </rPr>
      <t>Instructions</t>
    </r>
    <r>
      <rPr>
        <sz val="8"/>
        <rFont val="Arial"/>
        <family val="2"/>
      </rPr>
      <t xml:space="preserve">: 
(1) Key to Column F, except for shaded cells, which automatically link to other worksheets that must be completed first.
(2) Be sure to sign and date the certification box at the bottom of the worksheet.  (You may either type the signature or paste a digital picture
of the signature.)  Every university and UNC Hospitals must sign the certification.  (Other hospitals do not need to sign the certification.)  </t>
    </r>
  </si>
  <si>
    <t>I hereby certify that the financial information for the UNC Health Care System above is complete and includes every</t>
  </si>
  <si>
    <t>member of the UNC Health Care System financial reporting entity.  I further certify that the balances for each member</t>
  </si>
  <si>
    <t>Department of Military &amp; Veterans Affairs</t>
  </si>
  <si>
    <t>Department of Information Technology</t>
  </si>
  <si>
    <t>Department of Environmental Quality</t>
  </si>
  <si>
    <t>Department of Natural and Cultural Resources</t>
  </si>
  <si>
    <t>Elizabeth Theora</t>
  </si>
  <si>
    <t>(984) 974-1002</t>
  </si>
  <si>
    <t>Heather Iannucci</t>
  </si>
  <si>
    <t>(910) 962-3144</t>
  </si>
  <si>
    <t>Amy Causby</t>
  </si>
  <si>
    <t>Commercial Paper</t>
  </si>
  <si>
    <t>Anticipation Notes</t>
  </si>
  <si>
    <t xml:space="preserve">    Total ST Debt</t>
  </si>
  <si>
    <t>Other LT Liabilities (Cur &amp; NonCur) tie to SNP</t>
  </si>
  <si>
    <t>GASB Statement 68 Requirements</t>
  </si>
  <si>
    <t>Amount of liability at the end of the reporting period, if applicable</t>
  </si>
  <si>
    <t>Mary E. Hall</t>
  </si>
  <si>
    <t>531653 COMPEN TO NATIONAL GUARD</t>
  </si>
  <si>
    <t>531473 BONUS/INCENTIVE WAGES - UNDESIGNATED</t>
  </si>
  <si>
    <t>NEW ACCT FOR FY 2015-16</t>
  </si>
  <si>
    <t>531474 BONUS/INCENTIVE WAGES - UNIVERSITIES</t>
  </si>
  <si>
    <t>531550 PENSION SPIKE PMT UNIV</t>
  </si>
  <si>
    <t>CHANGED TITLE IN FY2015-16</t>
  </si>
  <si>
    <t>531551 PENSION SPIKE PMT APPROPR</t>
  </si>
  <si>
    <t>531552 PENSION SPIKE PMT RECIPTS</t>
  </si>
  <si>
    <t>531553 PENSIONS SPIKE PMT UNDESIG</t>
  </si>
  <si>
    <t>53214B IT SUBSCRIPTION SUPPORT</t>
  </si>
  <si>
    <t>532189 ELECTRONIC MONITORING</t>
  </si>
  <si>
    <t>NEW ACCT FOR FY 2014-15</t>
  </si>
  <si>
    <t>NEW effective January 1, 2003. Revised title FY 2013-14</t>
  </si>
  <si>
    <t>See below. New caption for FY 2014-2015</t>
  </si>
  <si>
    <t>If OSC makes a revision to the package, agencies will be notified and the file revision date will be updated.</t>
  </si>
  <si>
    <t>for all of the worksheets, as well as other information for certain worksheets.</t>
  </si>
  <si>
    <r>
      <t xml:space="preserve">On the proforma worksheets 905-911, </t>
    </r>
    <r>
      <rPr>
        <b/>
        <sz val="10.5"/>
        <rFont val="Times New Roman"/>
        <family val="1"/>
      </rPr>
      <t>enter dollars and cents</t>
    </r>
    <r>
      <rPr>
        <sz val="10.5"/>
        <rFont val="Times New Roman"/>
        <family val="1"/>
      </rPr>
      <t xml:space="preserve">; </t>
    </r>
    <r>
      <rPr>
        <b/>
        <sz val="10.5"/>
        <rFont val="Times New Roman"/>
        <family val="1"/>
      </rPr>
      <t>do not round to whole dollars</t>
    </r>
    <r>
      <rPr>
        <sz val="10.5"/>
        <rFont val="Times New Roman"/>
        <family val="1"/>
      </rPr>
      <t>.</t>
    </r>
  </si>
  <si>
    <t>you may see an updated revision date, but we will not contact the agencies unless the update is mandatory.</t>
  </si>
  <si>
    <t>Offline Proprietary Proforma for UNC Health Care Reporting Unit- Combining Statement of Net Position &amp; Statement of Revenues, Expenses and Changes in Net Position</t>
  </si>
  <si>
    <t>reviewed by appropriate management of the UNC Health Care System.</t>
  </si>
  <si>
    <t>Out of Balance Amount</t>
  </si>
  <si>
    <t>to an investment derivative instrument, (b) contingent features, (c) companion instrument for a hybrid, and (d) synthetic guaranteed investment contracts.</t>
  </si>
  <si>
    <t>Provide the following information for investments not reported at fair value AND with a</t>
  </si>
  <si>
    <r>
      <t xml:space="preserve">carrying value of </t>
    </r>
    <r>
      <rPr>
        <b/>
        <u/>
        <sz val="9.75"/>
        <rFont val="Arial"/>
        <family val="2"/>
      </rPr>
      <t>$1 million or more</t>
    </r>
    <r>
      <rPr>
        <b/>
        <sz val="9.75"/>
        <rFont val="Arial"/>
        <family val="2"/>
      </rPr>
      <t xml:space="preserve"> (see Worksheet 755, column E):</t>
    </r>
  </si>
  <si>
    <t>INVESTMENTS HELD OUTSIDE THE STATE TREASURER AND DERIVATIVES</t>
  </si>
  <si>
    <t>FAIR VALUE MEASUREMENTS (755)</t>
  </si>
  <si>
    <t>Fair Value Measurements Using</t>
  </si>
  <si>
    <t>Quoted Prices in</t>
  </si>
  <si>
    <t>Significant Other</t>
  </si>
  <si>
    <t>Significant</t>
  </si>
  <si>
    <t>Valuation</t>
  </si>
  <si>
    <t>Active Markets for</t>
  </si>
  <si>
    <t>Observable</t>
  </si>
  <si>
    <t>Unobservable</t>
  </si>
  <si>
    <t>Technique</t>
  </si>
  <si>
    <t>Identicial Assets</t>
  </si>
  <si>
    <t>Inputs</t>
  </si>
  <si>
    <t xml:space="preserve"> Not reported</t>
  </si>
  <si>
    <t>(Level 1)</t>
  </si>
  <si>
    <t>(Level 2)</t>
  </si>
  <si>
    <t>(Level 3)</t>
  </si>
  <si>
    <t>at Fair Value</t>
  </si>
  <si>
    <t>Investments (excluding NAV investments):</t>
  </si>
  <si>
    <t>Investments measured at net asset value (NAV):</t>
  </si>
  <si>
    <t>Investment derivative instruments:</t>
  </si>
  <si>
    <t>Interest rate swaps</t>
  </si>
  <si>
    <t>Foreign currency futures</t>
  </si>
  <si>
    <t>Hedging derivative instruments:</t>
  </si>
  <si>
    <t xml:space="preserve">Did you have a change in a valuation technique that </t>
  </si>
  <si>
    <t xml:space="preserve">had a significant impact on the result? </t>
  </si>
  <si>
    <t xml:space="preserve">Did you report any nonrecurring fair value  </t>
  </si>
  <si>
    <t xml:space="preserve">measurements (such as, impaired capital assets)? </t>
  </si>
  <si>
    <t>INVESTMENTS MEASURED AT NAV (760)</t>
  </si>
  <si>
    <t>Investments Measured at the NAV</t>
  </si>
  <si>
    <t>Redemption</t>
  </si>
  <si>
    <t>Unfunded</t>
  </si>
  <si>
    <t>Frequency (if</t>
  </si>
  <si>
    <t>Notice</t>
  </si>
  <si>
    <t>Commitments</t>
  </si>
  <si>
    <t>Currently Eligible)</t>
  </si>
  <si>
    <t>Period</t>
  </si>
  <si>
    <t/>
  </si>
  <si>
    <t>Total investments measured at the NAV</t>
  </si>
  <si>
    <t>1 - For example, quarterly and/or annually.</t>
  </si>
  <si>
    <t>2 - For example, number of days (30-45 days, 30-60 days, etc.)</t>
  </si>
  <si>
    <t>EXTERNAL INVESTMENT POOLS AND POOL PARTICIPANTS (765)</t>
  </si>
  <si>
    <t xml:space="preserve">GASB Statement 79 allows a qualifying external investment pool to elect to measure all of its investments </t>
  </si>
  <si>
    <t>at amortized cost.</t>
  </si>
  <si>
    <t>For more information on GASB 79, refer to the GASB Resources link on OSC's homepage (or see link below).</t>
  </si>
  <si>
    <t>Financial Reporting Update - GASB 79</t>
  </si>
  <si>
    <t>A.  Entities that Operate Qualifying External Investment Pools</t>
  </si>
  <si>
    <t>An external investment pool may elect to measure all of its investments at amortized cost</t>
  </si>
  <si>
    <t>if it meets all of the following criteria:</t>
  </si>
  <si>
    <t>a. Transacts with its participants at a stable net asset value per share,</t>
  </si>
  <si>
    <t>Does your entity operate a qualifying external investment pool that measures all of its investments at</t>
  </si>
  <si>
    <t>amortized cost?</t>
  </si>
  <si>
    <t>B.  Entities that Participate in Qualifying External Investment Pools</t>
  </si>
  <si>
    <t xml:space="preserve">If a qualifying external investment pool measures all of its investments at amortized cost, the pool's </t>
  </si>
  <si>
    <t>participants should measure their investments in that qualifyting external investment pool at amortized cost.</t>
  </si>
  <si>
    <t>Does your entity participate in a qualifying external investment pool that measures all of its investments</t>
  </si>
  <si>
    <t>at amortized cost? (Note:  The UNC Investment Fund and the Dept. of State Treasurer (DST) external</t>
  </si>
  <si>
    <t xml:space="preserve">investment pools do not qualify to measure their investments at amortized cost. STIF is a portfolio within the </t>
  </si>
  <si>
    <t>DST external investment pool.)</t>
  </si>
  <si>
    <t>Matthew Longobardi</t>
  </si>
  <si>
    <t>(919) 716-6077</t>
  </si>
  <si>
    <t xml:space="preserve">(Select from </t>
  </si>
  <si>
    <t>columns G - J)</t>
  </si>
  <si>
    <t>Select</t>
  </si>
  <si>
    <t>Techniques</t>
  </si>
  <si>
    <t>Number of Adult Correction Vehicles:</t>
  </si>
  <si>
    <t>Contract Value adjustment (401(k) &amp; Def Comp only)</t>
  </si>
  <si>
    <t>905 Ref. no.</t>
  </si>
  <si>
    <t>State Bureau of Investigation</t>
  </si>
  <si>
    <t>Write-offs/uncollectible amounts are amounts reported as unavailable revenue in previous years but are now deemed uncollectible.  This</t>
  </si>
  <si>
    <t>(Note: The required GASB 72 disclosures on fair value measurements should be disclosed on Worksheet 755 and narratives.)</t>
  </si>
  <si>
    <t>This worksheet is only applicable to the University System, the State Treasurer, Department of Transportation, the State 401(k) plan, and the State Deferred Compensation Plan.</t>
  </si>
  <si>
    <t>Only Applies to Department of State Treasurer, Department of Transportation, the UNC System,</t>
  </si>
  <si>
    <t>the State 401(k) plan, and the State Deferred Compensation Plan.</t>
  </si>
  <si>
    <t>2740/2750</t>
  </si>
  <si>
    <t>Net investment in captial assets</t>
  </si>
  <si>
    <t xml:space="preserve"> Part 2 of 2 — NA Component Units and Fiduciary Funds</t>
  </si>
  <si>
    <t>Part 2 of 2 — NA Component Units and Fiduciary Funds</t>
  </si>
  <si>
    <t xml:space="preserve">Please note that if OSC makes changes that do not impact the integrity of the package (i.e. cosmetic changes) </t>
  </si>
  <si>
    <t>919-821-9530</t>
  </si>
  <si>
    <r>
      <rPr>
        <b/>
        <u/>
        <sz val="10"/>
        <rFont val="Arial"/>
        <family val="2"/>
      </rPr>
      <t>Examples</t>
    </r>
    <r>
      <rPr>
        <sz val="10"/>
        <rFont val="Arial"/>
        <family val="2"/>
      </rPr>
      <t xml:space="preserve"> – Abandonment of a software project, prison closure, building damaged during a natural</t>
    </r>
  </si>
  <si>
    <t xml:space="preserve">Pollution remediation liabilities equal to or in excess of the applicable threshold should be accrued at year-end.  </t>
  </si>
  <si>
    <t>NC OSC Policy 103.2</t>
  </si>
  <si>
    <r>
      <t xml:space="preserve">Provide the following details about your agency's pollution remediation liability </t>
    </r>
    <r>
      <rPr>
        <sz val="9"/>
        <color indexed="8"/>
        <rFont val="Arial Narrow"/>
        <family val="2"/>
      </rPr>
      <t>(</t>
    </r>
    <r>
      <rPr>
        <i/>
        <sz val="9"/>
        <color indexed="8"/>
        <rFont val="Arial Narrow"/>
        <family val="2"/>
      </rPr>
      <t>Note: GASB 5200 for governmental funds</t>
    </r>
    <r>
      <rPr>
        <sz val="9"/>
        <color indexed="8"/>
        <rFont val="Arial Narrow"/>
        <family val="2"/>
      </rPr>
      <t>):</t>
    </r>
  </si>
  <si>
    <t>For additional guidance, refer to the OSC policy on Pollution Remediation Obligations (see below link):</t>
  </si>
  <si>
    <t xml:space="preserve">Change in </t>
  </si>
  <si>
    <t>Change in</t>
  </si>
  <si>
    <t>whether or not you need to download the updated version.  Contact your OSC analyst if you have any questions.</t>
  </si>
  <si>
    <t>Capital projects/Repairs &amp; renovations</t>
  </si>
  <si>
    <t>Other (Specify at bottom of worksheet)</t>
  </si>
  <si>
    <t>If "Other" was selected above, then list the specific purpose of the fund balance below. Please note whether the fund balance purpose</t>
  </si>
  <si>
    <t>is for restricted, committed, and/or assigned.</t>
  </si>
  <si>
    <t>None</t>
  </si>
  <si>
    <t>(919) 814-3898</t>
  </si>
  <si>
    <t xml:space="preserve">Other </t>
  </si>
  <si>
    <t>—</t>
  </si>
  <si>
    <t xml:space="preserve">Matrix Pricing (M1)  </t>
  </si>
  <si>
    <t xml:space="preserve">Market Multiples (M2)  </t>
  </si>
  <si>
    <t xml:space="preserve">Present value using discounted cash flows (I1)  </t>
  </si>
  <si>
    <t xml:space="preserve">Options Pricing (I2)  </t>
  </si>
  <si>
    <t xml:space="preserve">Multiperiod Excess Earnings (I3)  </t>
  </si>
  <si>
    <t xml:space="preserve">Relief-from-royalty method (I4)  </t>
  </si>
  <si>
    <t xml:space="preserve">Depreciated replacement cost (C1)  </t>
  </si>
  <si>
    <t>(919) 707-8566</t>
  </si>
  <si>
    <t>40</t>
  </si>
  <si>
    <t>FV100</t>
  </si>
  <si>
    <t>FV120</t>
  </si>
  <si>
    <t>FV140</t>
  </si>
  <si>
    <t>FV160</t>
  </si>
  <si>
    <t>FV180</t>
  </si>
  <si>
    <t>FV200</t>
  </si>
  <si>
    <t>FV220</t>
  </si>
  <si>
    <t>FV240</t>
  </si>
  <si>
    <t>FV260</t>
  </si>
  <si>
    <t>FV300</t>
  </si>
  <si>
    <t>FV280</t>
  </si>
  <si>
    <t>FV340</t>
  </si>
  <si>
    <t>FV360</t>
  </si>
  <si>
    <t>FV380</t>
  </si>
  <si>
    <t>FV400</t>
  </si>
  <si>
    <t>FV420</t>
  </si>
  <si>
    <t>FV440</t>
  </si>
  <si>
    <t>FV460</t>
  </si>
  <si>
    <t>FV480</t>
  </si>
  <si>
    <t>FV500</t>
  </si>
  <si>
    <t>FV520</t>
  </si>
  <si>
    <t>FV540</t>
  </si>
  <si>
    <t>FV560</t>
  </si>
  <si>
    <t>FV580</t>
  </si>
  <si>
    <t>FV600</t>
  </si>
  <si>
    <t>FV620</t>
  </si>
  <si>
    <t>NV700</t>
  </si>
  <si>
    <t>NV720</t>
  </si>
  <si>
    <t>NV740</t>
  </si>
  <si>
    <t>NV760</t>
  </si>
  <si>
    <t>NV780</t>
  </si>
  <si>
    <t>NV800</t>
  </si>
  <si>
    <t>NV820</t>
  </si>
  <si>
    <t>Date of Change</t>
  </si>
  <si>
    <t>Analyst</t>
  </si>
  <si>
    <t>Web Team Notified to Update SIG</t>
  </si>
  <si>
    <t>Revision Date for SIG</t>
  </si>
  <si>
    <t>Date Agencies Notified</t>
  </si>
  <si>
    <t>Worksheet / Narrative #</t>
  </si>
  <si>
    <t>OSC Only</t>
  </si>
  <si>
    <t>Description of Change</t>
  </si>
  <si>
    <t>If yes, please describe:</t>
  </si>
  <si>
    <t>x</t>
  </si>
  <si>
    <t>Please provide the following information regarding covered payroll and contributions to the Optional Retirement Program (ORP) for those employees covered by the Teachers' Insurance and Annuity Association (TIAA) and Fidelity Investments:</t>
  </si>
  <si>
    <t xml:space="preserve">University Optional Retirement Program </t>
  </si>
  <si>
    <t>UNC Healthcare System)</t>
  </si>
  <si>
    <t>Only applies to 07 Treasurer, 13 Administration, 15 Transportation, 16 Environmental Quality,</t>
  </si>
  <si>
    <t>(919) 416-2870</t>
  </si>
  <si>
    <r>
      <t xml:space="preserve">the accounts should roll for year-end reporting. </t>
    </r>
    <r>
      <rPr>
        <b/>
        <sz val="10"/>
        <color indexed="8"/>
        <rFont val="Arial"/>
        <family val="2"/>
      </rPr>
      <t>The roll up table is for all proprietary funds and may include accounts that are not applicable to Univesities</t>
    </r>
  </si>
  <si>
    <t>Prepare/Phone:</t>
  </si>
  <si>
    <t>Total Other</t>
  </si>
  <si>
    <t>Total GASB Reclass</t>
  </si>
  <si>
    <t>the narrative 326,  second table current year Revenues net of expenses (Y)</t>
  </si>
  <si>
    <t>Policy on OSC's website:</t>
  </si>
  <si>
    <t>NC OSC Policy 101.4</t>
  </si>
  <si>
    <t>1. Program Name:</t>
  </si>
  <si>
    <r>
      <t xml:space="preserve">Disclosure is required to be made of </t>
    </r>
    <r>
      <rPr>
        <b/>
        <sz val="10"/>
        <rFont val="Arial"/>
        <family val="2"/>
      </rPr>
      <t>MAJOR</t>
    </r>
    <r>
      <rPr>
        <sz val="10"/>
        <rFont val="Arial"/>
        <family val="2"/>
      </rPr>
      <t xml:space="preserve"> transactions (</t>
    </r>
    <r>
      <rPr>
        <b/>
        <sz val="10"/>
        <rFont val="Arial"/>
        <family val="2"/>
      </rPr>
      <t>$25 million or greater</t>
    </r>
    <r>
      <rPr>
        <sz val="10"/>
        <rFont val="Arial"/>
        <family val="2"/>
      </rPr>
      <t xml:space="preserve">) and events which occur </t>
    </r>
  </si>
  <si>
    <r>
      <t>The issuance and sale of revenue bonds is a prime example of a subsequent event (</t>
    </r>
    <r>
      <rPr>
        <b/>
        <sz val="10"/>
        <rFont val="Arial"/>
        <family val="2"/>
      </rPr>
      <t xml:space="preserve">exclude debt issued </t>
    </r>
  </si>
  <si>
    <t>primarily for refunding of bonds).</t>
  </si>
  <si>
    <t>moved from Personal Serv to invalid 2005-2006. Moved back in FY 2016-17</t>
  </si>
  <si>
    <t>531480 SUBSIDIZED WAGE SUPPLMNT</t>
  </si>
  <si>
    <t>NEW ACCT FOR FY 2016-17</t>
  </si>
  <si>
    <t>535935 EQUIPMENT USAGE</t>
  </si>
  <si>
    <t>New effective FY2017</t>
  </si>
  <si>
    <t xml:space="preserve">438054 TRANSFER -CONNECT GO BOND </t>
  </si>
  <si>
    <t>New account FY 2016-17</t>
  </si>
  <si>
    <t>Account 432901, 432902, 432903, 432904, 432993, 432991, 432994, 980000</t>
  </si>
  <si>
    <t>2. Specific Tax Abated:</t>
  </si>
  <si>
    <t>3. Authority for Abatement:</t>
  </si>
  <si>
    <t>Schedule of Due from / Due to University Component Units (616)</t>
  </si>
  <si>
    <t>(Universities Only)</t>
  </si>
  <si>
    <t>SECTION 1 - SCHEDULE OF DUE FROM UNIVERSITY COMPONENT UNITS</t>
  </si>
  <si>
    <t>SECTION 2 - SCHEDULE OF DUE TO UNIVERSITY COMPONENT UNITS</t>
  </si>
  <si>
    <t>212700</t>
  </si>
  <si>
    <t>Due from agency/institution component units (ws 616)</t>
  </si>
  <si>
    <t>Due to agency/institution component units  (w/s 616)</t>
  </si>
  <si>
    <t>Foundations  Survey (615)</t>
  </si>
  <si>
    <t>This worksheet should be completed by State agencies and component units, excluding universities.</t>
  </si>
  <si>
    <t>Foundations Survey</t>
  </si>
  <si>
    <t>Financial Reporting Update GASB 77</t>
  </si>
  <si>
    <t>For more information on GASB 77, refer to the GASB Resources link on the OSC website (or see link below).</t>
  </si>
  <si>
    <t>Please provide below the employer's share of medical insurance premiums for employees paid to the State</t>
  </si>
  <si>
    <t>Health Plan for this fiscal year. For agencies using NCAS,  this corresponds with account 531560 MED</t>
  </si>
  <si>
    <t>INS CONTRIB-UNIV, 531561 MED INS CONTRIB-APPRO, or 531562 MED INS CONTRIB-RECPTS.</t>
  </si>
  <si>
    <t>(2) Transactions with other component units of the State of NC:</t>
  </si>
  <si>
    <t>the Instructions file.</t>
  </si>
  <si>
    <t>State of NC.  For a list of component units, please see the 'All Agencies' tab at the end of this workbook or</t>
  </si>
  <si>
    <t xml:space="preserve">Describe the nature and amount of any other significant transactions with component units of the </t>
  </si>
  <si>
    <t>Threshold: There is no threshold applicable to this section and a dollar amount is required even</t>
  </si>
  <si>
    <t>if the amount is $0.</t>
  </si>
  <si>
    <t>accrual basis.</t>
  </si>
  <si>
    <t>Threshold: For purposes of this section, 'significant' is defined as $10 million or greater on an</t>
  </si>
  <si>
    <t>Due to agency/institution component units (ws 616)</t>
  </si>
  <si>
    <t xml:space="preserve">Policy on OSC's Website: </t>
  </si>
  <si>
    <t>Debt service (07 State Treasurer only)</t>
  </si>
  <si>
    <t>5. General Statute or Authority preventing details from being disclosed:</t>
  </si>
  <si>
    <t>TAX ABATEMENTS (640)</t>
  </si>
  <si>
    <t>Foreign currency forwards</t>
  </si>
  <si>
    <t>Investments Held Outside the State Treasurer And Derivatives - Fair Value Measurements</t>
  </si>
  <si>
    <t>Investments Held Outside the State Treasurer - Investments Measured at NAV</t>
  </si>
  <si>
    <t>Investments Held Outside the State Treasurer - External Investment Pools and Pool Participants</t>
  </si>
  <si>
    <t>Offline Fiduciary - Stmt of Net Position &amp; Stmt of Chgs in Net position Deferred Comp-6B</t>
  </si>
  <si>
    <t>organization associated with your agency that have assets or revenues of $10 million or more.</t>
  </si>
  <si>
    <t>ONLY INCLUDES AGENCIES</t>
  </si>
  <si>
    <t>ONLY COMPONENT UNITS</t>
  </si>
  <si>
    <t>UNC Physicians Network</t>
  </si>
  <si>
    <t>OPERATING TRANSFERS IN (550)</t>
  </si>
  <si>
    <t>NA-Component Units</t>
  </si>
  <si>
    <t>Company</t>
  </si>
  <si>
    <t>Account No.</t>
  </si>
  <si>
    <t>Agency No./Budget Code</t>
  </si>
  <si>
    <t>GASB No.</t>
  </si>
  <si>
    <t>4381AA</t>
  </si>
  <si>
    <t>Transferred From</t>
  </si>
  <si>
    <t>OPERATING TRANSFERS OUT (555)</t>
  </si>
  <si>
    <t>5381AA</t>
  </si>
  <si>
    <t>Transferred To</t>
  </si>
  <si>
    <t>SCHEDULE OF AGENCY NONROUTINE TRANSFERS (560)</t>
  </si>
  <si>
    <t xml:space="preserve">  Agency No:</t>
  </si>
  <si>
    <t xml:space="preserve">   Preparer/Phone:</t>
  </si>
  <si>
    <t xml:space="preserve">  Agency Name:</t>
  </si>
  <si>
    <t xml:space="preserve">   Email:</t>
  </si>
  <si>
    <t xml:space="preserve">  GASB Fund No:</t>
  </si>
  <si>
    <t>Transfers In (Account 4384AA)</t>
  </si>
  <si>
    <t>Transfers Out (Account 5384AA)</t>
  </si>
  <si>
    <t>Reason/Description</t>
  </si>
  <si>
    <t>SCHEDULE OF INTRA-AGENCY OPERATING TRANSFERS (540)</t>
  </si>
  <si>
    <t>Intra-Agency Operating Transfers In</t>
  </si>
  <si>
    <t>Intra-Agency Operating Transfers Out</t>
  </si>
  <si>
    <t>Operating Transfers In</t>
  </si>
  <si>
    <t>Operating Transfers Out</t>
  </si>
  <si>
    <t>investments with significantly different risk profiles, such as U.S. Treasury bills and U.S. Treasury strips, should not be aggregated into a single investment type. (GASB</t>
  </si>
  <si>
    <t>Restatements Governmental Funds (Part 2 of 2)</t>
  </si>
  <si>
    <t>Restatements Business Type Activities (Part 2 of 2)</t>
  </si>
  <si>
    <t>joint ventures / jointly governed organizations?</t>
  </si>
  <si>
    <t>Please provide the following information for each tax abatement program:</t>
  </si>
  <si>
    <t>UNC Physicians</t>
  </si>
  <si>
    <t>Current Assets</t>
  </si>
  <si>
    <t>Noncurrent Assets</t>
  </si>
  <si>
    <t>Capital assets: Nondepreciable</t>
  </si>
  <si>
    <t>Capital assets: Depreciable</t>
  </si>
  <si>
    <t>Deferred outflows of resources</t>
  </si>
  <si>
    <t>Current liabilities</t>
  </si>
  <si>
    <t>Deferred inflows of resources</t>
  </si>
  <si>
    <t>Net position</t>
  </si>
  <si>
    <t>Balance Sheet Change</t>
  </si>
  <si>
    <t>WS 431BTA dropdowns</t>
  </si>
  <si>
    <t>Select Caption</t>
  </si>
  <si>
    <t>Pooled Cash</t>
  </si>
  <si>
    <t>Restricted Pooled Cash</t>
  </si>
  <si>
    <t>Securities Lending Collateral</t>
  </si>
  <si>
    <t>Accounts Receivable</t>
  </si>
  <si>
    <t>Interest Receivable</t>
  </si>
  <si>
    <t>Premiums receivable</t>
  </si>
  <si>
    <t>Non-current Assets</t>
  </si>
  <si>
    <t>Current Liabilities</t>
  </si>
  <si>
    <t>Accounts Payable</t>
  </si>
  <si>
    <t>Claims Payable</t>
  </si>
  <si>
    <t>Bond &amp; similar debt payable</t>
  </si>
  <si>
    <t>Accrued interest payable</t>
  </si>
  <si>
    <t>Annuity &amp; life income payable</t>
  </si>
  <si>
    <t>Non-current liabilities</t>
  </si>
  <si>
    <t>Advances from other funds</t>
  </si>
  <si>
    <t>Notes Payable</t>
  </si>
  <si>
    <t>Net Pension Liability</t>
  </si>
  <si>
    <t>This worksheet is only applicable to the University System, Department of Transportation, and Department of State Treasurer.</t>
  </si>
  <si>
    <t>FV320</t>
  </si>
  <si>
    <t>FV640</t>
  </si>
  <si>
    <t>NV840</t>
  </si>
  <si>
    <t>NV860</t>
  </si>
  <si>
    <t>Elizabeth Haynes</t>
  </si>
  <si>
    <t xml:space="preserve"> not using ws 905/must hand key</t>
  </si>
  <si>
    <t>If amounts reported in column E are $1 million or greater, then complete WS 756.</t>
  </si>
  <si>
    <t>VALUATION OF INVESTMENTS (756)</t>
  </si>
  <si>
    <t>Investments Held Outside the State Treasurer - Valuation of Investments (formerly 711)</t>
  </si>
  <si>
    <t>Prabha Vijayaraghavan</t>
  </si>
  <si>
    <t>The Certification Letter should indicate material contingent liabilities are disclosed on Worksheet 345.</t>
  </si>
  <si>
    <t>Material contingent liabilities disclosed on the worksheet should be indicated in the Certification Letter.</t>
  </si>
  <si>
    <t>828-726-2200</t>
  </si>
  <si>
    <t>Christie Medford</t>
  </si>
  <si>
    <t>828-565-4168</t>
  </si>
  <si>
    <t>(919) 807-7073</t>
  </si>
  <si>
    <t>Sherry Raby</t>
  </si>
  <si>
    <t>252-527-6223 x358</t>
  </si>
  <si>
    <t>Crystal Huffman</t>
  </si>
  <si>
    <t>336-838-6109</t>
  </si>
  <si>
    <t>Joy Darden</t>
  </si>
  <si>
    <t>OSC Analysts</t>
  </si>
  <si>
    <t>List of OSC Statewide Accounting Financial Reporting Analyst Names and Numbers</t>
  </si>
  <si>
    <t>Contact Name</t>
  </si>
  <si>
    <t>Phone Number</t>
  </si>
  <si>
    <t>Email Address</t>
  </si>
  <si>
    <t>919-707-0590</t>
  </si>
  <si>
    <t>Ellen Rockefeller</t>
  </si>
  <si>
    <t>ellen.rockefeller@osc.nc.gov</t>
  </si>
  <si>
    <t>919-707-0525</t>
  </si>
  <si>
    <t>Kim Battle</t>
  </si>
  <si>
    <t>919-707-0521</t>
  </si>
  <si>
    <t>Kim.Battle@osc.nc.gov</t>
  </si>
  <si>
    <t>Joannie.Burtoft@osc.nc.gov</t>
  </si>
  <si>
    <t>Joannie Burtoft</t>
  </si>
  <si>
    <t>919-707-0520</t>
  </si>
  <si>
    <t>Joy.darden@osc.nc.gov</t>
  </si>
  <si>
    <t>919-707-0530</t>
  </si>
  <si>
    <t>Virginia.Sisson@osc.nc.gov</t>
  </si>
  <si>
    <t>Virginia Sisson</t>
  </si>
  <si>
    <t>919-707-0528</t>
  </si>
  <si>
    <t>919-707-0527</t>
  </si>
  <si>
    <t>Only Applies to UNC Chapel Hill, the State 401(k) plan, and the State Deferred Compensation Plan.</t>
  </si>
  <si>
    <t>If Restricted Assets are listed, please provide additional detail on the specific assets on the Narrative for 365.</t>
  </si>
  <si>
    <t>Shivani Jani</t>
  </si>
  <si>
    <t>shivani.jani@osc.nc.gov</t>
  </si>
  <si>
    <t xml:space="preserve">Tax Abatements </t>
  </si>
  <si>
    <t xml:space="preserve">Schedule of Due from / Due to University Component Units  </t>
  </si>
  <si>
    <t xml:space="preserve">Schedule of Agency Nonroutine Transfers  </t>
  </si>
  <si>
    <t xml:space="preserve">Schedule of Inter-Agency Operating Transfers Out </t>
  </si>
  <si>
    <t xml:space="preserve">Schedule of Inter-Agency Operating Transfers In </t>
  </si>
  <si>
    <t xml:space="preserve">Schedule of Intra-Agency Operating Transfers </t>
  </si>
  <si>
    <t>112215 BOND INDEX FUND</t>
  </si>
  <si>
    <t>NEW ACCT FOR FY 2016-2017</t>
  </si>
  <si>
    <t xml:space="preserve">112288 ALLOWANCE - FAIR VALUE BOND INDEX FUND </t>
  </si>
  <si>
    <t>228110 UNEARNED REVENUE - NONCURRENT</t>
  </si>
  <si>
    <t>NEW ACCOUNT FOR FY 2016-2017</t>
  </si>
  <si>
    <t>433136 BOND INDEX FUND INTEREST INCOME - NONOPER PROG</t>
  </si>
  <si>
    <t>433135 BOND INDEX FUND INTEREST INCOME-PROGRAM REV</t>
  </si>
  <si>
    <t>433137 BOND INDEX FUND INTEREST INCOME-GENERAL REV</t>
  </si>
  <si>
    <t>New Account FY 2016-2017</t>
  </si>
  <si>
    <t xml:space="preserve">Beneficial interest in Assets Held by Others </t>
  </si>
  <si>
    <t xml:space="preserve">114910 BENEFICIAL INTEREST IN ASSETS HELD BY OTHERS </t>
  </si>
  <si>
    <t>Net OPEB Asset</t>
  </si>
  <si>
    <t>119780 NET OPEB ASSET</t>
  </si>
  <si>
    <t>NEW ACCT FOR FY 2017-2018</t>
  </si>
  <si>
    <t>124910 BENEFICIAL INTEREST IN ASSETS HELD BY OTHERS</t>
  </si>
  <si>
    <t>129780 NET OPEB ASSET-NONCURR</t>
  </si>
  <si>
    <t>NEW ACCT FY 2017-2018</t>
  </si>
  <si>
    <t xml:space="preserve">    Deferred outflows for OPEB</t>
  </si>
  <si>
    <t>129720 DEF OUTFLOWS FOR OPEB</t>
  </si>
  <si>
    <t>NEW ACCT FY2017-2018</t>
  </si>
  <si>
    <t>New caption FY 2017-2018</t>
  </si>
  <si>
    <t>Net OPEB Liabilities</t>
  </si>
  <si>
    <t xml:space="preserve">219151 NET OPEB LIABILITY </t>
  </si>
  <si>
    <t>Net OPEB liability</t>
  </si>
  <si>
    <t>See below. New caption for FY 2017-2018</t>
  </si>
  <si>
    <t xml:space="preserve">  Deferred Inflows for OPEB</t>
  </si>
  <si>
    <t>229220 DEF INFLOWS FOR OPEB</t>
  </si>
  <si>
    <t>New caption for FY 2017-2018</t>
  </si>
  <si>
    <t>229207 DEFERRED INFLOW OF IRREVOCABLE SPLIT-INTEREST AGRMNT</t>
  </si>
  <si>
    <t>Gain on in-substance defeasance of debt</t>
  </si>
  <si>
    <t>437520 GAIN ON IN-SUBSTANCE DEFEASANCE OF DEBT</t>
  </si>
  <si>
    <t>437550 GAIN ON TERMINATION OF IRREVOCABLE SPLLIT-INTEREST AGR</t>
  </si>
  <si>
    <t>531598 OPEB EXPENSE</t>
  </si>
  <si>
    <t>NEW FOR FY 2017-2018</t>
  </si>
  <si>
    <t>Loss on In-Substance Defeasance of Debt</t>
  </si>
  <si>
    <t>535341 LOSS ON IN-SUBSTANCE DEFEASANCE OF DEBT</t>
  </si>
  <si>
    <t>Net OPEB asset</t>
  </si>
  <si>
    <t>Deferred outflows for pension</t>
  </si>
  <si>
    <t>Deferred outflows for OPEB</t>
  </si>
  <si>
    <t>Other deferred outflows of resources</t>
  </si>
  <si>
    <t>Beneficial interest in assets held by others</t>
  </si>
  <si>
    <t>Net OPEB liability-current (ws 310)</t>
  </si>
  <si>
    <t>Net OPEB liability (ws 310)</t>
  </si>
  <si>
    <t>Deferred inflows for OPEB</t>
  </si>
  <si>
    <t>Deferred inflows for irrevocable split-interest agreements</t>
  </si>
  <si>
    <t>0104</t>
  </si>
  <si>
    <t>0101</t>
  </si>
  <si>
    <t>Example</t>
  </si>
  <si>
    <t>0211</t>
  </si>
  <si>
    <t>0201</t>
  </si>
  <si>
    <t>Receiving Agency Information</t>
  </si>
  <si>
    <t>Sending Agency Information</t>
  </si>
  <si>
    <t>13/13100</t>
  </si>
  <si>
    <t>Transfer Accounts - Purpose and Use</t>
  </si>
  <si>
    <t>90/19950</t>
  </si>
  <si>
    <t>Beth McAndrew</t>
  </si>
  <si>
    <t>(919) 843-2694</t>
  </si>
  <si>
    <r>
      <t xml:space="preserve">4. Gross dollar amount of taxes abated during the fiscal year, </t>
    </r>
    <r>
      <rPr>
        <b/>
        <u/>
        <sz val="10"/>
        <rFont val="Arial"/>
        <family val="2"/>
      </rPr>
      <t>on an accrual basis</t>
    </r>
    <r>
      <rPr>
        <b/>
        <sz val="10"/>
        <rFont val="Arial"/>
        <family val="2"/>
      </rPr>
      <t xml:space="preserve"> as a result of the agreement:</t>
    </r>
  </si>
  <si>
    <t xml:space="preserve">of Monetary </t>
  </si>
  <si>
    <t xml:space="preserve">Assets </t>
  </si>
  <si>
    <t>Old debt prepaid insurance</t>
  </si>
  <si>
    <t>Investments as a position in an External Investment Pool:</t>
  </si>
  <si>
    <t>19 Public Safety, 46 Natural and Cultural Resources, and UNC System Entities (including</t>
  </si>
  <si>
    <t>prohibited, disclose the balance at June 30 for which the risk of substitution exists. See instructions for more information.</t>
  </si>
  <si>
    <t xml:space="preserve">Balance </t>
  </si>
  <si>
    <t xml:space="preserve">(In Thousands) </t>
  </si>
  <si>
    <t xml:space="preserve">for which Risk </t>
  </si>
  <si>
    <t>of Substitution</t>
  </si>
  <si>
    <t>Hide Columns G-J before publishing to the web.</t>
  </si>
  <si>
    <t>SCHEDULE OF INTRA-AGENCY INTER-COMPANY</t>
  </si>
  <si>
    <t>University System (UNC-System Office)</t>
  </si>
  <si>
    <t>State Health Plan</t>
  </si>
  <si>
    <t>CU-Major</t>
  </si>
  <si>
    <t>Gain (Loss) on in-substance defeasance of debt</t>
  </si>
  <si>
    <t>229160 NET OPEB LIABILITY - NONCURRENT</t>
  </si>
  <si>
    <t xml:space="preserve">  Deferred Inflow for Irrevocable Split-Interest Agreement</t>
  </si>
  <si>
    <t>Net pension liability-current</t>
  </si>
  <si>
    <t>Net OPEB liability-current</t>
  </si>
  <si>
    <t>Providence Hakizimana</t>
  </si>
  <si>
    <t>Mark Stohlman</t>
  </si>
  <si>
    <t>(919) 549-8850</t>
  </si>
  <si>
    <t xml:space="preserve">In general, key positive numbers for financial statement presentation, however on the Statement of Net Position, </t>
  </si>
  <si>
    <t xml:space="preserve">You will need to review prior to submitting your package to determine if the changes impact your entity and </t>
  </si>
  <si>
    <t>(919) 814-4633</t>
  </si>
  <si>
    <t>Cheryl Davis</t>
  </si>
  <si>
    <t>Participation in special supplemental nutrition program</t>
  </si>
  <si>
    <t>Total Expendable and Nonexpendable amount does not match the total of the Restricted Net Position column.</t>
  </si>
  <si>
    <t>Eliminations</t>
  </si>
  <si>
    <t>Hospital-wide</t>
  </si>
  <si>
    <t>Do not complete for GASB 5100 capital assets or GASB 5200 Long Term Liabilities.</t>
  </si>
  <si>
    <t>Net OPEB liabiilty - current</t>
  </si>
  <si>
    <t>Gain (loss) on in-substance defeasance of debt</t>
  </si>
  <si>
    <t>Other deferred inflows of resources</t>
  </si>
  <si>
    <t>GOVERNMENTAL FUND CAPITAL ASSETS (202)</t>
  </si>
  <si>
    <t>NA for Agencies not on NCAS Fixed Asset System</t>
  </si>
  <si>
    <t>GASB Fund:  5100</t>
  </si>
  <si>
    <t xml:space="preserve">Yes </t>
  </si>
  <si>
    <t>If yes, give the type of asset and the value of the donation below:</t>
  </si>
  <si>
    <t xml:space="preserve">Type of Asset: </t>
  </si>
  <si>
    <t>(i.e. land, bldg, equip, etc)</t>
  </si>
  <si>
    <t xml:space="preserve">Value of donated asset: </t>
  </si>
  <si>
    <t>Has the donated asset been added to the Fixed Asset System?</t>
  </si>
  <si>
    <t>If no, give an explanation below.</t>
  </si>
  <si>
    <t xml:space="preserve">Does your agency report Construction in Progress (CIP)? </t>
  </si>
  <si>
    <r>
      <t xml:space="preserve">If yes, provide the following information below and </t>
    </r>
    <r>
      <rPr>
        <b/>
        <sz val="10"/>
        <rFont val="Arial"/>
        <family val="2"/>
      </rPr>
      <t>complete the corresponding narrative, CIP/CSID for Capital Assets</t>
    </r>
    <r>
      <rPr>
        <sz val="10"/>
        <rFont val="Arial"/>
        <family val="2"/>
      </rPr>
      <t>.</t>
    </r>
  </si>
  <si>
    <t>Decrease</t>
  </si>
  <si>
    <t>Prior year adj</t>
  </si>
  <si>
    <t>Write-offs</t>
  </si>
  <si>
    <t>in CIP</t>
  </si>
  <si>
    <t>If you had a decrease in CIP for the fiscal year, you should have a corresponding increase in an asset.  Provide the type</t>
  </si>
  <si>
    <t xml:space="preserve">of asset and the amount added to the asset.  The decrease in CIP column should net to zero.    </t>
  </si>
  <si>
    <t>Type of Asset</t>
  </si>
  <si>
    <t>(i.e bldg, equip, etc)</t>
  </si>
  <si>
    <t xml:space="preserve">Did you record the newly constructed asset in the Fixed Asset System?  </t>
  </si>
  <si>
    <t>If no, list the asset, cost and an explanation below.</t>
  </si>
  <si>
    <t xml:space="preserve">Does your agency report Computer Software in Development? </t>
  </si>
  <si>
    <r>
      <t xml:space="preserve">If yes, provide the following information below and </t>
    </r>
    <r>
      <rPr>
        <b/>
        <sz val="10"/>
        <rFont val="Arial"/>
        <family val="2"/>
      </rPr>
      <t>complete the corresponding narrative, CIP/CSID for Capital Assets</t>
    </r>
    <r>
      <rPr>
        <sz val="10"/>
        <rFont val="Arial"/>
        <family val="2"/>
      </rPr>
      <t xml:space="preserve">. </t>
    </r>
  </si>
  <si>
    <t xml:space="preserve">Decrease </t>
  </si>
  <si>
    <t>in CSID</t>
  </si>
  <si>
    <t>CSID</t>
  </si>
  <si>
    <t xml:space="preserve">Does your agency report Patents in Development?  </t>
  </si>
  <si>
    <t>If yes, provide the following information:</t>
  </si>
  <si>
    <t>PID</t>
  </si>
  <si>
    <t xml:space="preserve">If you had a decrease in computer software in development or patents in development for the fiscal year, you should have a corresponding </t>
  </si>
  <si>
    <t xml:space="preserve">increase in computer software or patents in the Fixed Asset System.  </t>
  </si>
  <si>
    <t xml:space="preserve">Did you record the newly created software or patent in the FAS for the current fiscal year? </t>
  </si>
  <si>
    <t>If no, list the software or patent, cost and an explanation below.</t>
  </si>
  <si>
    <t>202</t>
  </si>
  <si>
    <t xml:space="preserve">Governmental Fund Capital Assets </t>
  </si>
  <si>
    <t xml:space="preserve">NA - Agencies with governmental fund assets (GASB 5100) using NCAS Fixed Asset System </t>
  </si>
  <si>
    <t>CAPITAL ASSETS RECONCILIATION CERTIFICATION (203)</t>
  </si>
  <si>
    <t>If yes, list the FAS asset number, type of asset (i.e. land, bldg, equip, etc)  and the cost below:</t>
  </si>
  <si>
    <t>FAS Asset Number</t>
  </si>
  <si>
    <t>Cost</t>
  </si>
  <si>
    <t>Printed Name</t>
  </si>
  <si>
    <t>Title</t>
  </si>
  <si>
    <t xml:space="preserve">GASB Statement 83 establishes accounting and financial reporting standards for certain asset retirement </t>
  </si>
  <si>
    <t xml:space="preserve"> R</t>
  </si>
  <si>
    <r>
      <t xml:space="preserve">If yes, complete the column for </t>
    </r>
    <r>
      <rPr>
        <u/>
        <sz val="10"/>
        <rFont val="Arial"/>
        <family val="2"/>
      </rPr>
      <t xml:space="preserve">Capital Assets GASB 5100 </t>
    </r>
    <r>
      <rPr>
        <sz val="10"/>
        <rFont val="Arial"/>
        <family val="2"/>
      </rPr>
      <t xml:space="preserve">on worksheet 430G-Fund Equity Restatement. </t>
    </r>
  </si>
  <si>
    <t xml:space="preserve">GASB Statement 83 requires certain disclosures about an agency's asset retirement obligations.  The </t>
  </si>
  <si>
    <t>External obligating events (indicate with an "X" each that applies):</t>
  </si>
  <si>
    <t>Approval of federal, state or local laws or regulations</t>
  </si>
  <si>
    <t>Issuance of a court judgment</t>
  </si>
  <si>
    <t>Internal obligating events (indicate with an "X" each that applies):</t>
  </si>
  <si>
    <t>Placing into operation a tangible capital asset that is required to be retired</t>
  </si>
  <si>
    <t xml:space="preserve">Abandoning a tangible capital asset before it is placed into operation </t>
  </si>
  <si>
    <t>Acquiring a tangible capital asset that has an existing ARO</t>
  </si>
  <si>
    <t>Initial ARO Measurement (Liability) accrual basis:</t>
  </si>
  <si>
    <t>Current value of outlays expected to be incurred</t>
  </si>
  <si>
    <t>Corresponding Deferred Outflow of Resources:</t>
  </si>
  <si>
    <t>Corresponding deferred outflow of resources</t>
  </si>
  <si>
    <t>Provide the following details about external and internal obligating events related to your tangible capital asset:</t>
  </si>
  <si>
    <t>Subsequent Measurement and Recognition of the ARO:</t>
  </si>
  <si>
    <t>First year of recognition</t>
  </si>
  <si>
    <t>Subsequent years of recognition</t>
  </si>
  <si>
    <r>
      <t xml:space="preserve">Provide the following details about your ARO </t>
    </r>
    <r>
      <rPr>
        <i/>
        <sz val="10"/>
        <rFont val="Arial"/>
        <family val="2"/>
      </rPr>
      <t>(Note: GASB 5200 for governmental funds)</t>
    </r>
    <r>
      <rPr>
        <sz val="10"/>
        <rFont val="Arial"/>
        <family val="2"/>
      </rPr>
      <t>:</t>
    </r>
  </si>
  <si>
    <t>obligations (AROs).  For additional guidance on GASB 83, refer to the FRU included in the link below:</t>
  </si>
  <si>
    <t>Shirley Trollinger</t>
  </si>
  <si>
    <t>(828) 433-2384</t>
  </si>
  <si>
    <t>If you answered yes, the following reports from FAS can be used as documentation:</t>
  </si>
  <si>
    <t>If you answered yes, the following report from FAS can be used as documentation:</t>
  </si>
  <si>
    <t>Creation of a legally binding contract</t>
  </si>
  <si>
    <t>Subsequent Measurement and Recognition of a Deferred Outflow of Resources:</t>
  </si>
  <si>
    <t>immediately.</t>
  </si>
  <si>
    <t>Unrestricted Net Position</t>
  </si>
  <si>
    <t>Restricted Net Position for:</t>
  </si>
  <si>
    <t>Specify GASB type&gt;&gt;&gt;</t>
  </si>
  <si>
    <t>WS 420 dropdowns</t>
  </si>
  <si>
    <t>GASB Type</t>
  </si>
  <si>
    <t>Enterprise (25XX)</t>
  </si>
  <si>
    <t>Internal Service (27XX)</t>
  </si>
  <si>
    <t>Component Units (26XX)</t>
  </si>
  <si>
    <t>Other purposes</t>
  </si>
  <si>
    <t>Debt service</t>
  </si>
  <si>
    <t>GASB Type (Click here)</t>
  </si>
  <si>
    <t>Total Restricted</t>
  </si>
  <si>
    <t>48RH</t>
  </si>
  <si>
    <t>Rockingham</t>
  </si>
  <si>
    <t>Health Care</t>
  </si>
  <si>
    <t>UNC Rockingham Health Care</t>
  </si>
  <si>
    <t>UNC Rockingham</t>
  </si>
  <si>
    <t>Joy Klenke</t>
  </si>
  <si>
    <t>336-417-5511</t>
  </si>
  <si>
    <t>SCHEDULE OF INTER-AGENCY TRANSFERS</t>
  </si>
  <si>
    <t>4380XX</t>
  </si>
  <si>
    <t>438FAA</t>
  </si>
  <si>
    <t>Description/Legislation/Comments</t>
  </si>
  <si>
    <t>X</t>
  </si>
  <si>
    <t>Asset retirement obligation</t>
  </si>
  <si>
    <t>Short-term debt:
   Revolving line of credit</t>
  </si>
  <si>
    <t>Notes from direct borrowings</t>
  </si>
  <si>
    <r>
      <t xml:space="preserve"> Notes from Direct Borrowings </t>
    </r>
    <r>
      <rPr>
        <sz val="9"/>
        <rFont val="Arial"/>
        <family val="2"/>
      </rPr>
      <t>(Exclude Short-term Debt)</t>
    </r>
  </si>
  <si>
    <r>
      <t xml:space="preserve"> Notes from Direct Borrowings </t>
    </r>
    <r>
      <rPr>
        <sz val="10"/>
        <rFont val="Arial"/>
        <family val="2"/>
      </rPr>
      <t>(Exclude Short-term Debt)</t>
    </r>
  </si>
  <si>
    <t>(DOT - indicate Highway Fund or NC Turnpike Authority)</t>
  </si>
  <si>
    <t>Deferred outflows for ARO</t>
  </si>
  <si>
    <t>Asset retirement obligation (ws 310)</t>
  </si>
  <si>
    <t xml:space="preserve">    Deferred outflows for ARO</t>
  </si>
  <si>
    <t>129706 Def outflows for ARO</t>
  </si>
  <si>
    <t>New caption FY 2018-19</t>
  </si>
  <si>
    <t>Asset Retirement Obligation*</t>
  </si>
  <si>
    <t>211925 Asset Retirement Obligation - Current</t>
  </si>
  <si>
    <t>New Account FY 2018-2019</t>
  </si>
  <si>
    <t>Asset Retirement Obligation *</t>
  </si>
  <si>
    <t>221925 Asset Retirement Obligation - NonCurrent</t>
  </si>
  <si>
    <t>New account FY 2018-19</t>
  </si>
  <si>
    <t>Asset Retirement Obligation-current (ws 310)</t>
  </si>
  <si>
    <t>Asset Retirement Obligation (ws 310)</t>
  </si>
  <si>
    <t>Asset retirement obligation - current</t>
  </si>
  <si>
    <t>UNC-System Office</t>
  </si>
  <si>
    <t>Jennifer Brady</t>
  </si>
  <si>
    <t>(919) 515-3823</t>
  </si>
  <si>
    <t>Debbie Dryer</t>
  </si>
  <si>
    <t>(919) 962-3992</t>
  </si>
  <si>
    <t>Joan Saucier</t>
  </si>
  <si>
    <t>Joan.Saucier@osc.nc.gov</t>
  </si>
  <si>
    <t>Revolving line of credit (ws 310)</t>
  </si>
  <si>
    <t>Notes from direct borrowings (ws 310)</t>
  </si>
  <si>
    <t>Notes from direct borrowings-current (ws 310)</t>
  </si>
  <si>
    <t xml:space="preserve">Revolving line of credit </t>
  </si>
  <si>
    <t>Notes from direct borrowings-current</t>
  </si>
  <si>
    <t>Revolving line of credit</t>
  </si>
  <si>
    <t>Asset retirement obligation-current</t>
  </si>
  <si>
    <t>Revolving Line of Credit</t>
  </si>
  <si>
    <t>Functional Table to be used for Worksheets 401, 405, 410, 415 and 420</t>
  </si>
  <si>
    <t>(919) 807-3741</t>
  </si>
  <si>
    <t>Asset retirement obligation-current (ws 310)</t>
  </si>
  <si>
    <t>positive and losses as negative.</t>
  </si>
  <si>
    <r>
      <t xml:space="preserve">INVENTORY VALUATION </t>
    </r>
    <r>
      <rPr>
        <sz val="9"/>
        <rFont val="Arial"/>
        <family val="2"/>
      </rPr>
      <t>(Indicate "NA" if no inventories)</t>
    </r>
  </si>
  <si>
    <t>(Otherwise, indicate "NA" below)</t>
  </si>
  <si>
    <t>If no long-term bonds were outstanding, indicate “NA”. If amounts are immaterial and are not deferred,</t>
  </si>
  <si>
    <r>
      <t xml:space="preserve">INTERNAL ACTIVITY </t>
    </r>
    <r>
      <rPr>
        <sz val="9"/>
        <rFont val="Arial"/>
        <family val="2"/>
      </rPr>
      <t>(NA FOR COMPONENT UNITS)</t>
    </r>
  </si>
  <si>
    <t xml:space="preserve">If you answered no to question 1, please refer to questions 2 and 3 below to provide adjustments. </t>
  </si>
  <si>
    <t>Amortization of the deferred outflow of resources</t>
  </si>
  <si>
    <t xml:space="preserve">The amount of amortization recognized </t>
  </si>
  <si>
    <t>for the current fiscal year</t>
  </si>
  <si>
    <t xml:space="preserve">The amount of amortization recognized   </t>
  </si>
  <si>
    <t>(Initial amount of the ARO liability)</t>
  </si>
  <si>
    <t>Adjustments to the ARO liability should be reported on worksheets 305 or 310</t>
  </si>
  <si>
    <t>Janina Thomas</t>
  </si>
  <si>
    <t>(984) 215-3810</t>
  </si>
  <si>
    <t>Richard Wilson</t>
  </si>
  <si>
    <t>(919) 215-3497</t>
  </si>
  <si>
    <t>Jean Kaseke</t>
  </si>
  <si>
    <t>(984) 784-7702</t>
  </si>
  <si>
    <t>amounts should agree to the amounts shown on the operating statement.  (see note below)</t>
  </si>
  <si>
    <t xml:space="preserve">     PROBABLE) likelihood (terms are defined in the instructions); and,</t>
  </si>
  <si>
    <t xml:space="preserve">2.  The amount of the possible liability is known or can be reasonably estimated, or the amount of the </t>
  </si>
  <si>
    <t>probable/possible liability cannot be reasonably estimated.</t>
  </si>
  <si>
    <t>Workers Compensation</t>
  </si>
  <si>
    <t>Gateway Research Park, Inc.</t>
  </si>
  <si>
    <t>Gateway Research Park is a component unit of the UNC System.</t>
  </si>
  <si>
    <t>NEW ACCT FOR FY 2018-2019</t>
  </si>
  <si>
    <t>112216 EQUITY INDEX FUND</t>
  </si>
  <si>
    <t>112289 ALLOW-FV EQUITY INDEX FUND</t>
  </si>
  <si>
    <t>535971 PAYMENTS UNDER CUSTODIAL</t>
  </si>
  <si>
    <t>433125 EIF INT INC-PROG</t>
  </si>
  <si>
    <t>UPDATED for FY 2020</t>
  </si>
  <si>
    <t>EMPLOYER CONTRIBUTION AMOUNTS FOR TSERS AND OPEB (602)</t>
  </si>
  <si>
    <t>contributions (on the detail tab, see example below)</t>
  </si>
  <si>
    <t>Please provide the following information regarding your RHBF employer contributions.</t>
  </si>
  <si>
    <t>Please provide the following information regarding your DIPNC employer contributions.</t>
  </si>
  <si>
    <t>University/UNC System Only</t>
  </si>
  <si>
    <r>
      <t xml:space="preserve">During the fiscal year, did you </t>
    </r>
    <r>
      <rPr>
        <u/>
        <sz val="9"/>
        <rFont val="Arial"/>
        <family val="2"/>
      </rPr>
      <t>add or remove</t>
    </r>
    <r>
      <rPr>
        <sz val="9"/>
        <rFont val="Arial"/>
        <family val="2"/>
      </rPr>
      <t xml:space="preserve"> any component units or participate in any new </t>
    </r>
  </si>
  <si>
    <t>Direct Placements</t>
  </si>
  <si>
    <t>Any of these balances that have restrictions imposed should be disclosed below.</t>
  </si>
  <si>
    <r>
      <t xml:space="preserve">For Component Units and NCSSM Only: </t>
    </r>
    <r>
      <rPr>
        <sz val="10"/>
        <rFont val="Arial"/>
        <family val="2"/>
      </rPr>
      <t>For the portion of restricted net position identified above, distinguish amounts between expendable/nonexpendable.</t>
    </r>
  </si>
  <si>
    <t>(This section is NA for proprietary funds)</t>
  </si>
  <si>
    <t>(g) foreign currency risk.  Additionally, describe any other significant terms or other quantitative method of evaluating effectiveness, if applicable.</t>
  </si>
  <si>
    <t>table, except for any netting arrangement liability).  Also, credit risk disclosures are limited to hedging derivative instruments that are reported as of the end of the reporting period.</t>
  </si>
  <si>
    <t>Expenses, and Changes in Fund Net Position (for proprietary funds).</t>
  </si>
  <si>
    <t>CERTAIN ASSET RETIREMENT OBLIGATIONS (323)</t>
  </si>
  <si>
    <t>USS North Carolina Battleship Commission</t>
  </si>
  <si>
    <t>Visitation to USS North Carolina Battleship</t>
  </si>
  <si>
    <t>(910) 399-9104</t>
  </si>
  <si>
    <t>For governmental funds, Capital Assets column should be filled in for any prior year asset adjustments on worksheets 202/203.</t>
  </si>
  <si>
    <t xml:space="preserve">Capital Assets Reconciliation Certification </t>
  </si>
  <si>
    <t>Long-Term and Short-Term Debt (Governmental) (Narrative Only)</t>
  </si>
  <si>
    <t xml:space="preserve">Long-Term and Short-Term Debt (Business-Type) (Narrative Only) </t>
  </si>
  <si>
    <t>NC Toll Road System</t>
  </si>
  <si>
    <t xml:space="preserve">Type of Adjustment </t>
  </si>
  <si>
    <t>Did your agency/university complete a government merger, a government acquisition, a transfer of</t>
  </si>
  <si>
    <t xml:space="preserve">If the answer to the above question is "Yes", indicate the type(s) of government combination(s) or disposal of </t>
  </si>
  <si>
    <t>operations:</t>
  </si>
  <si>
    <t>Disposal of operations</t>
  </si>
  <si>
    <t xml:space="preserve">GASB Statement 69 requires certain disclosures about an agency's government combinations and disposals of </t>
  </si>
  <si>
    <t>Adjustments will only be accepted if documentation is provided from the Fixed Asset System by</t>
  </si>
  <si>
    <t xml:space="preserve">Did your agency have any prior year acquisitions, retirements, or cost adjustments that did not get reported in the Fixed Asset System </t>
  </si>
  <si>
    <t>Direct placements</t>
  </si>
  <si>
    <t>Descriptive Name of Defeased Debt (1)</t>
  </si>
  <si>
    <t xml:space="preserve">   Date (2)</t>
  </si>
  <si>
    <t>Exists (3)</t>
  </si>
  <si>
    <r>
      <t>(2)</t>
    </r>
    <r>
      <rPr>
        <sz val="10"/>
        <rFont val="Arial"/>
        <family val="2"/>
      </rPr>
      <t xml:space="preserve"> The call date or maturity date of the defeased debt (e.g., date when the defeased debt will be paid off in full).</t>
    </r>
  </si>
  <si>
    <r>
      <t>(3)</t>
    </r>
    <r>
      <rPr>
        <sz val="10"/>
        <rFont val="Arial"/>
        <family val="2"/>
      </rPr>
      <t xml:space="preserve"> If the substitution of essentially risk-free monetary assets with monetary assets that are not essentially risk-free is not </t>
    </r>
  </si>
  <si>
    <r>
      <t>(1)</t>
    </r>
    <r>
      <rPr>
        <sz val="10"/>
        <rFont val="Arial"/>
        <family val="2"/>
      </rPr>
      <t xml:space="preserve"> Direct placements and notes from direct borrowings should be disclosed separately from other debt. Ensure these are identified </t>
    </r>
  </si>
  <si>
    <t xml:space="preserve">separately. For example, if the defeasance is a direct placement bond, indicate direct placements in the name. </t>
  </si>
  <si>
    <t>Removed FY20</t>
  </si>
  <si>
    <t>Direct placements (ws 310)</t>
  </si>
  <si>
    <t>Compensated Absences</t>
  </si>
  <si>
    <t>Notes from Direct Borrowings</t>
  </si>
  <si>
    <t>Net OPEB Liability</t>
  </si>
  <si>
    <t>Asset Retirement Obligation</t>
  </si>
  <si>
    <t>Annual Debt Svc Reqmts - Bonds, Special Indebtedness, Notes from Direct Borrowings &amp; Direct Placements - Without Interest Rate Swaps</t>
  </si>
  <si>
    <t>Annual Debt Svc Reqmts - Bonds, Special Indebtedness, Notes from Direct Borrowings &amp; Direct Placements - With Interest Rate Swaps</t>
  </si>
  <si>
    <t xml:space="preserve"> AND DIRECT PLACEMENTS - WITHOUT INTEREST RATE SWAPS</t>
  </si>
  <si>
    <t>BONDS, SPECIAL INDEBTEDNESS, NOTES from DIRECT BORROWINGS</t>
  </si>
  <si>
    <r>
      <t xml:space="preserve"> Direct Placements </t>
    </r>
    <r>
      <rPr>
        <sz val="9"/>
        <rFont val="Arial"/>
        <family val="2"/>
      </rPr>
      <t>(Exclude Short-term Debt)</t>
    </r>
  </si>
  <si>
    <t>AND DIRECT PLACEMENTS - WITH INTEREST RATE SWAPS</t>
  </si>
  <si>
    <t xml:space="preserve">BONDS, SPECIAL INDEBTEDNESS, NOTES from DIRECT BORROWINGS </t>
  </si>
  <si>
    <r>
      <t xml:space="preserve"> Direct Placements </t>
    </r>
    <r>
      <rPr>
        <sz val="10"/>
        <rFont val="Arial"/>
        <family val="2"/>
      </rPr>
      <t>(Exclude Short-term Debt)</t>
    </r>
  </si>
  <si>
    <r>
      <rPr>
        <b/>
        <u/>
        <sz val="10"/>
        <rFont val="Arial"/>
        <family val="2"/>
      </rPr>
      <t>C. – DEFERRED LOSS ON REFUNDING</t>
    </r>
    <r>
      <rPr>
        <b/>
        <sz val="10"/>
        <rFont val="Arial"/>
        <family val="2"/>
      </rPr>
      <t xml:space="preserve"> </t>
    </r>
    <r>
      <rPr>
        <sz val="10"/>
        <rFont val="Arial"/>
        <family val="2"/>
      </rPr>
      <t>(Applies to State Treasurer and Dept. of Transportation Only (Excludes NCTPA))</t>
    </r>
  </si>
  <si>
    <t xml:space="preserve">UNC System Entities Only </t>
  </si>
  <si>
    <t>905 -  Offline Proprietary Proforma - Statement of Net Position and
 Statement of Revenues, Expenses and Changes in Net Position and Certification of Data File for Universities</t>
  </si>
  <si>
    <t>213200 NOTES FROM DIRECT BORROWINGS</t>
  </si>
  <si>
    <t>New FY2020</t>
  </si>
  <si>
    <t>223200 NOTES FROM DIRECT BORROWINGS - NONCURRENT</t>
  </si>
  <si>
    <t>216104  DIRECT PLACEMENTS</t>
  </si>
  <si>
    <t>NEW ACCT FOR FY 2020</t>
  </si>
  <si>
    <t>226104  DIRECT PLACEMENTS-NONCURRENT</t>
  </si>
  <si>
    <t>Notes from Direct Borrowings *</t>
  </si>
  <si>
    <r>
      <t xml:space="preserve">RESTATEMENTS Fiduciary Activities </t>
    </r>
    <r>
      <rPr>
        <b/>
        <sz val="11"/>
        <rFont val="Arial"/>
        <family val="2"/>
      </rPr>
      <t>(430F)</t>
    </r>
  </si>
  <si>
    <t xml:space="preserve">Total Other </t>
  </si>
  <si>
    <t>Total restatements in "Other" should tie back to "restatements" caption on the 52G.</t>
  </si>
  <si>
    <t>Total restatements should tie back to "restatements" caption on the 53P/905 (does not include GASB reclassifications).</t>
  </si>
  <si>
    <t>Total restatements in "Other" should tie back to "restatements" caption on the 54F.</t>
  </si>
  <si>
    <t>Part 1 of 1 for Fiduciary Activities Fund Equity Restatements</t>
  </si>
  <si>
    <t>Dept. State Treasurer - State Health Plan</t>
  </si>
  <si>
    <t>maturity of less than one year. (GASB Codification Section I50.741-5)</t>
  </si>
  <si>
    <t>Codification Section I50.734-1)</t>
  </si>
  <si>
    <t>(GASB Codification Section I50.736-1)</t>
  </si>
  <si>
    <t xml:space="preserve">Specific bond covenants related to the investment of debt proceeds should also be considered an investment policy. </t>
  </si>
  <si>
    <t>(GASB Codification Section I50.736-2)</t>
  </si>
  <si>
    <t>indicate that the agency has not adopted an investment policy on that point. (GASB Codification Section I50.736-3)</t>
  </si>
  <si>
    <t>of the policy that is related to the risks discussed in GASB 40 should be disclosed. (GASB Codification Section I50.736-1)</t>
  </si>
  <si>
    <t>b. Meets the portfolio maturity requirements in GASB Codification Section In5.108 - .116,</t>
  </si>
  <si>
    <t xml:space="preserve">c. Meets the portfolio quality requirements in GASB Codification Section In5.117 - .126, </t>
  </si>
  <si>
    <t>d. Meets the portfolio diversification requirements in GASB Codification Section In5.127 - .131,</t>
  </si>
  <si>
    <r>
      <t>e. Meets the portfolio liquidity requirements in</t>
    </r>
    <r>
      <rPr>
        <sz val="8"/>
        <rFont val="Arial"/>
        <family val="2"/>
      </rPr>
      <t xml:space="preserve"> </t>
    </r>
    <r>
      <rPr>
        <sz val="10"/>
        <rFont val="Arial"/>
        <family val="2"/>
      </rPr>
      <t>GASB Codification Section In5.132 - .138, and</t>
    </r>
  </si>
  <si>
    <t>f. Meets the shadow pricing requirements in GASB Codification Section In5.139 - .140.</t>
  </si>
  <si>
    <t>[GASB Codification T10 .105a.(1)]</t>
  </si>
  <si>
    <t>[GASB Codification T10 .105 a,(2)]</t>
  </si>
  <si>
    <t>[GASB Codification T10 .105a.(3)]</t>
  </si>
  <si>
    <t>[GASB Codification T10 .105b]</t>
  </si>
  <si>
    <t>[GASB Codification T10 .105f]</t>
  </si>
  <si>
    <t>that are exchange-traded, such as futures</t>
  </si>
  <si>
    <t>do not extend to derivative instruments</t>
  </si>
  <si>
    <t>A hedging derivative instrument can only expose a government to credit risk if it is reported as an asset (i.e., derivative instrument with negative fair values should be excluded from the above</t>
  </si>
  <si>
    <t>instrument transaction with the same counterparty, (b) each party owes the other determinable amounts, (c) the government has the right to set off the amount owed by the counterparty, and</t>
  </si>
  <si>
    <t>An investment derivative instrument can only expose a government to credit risk if it is reported as an asset (i.e., derivative instruments with negative fair values should be excluded from</t>
  </si>
  <si>
    <t>the above table, except for any netting arrangement liability). Also, credit risk disclosures are limited to investment derivative instruments that are reported as of the end of the reporting period.</t>
  </si>
  <si>
    <t>contracts (GASB Codification Section D40.170.a).</t>
  </si>
  <si>
    <t>measures for certain investments and in certain circumstances (per GASB Statements 31 and 72.)</t>
  </si>
  <si>
    <t>Note: The paragraph numbers refer to the paragraph numbers in the GASB Codification for Tax Abatements.</t>
  </si>
  <si>
    <t>Fiduciary Activities:</t>
  </si>
  <si>
    <t>Complete the following schedule for any GASB fund that has restated numbers.</t>
  </si>
  <si>
    <t>Debt Service</t>
  </si>
  <si>
    <r>
      <t xml:space="preserve">3.  Material contingent liability is defined as </t>
    </r>
    <r>
      <rPr>
        <b/>
        <sz val="10"/>
        <rFont val="Arial"/>
        <family val="2"/>
      </rPr>
      <t>$20 million or greater</t>
    </r>
    <r>
      <rPr>
        <sz val="10"/>
        <rFont val="Arial"/>
        <family val="2"/>
      </rPr>
      <t>.</t>
    </r>
  </si>
  <si>
    <t>198</t>
  </si>
  <si>
    <t>updated 3/27/2020</t>
  </si>
  <si>
    <t>John Storment</t>
  </si>
  <si>
    <t>(984) 974-1043</t>
  </si>
  <si>
    <t>Malinda Peters</t>
  </si>
  <si>
    <t>(919) 733-7500</t>
  </si>
  <si>
    <t>Jason Cottle</t>
  </si>
  <si>
    <t>(919) 814-6719</t>
  </si>
  <si>
    <t>(984) 236-0626</t>
  </si>
  <si>
    <t>Natasha Farrington</t>
  </si>
  <si>
    <t>(919) 707-0657</t>
  </si>
  <si>
    <t>Note: This worksheet only applies to a University's transactions with its discretely presented</t>
  </si>
  <si>
    <t xml:space="preserve">          component units.  It does not apply to a University's transactions with its blended</t>
  </si>
  <si>
    <t xml:space="preserve">          component units. The amount reported as due from the component unit (due to the </t>
  </si>
  <si>
    <t xml:space="preserve">          component unit) by the University should be reconciled with the component unit and </t>
  </si>
  <si>
    <t xml:space="preserve">          submitted to OSC.</t>
  </si>
  <si>
    <t xml:space="preserve">          reported as due to the University (due from the University) on the foundation template </t>
  </si>
  <si>
    <t>Agrees to 'Due to agency/institution component</t>
  </si>
  <si>
    <t>of Net Position</t>
  </si>
  <si>
    <t>Agrees to 'Due from agency/institution</t>
  </si>
  <si>
    <t>Position</t>
  </si>
  <si>
    <t>State aid - Coronavirus Relief Fund</t>
  </si>
  <si>
    <t>438CAA</t>
  </si>
  <si>
    <t>Explain the purpose of transfers for all accounts over $4 million.  Use explanation tab if additional space is required.</t>
  </si>
  <si>
    <t>Cash Basis</t>
  </si>
  <si>
    <t>Accrual Basis</t>
  </si>
  <si>
    <t>Total COVID-19 funds</t>
  </si>
  <si>
    <t>GASB Fund</t>
  </si>
  <si>
    <t>Budget Code</t>
  </si>
  <si>
    <t>Full Center</t>
  </si>
  <si>
    <t>federal agencies in response to the coronavirus disease (COVID-19):</t>
  </si>
  <si>
    <t>NA Offline Component Units using 905 template</t>
  </si>
  <si>
    <r>
      <rPr>
        <b/>
        <sz val="10"/>
        <color indexed="12"/>
        <rFont val="Arial"/>
        <family val="2"/>
      </rPr>
      <t>Directions</t>
    </r>
    <r>
      <rPr>
        <sz val="10"/>
        <rFont val="Arial"/>
        <family val="2"/>
      </rPr>
      <t xml:space="preserve">:  </t>
    </r>
    <r>
      <rPr>
        <b/>
        <sz val="10"/>
        <rFont val="Arial"/>
        <family val="2"/>
      </rPr>
      <t>All agencies and online component units</t>
    </r>
    <r>
      <rPr>
        <sz val="10"/>
        <rFont val="Arial"/>
        <family val="2"/>
      </rPr>
      <t xml:space="preserve"> (NC School of Science &amp; Math and State Health Plan) </t>
    </r>
    <r>
      <rPr>
        <b/>
        <sz val="10"/>
        <rFont val="Arial"/>
        <family val="2"/>
      </rPr>
      <t xml:space="preserve">are required to complete section A of this </t>
    </r>
  </si>
  <si>
    <r>
      <rPr>
        <b/>
        <sz val="11"/>
        <rFont val="Arial"/>
        <family val="2"/>
      </rPr>
      <t>B.</t>
    </r>
    <r>
      <rPr>
        <b/>
        <sz val="10"/>
        <rFont val="Arial"/>
        <family val="2"/>
      </rPr>
      <t xml:space="preserve"> </t>
    </r>
    <r>
      <rPr>
        <sz val="10"/>
        <rFont val="Arial"/>
        <family val="2"/>
      </rPr>
      <t>If you answered yes in section A, complete the appropriate section for your agency below.</t>
    </r>
  </si>
  <si>
    <t>Federal Aid - COVID-19</t>
  </si>
  <si>
    <t>Advances To Other Funds/Component Units/Entities Outside of State Reporting Entity</t>
  </si>
  <si>
    <t>*Applicable for Universities for Balances in Account 114501*</t>
  </si>
  <si>
    <r>
      <t xml:space="preserve">(THRESHOLD APPLICABLE </t>
    </r>
    <r>
      <rPr>
        <b/>
        <sz val="12"/>
        <color rgb="FFFF0000"/>
        <rFont val="Arial"/>
        <family val="2"/>
      </rPr>
      <t>EXCEPT</t>
    </r>
    <r>
      <rPr>
        <b/>
        <sz val="12"/>
        <rFont val="Arial"/>
        <family val="2"/>
      </rPr>
      <t xml:space="preserve"> Coronavirus Funds  - SEE INSTRUCTIONS)</t>
    </r>
  </si>
  <si>
    <r>
      <t xml:space="preserve">(THRESHOLD APPLICABLE </t>
    </r>
    <r>
      <rPr>
        <b/>
        <sz val="12"/>
        <color rgb="FFFF0000"/>
        <rFont val="Arial"/>
        <family val="2"/>
      </rPr>
      <t>EXCEPT</t>
    </r>
    <r>
      <rPr>
        <b/>
        <sz val="12"/>
        <rFont val="Arial"/>
        <family val="2"/>
      </rPr>
      <t xml:space="preserve"> Coronavirus Funds - SEE INSTRUCTIONS)</t>
    </r>
  </si>
  <si>
    <t>430F</t>
  </si>
  <si>
    <t xml:space="preserve">Certain Asset Retirement Obligations </t>
  </si>
  <si>
    <r>
      <t>Employer Contribution Amounts for TSERS and OPEB (</t>
    </r>
    <r>
      <rPr>
        <sz val="11"/>
        <color rgb="FF0000FF"/>
        <rFont val="Calibri"/>
        <family val="2"/>
      </rPr>
      <t>Universities only)</t>
    </r>
  </si>
  <si>
    <t>Please provide the following information regarding your TSERS employer contributions.</t>
  </si>
  <si>
    <t>Lisa Culbreth</t>
  </si>
  <si>
    <t>(919) 707-7743</t>
  </si>
  <si>
    <t>*See comment in caption*</t>
  </si>
  <si>
    <t xml:space="preserve">A.  - Construction and Software in Development (SID) Contract Commitments </t>
  </si>
  <si>
    <r>
      <t xml:space="preserve">Provide the amount of future total expenditures </t>
    </r>
    <r>
      <rPr>
        <b/>
        <sz val="10"/>
        <rFont val="Arial"/>
        <family val="2"/>
      </rPr>
      <t>for all GASBs</t>
    </r>
    <r>
      <rPr>
        <sz val="10"/>
        <rFont val="Arial"/>
        <family val="2"/>
      </rPr>
      <t xml:space="preserve"> for which the entity is </t>
    </r>
    <r>
      <rPr>
        <b/>
        <sz val="10"/>
        <rFont val="Arial"/>
        <family val="2"/>
      </rPr>
      <t>now</t>
    </r>
    <r>
      <rPr>
        <sz val="10"/>
        <rFont val="Arial"/>
        <family val="2"/>
      </rPr>
      <t xml:space="preserve"> committed </t>
    </r>
  </si>
  <si>
    <t xml:space="preserve">with state or non-state funds (i.e., highway construction, major construction of state buildings, </t>
  </si>
  <si>
    <t>improvements of state facilities, and software in development).</t>
  </si>
  <si>
    <t>Software in Development (SID) Contracts</t>
  </si>
  <si>
    <t>Total Construction and SID Contract Commitments</t>
  </si>
  <si>
    <t>Amount of Construction
and SID Contract Commitments</t>
  </si>
  <si>
    <t>NC OSC Policy 101.6 - Net Position</t>
  </si>
  <si>
    <t>Advances to Outside Entities</t>
  </si>
  <si>
    <t>438SAA</t>
  </si>
  <si>
    <t>Michael Griffin</t>
  </si>
  <si>
    <t>(984) 974-1260</t>
  </si>
  <si>
    <t>Carolyn Perkins</t>
  </si>
  <si>
    <t>(919) 784-3479</t>
  </si>
  <si>
    <t>Individuals, organizations, and other governments</t>
  </si>
  <si>
    <t>Participant deposits</t>
  </si>
  <si>
    <t>Less investment expenses</t>
  </si>
  <si>
    <t>Payments in accordance with custodial arrangements</t>
  </si>
  <si>
    <t>Total deductions</t>
  </si>
  <si>
    <t xml:space="preserve">Net position - July 1, as restated </t>
  </si>
  <si>
    <t>Net position - June 30</t>
  </si>
  <si>
    <t>Net investment income</t>
  </si>
  <si>
    <t>Cash &amp; cash equivalents</t>
  </si>
  <si>
    <t xml:space="preserve">An ARO is a legally enforceable liability associated with the retirement of certain tangible capital assets,  </t>
  </si>
  <si>
    <t>such as decommissioning of nuclear reactors and removal and disposal of X-ray machines and MRI machines.</t>
  </si>
  <si>
    <t>A government that has legal obligations to perform future asset retirement activities related to its tangible</t>
  </si>
  <si>
    <r>
      <t xml:space="preserve">capital assets </t>
    </r>
    <r>
      <rPr>
        <b/>
        <sz val="10"/>
        <rFont val="Arial"/>
        <family val="2"/>
      </rPr>
      <t>should recognize a liability when the liability is incurred and reasonably estimable</t>
    </r>
    <r>
      <rPr>
        <sz val="10"/>
        <rFont val="Arial"/>
        <family val="2"/>
      </rPr>
      <t>.</t>
    </r>
  </si>
  <si>
    <t xml:space="preserve">The incurrence of a liability includes the occurrence of both an external obligating event and an internal </t>
  </si>
  <si>
    <t xml:space="preserve">obligating event resulting from normal operations.  </t>
  </si>
  <si>
    <t xml:space="preserve">The occurrence of contamination that (1) is a result of normal operation of the tangible </t>
  </si>
  <si>
    <t>asset and (2) is not in the scope of Statement 49, as amended.</t>
  </si>
  <si>
    <t>NOTE:  If an ARO or portions thereof is not reasonably estimable, a government will not recognize the</t>
  </si>
  <si>
    <r>
      <t xml:space="preserve">ARO.  If your agency has an ARO that is not reasonably estimable, </t>
    </r>
    <r>
      <rPr>
        <b/>
        <sz val="10"/>
        <rFont val="Arial"/>
        <family val="2"/>
      </rPr>
      <t xml:space="preserve">provide disclosure of this fact and </t>
    </r>
  </si>
  <si>
    <t>Certain Asset Retirement Obligations - Accounting and Financial Reporting</t>
  </si>
  <si>
    <t>If this is the first year of recognizing an ARO, complete the section below:</t>
  </si>
  <si>
    <t>The measurement of an ARO should be based on the best estimate of the current value of outlays</t>
  </si>
  <si>
    <t xml:space="preserve">expected to be incurred.  </t>
  </si>
  <si>
    <t xml:space="preserve">The measurement of a deferred outflow of resources associated with an ARO should be the amount </t>
  </si>
  <si>
    <t xml:space="preserve">corresponding to the liability upon initial measurement.  </t>
  </si>
  <si>
    <t>In subsequent years of recognizing the ARO, complete the section below:</t>
  </si>
  <si>
    <t>Subsequent to initial measurement, a government should at least annually adjust the current value of its</t>
  </si>
  <si>
    <t>ARO for the effects of general inflation or deflation; and evaluate all relevant factors to determine whether</t>
  </si>
  <si>
    <t>the effect of one or more of those factors is expected to significantly increase or decrease the estimated</t>
  </si>
  <si>
    <t>outlays associated with the ARO.</t>
  </si>
  <si>
    <t>A government should recognize a reduction of the deferred outflow of resource as an outflow of resources</t>
  </si>
  <si>
    <t>(expense) in a systematic and rational manner over a period of time:</t>
  </si>
  <si>
    <t>Total Notes from Direct Borrowings, Bonds &amp; Special Indebtedness Payable (net) Breakdown:</t>
  </si>
  <si>
    <t>special indebtedness payable)?</t>
  </si>
  <si>
    <t>(984) 236-1904</t>
  </si>
  <si>
    <t>Antonio McDaniel</t>
  </si>
  <si>
    <t>(919) 530-5422</t>
  </si>
  <si>
    <r>
      <rPr>
        <b/>
        <sz val="10"/>
        <rFont val="Arial"/>
        <family val="2"/>
      </rPr>
      <t>worksheet.</t>
    </r>
    <r>
      <rPr>
        <sz val="10"/>
        <rFont val="Arial"/>
        <family val="2"/>
      </rPr>
      <t xml:space="preserve"> </t>
    </r>
    <r>
      <rPr>
        <b/>
        <sz val="10"/>
        <rFont val="Arial"/>
        <family val="2"/>
      </rPr>
      <t xml:space="preserve">The purpose of this worksheet is to identify the amount of federal revenues (432XXX accounts) that have been received in response to </t>
    </r>
  </si>
  <si>
    <t>Account Number (432XXX)</t>
  </si>
  <si>
    <t>Federal Fund Revenues</t>
  </si>
  <si>
    <t xml:space="preserve"> disease (COVID-19):</t>
  </si>
  <si>
    <r>
      <t xml:space="preserve">(2) For </t>
    </r>
    <r>
      <rPr>
        <b/>
        <sz val="10"/>
        <rFont val="Arial"/>
        <family val="2"/>
      </rPr>
      <t>State agencies</t>
    </r>
    <r>
      <rPr>
        <sz val="10"/>
        <rFont val="Arial"/>
        <family val="2"/>
      </rPr>
      <t>, please provide the following information for federal revenues received directly from federal agencies in response to the coronavirus</t>
    </r>
  </si>
  <si>
    <r>
      <t xml:space="preserve">(3) For </t>
    </r>
    <r>
      <rPr>
        <b/>
        <sz val="10"/>
        <rFont val="Arial"/>
        <family val="2"/>
      </rPr>
      <t>NC School of Science and Math and the State Health Plan</t>
    </r>
    <r>
      <rPr>
        <sz val="10"/>
        <rFont val="Arial"/>
        <family val="2"/>
      </rPr>
      <t>, please provide the following information for federal revenues received directly from</t>
    </r>
  </si>
  <si>
    <t xml:space="preserve">Amount for COVID-19 </t>
  </si>
  <si>
    <r>
      <t xml:space="preserve">funds Received </t>
    </r>
    <r>
      <rPr>
        <b/>
        <u/>
        <sz val="10"/>
        <rFont val="Arial"/>
        <family val="2"/>
      </rPr>
      <t>Directly</t>
    </r>
    <r>
      <rPr>
        <b/>
        <sz val="10"/>
        <rFont val="Arial"/>
        <family val="2"/>
      </rPr>
      <t xml:space="preserve"> </t>
    </r>
  </si>
  <si>
    <t>375-A</t>
  </si>
  <si>
    <t>375-B</t>
  </si>
  <si>
    <t>Total COVID-19 revenues</t>
  </si>
  <si>
    <r>
      <rPr>
        <b/>
        <sz val="10"/>
        <color indexed="12"/>
        <rFont val="Arial"/>
        <family val="2"/>
      </rPr>
      <t>Directions</t>
    </r>
    <r>
      <rPr>
        <sz val="10"/>
        <rFont val="Arial"/>
        <family val="2"/>
      </rPr>
      <t xml:space="preserve">:  </t>
    </r>
    <r>
      <rPr>
        <b/>
        <sz val="10"/>
        <rFont val="Arial"/>
        <family val="2"/>
      </rPr>
      <t>All agencies are required to complete section A of this worksheet. The purpose of this worksheet is to identify 1) the certified budgeted amount</t>
    </r>
  </si>
  <si>
    <t xml:space="preserve">approved by the Governor and General Assembly and 2) the authorized budgeted amount approved by OSBM for federal revenues (432XXX or 5388XX </t>
  </si>
  <si>
    <t>NA Component Units</t>
  </si>
  <si>
    <r>
      <rPr>
        <b/>
        <sz val="11"/>
        <rFont val="Arial"/>
        <family val="2"/>
      </rPr>
      <t>A</t>
    </r>
    <r>
      <rPr>
        <sz val="11"/>
        <rFont val="Arial"/>
        <family val="2"/>
      </rPr>
      <t>.</t>
    </r>
    <r>
      <rPr>
        <sz val="10"/>
        <rFont val="Arial"/>
        <family val="2"/>
      </rPr>
      <t xml:space="preserve"> Did your agency/university receive COVID-19 revenues </t>
    </r>
    <r>
      <rPr>
        <u/>
        <sz val="10"/>
        <rFont val="Arial"/>
        <family val="2"/>
      </rPr>
      <t>directly</t>
    </r>
    <r>
      <rPr>
        <sz val="10"/>
        <rFont val="Arial"/>
        <family val="2"/>
      </rPr>
      <t xml:space="preserve"> from federal agencies (not indirectly from another state or local agency)?</t>
    </r>
  </si>
  <si>
    <t>Number (432XXX or 5388XX)</t>
  </si>
  <si>
    <t xml:space="preserve">Federal Fund Revenues Account </t>
  </si>
  <si>
    <r>
      <t xml:space="preserve">Total </t>
    </r>
    <r>
      <rPr>
        <b/>
        <u/>
        <sz val="10"/>
        <rFont val="Arial"/>
        <family val="2"/>
      </rPr>
      <t>Certified</t>
    </r>
    <r>
      <rPr>
        <b/>
        <sz val="10"/>
        <rFont val="Arial"/>
        <family val="2"/>
      </rPr>
      <t xml:space="preserve"> Budgeted </t>
    </r>
  </si>
  <si>
    <r>
      <t xml:space="preserve">Total </t>
    </r>
    <r>
      <rPr>
        <b/>
        <u/>
        <sz val="10"/>
        <rFont val="Arial"/>
        <family val="2"/>
      </rPr>
      <t>Authorized</t>
    </r>
    <r>
      <rPr>
        <b/>
        <sz val="10"/>
        <rFont val="Arial"/>
        <family val="2"/>
      </rPr>
      <t xml:space="preserve"> Budgeted</t>
    </r>
    <r>
      <rPr>
        <b/>
        <sz val="10"/>
        <color rgb="FFFF0000"/>
        <rFont val="Arial"/>
        <family val="2"/>
      </rPr>
      <t xml:space="preserve"> </t>
    </r>
  </si>
  <si>
    <t xml:space="preserve"> in response to the coronavirus disease (COVID-19):</t>
  </si>
  <si>
    <r>
      <t xml:space="preserve">(2) For </t>
    </r>
    <r>
      <rPr>
        <b/>
        <sz val="10"/>
        <rFont val="Arial"/>
        <family val="2"/>
      </rPr>
      <t>State agencies</t>
    </r>
    <r>
      <rPr>
        <sz val="10"/>
        <rFont val="Arial"/>
        <family val="2"/>
      </rPr>
      <t>, please provide the following information for budgeted federal fund revenues (432XXX or 5388XX accounts) received directly from federal agencies</t>
    </r>
  </si>
  <si>
    <t>Offline Custodial Funds Proforma - 907</t>
  </si>
  <si>
    <t>DSS 11G report to determine if any amounts have restrictions imposed on them so that they are not available resources for payment of current liabilities.</t>
  </si>
  <si>
    <t>(Agrees to DSS 11P report)</t>
  </si>
  <si>
    <t xml:space="preserve">the DSS 11G report that exceeds $1 million record the amount below that is not </t>
  </si>
  <si>
    <t>Describe each restricted, committed, and assigned fund balance identified below in the Annual Report Narrative worksheet.  See instructions for more detail.</t>
  </si>
  <si>
    <t>Inventories should tie to 11G on DSS.</t>
  </si>
  <si>
    <t>Total Fund Balance and Other Credits per 11G</t>
  </si>
  <si>
    <t>The following must agree to Annual Report Narrative Worksheet 326:</t>
  </si>
  <si>
    <t>submission of your package but prior to November 30, please contact the Office of the State Controller</t>
  </si>
  <si>
    <t>of its statements which require disclosure as described above?</t>
  </si>
  <si>
    <t>Describe each restricted, committed, and assigned fund balance identified below in the Narrative worksheet.  See instructions for more detail.</t>
  </si>
  <si>
    <t>If the proceeds from collection of long-term receivables are restricted, committed, or assigned, those constraints take precedence over the nonspendable nature of resources when classifying the amounts (i.e., classify as restricted, committed, or assigned instead). Therefore, notes receivable/advances on this worksheet may not agree with 11G on DSS.</t>
  </si>
  <si>
    <t>Financial Reporting for Federal Coronavirus (COVID-19) Funds (375-A)</t>
  </si>
  <si>
    <t xml:space="preserve">Financial Reporting for Federal Coronavirus (COVID-19) Funds </t>
  </si>
  <si>
    <t>Budget Reporting for Federal Coronavirus (COVID-19) Funds (375-B)</t>
  </si>
  <si>
    <r>
      <t xml:space="preserve">government operations.  The required disclosures should be provided in the attached </t>
    </r>
    <r>
      <rPr>
        <b/>
        <u/>
        <sz val="10"/>
        <rFont val="Arial"/>
        <family val="2"/>
      </rPr>
      <t>Package Narratives</t>
    </r>
    <r>
      <rPr>
        <sz val="10"/>
        <rFont val="Arial"/>
        <family val="2"/>
      </rPr>
      <t>.</t>
    </r>
  </si>
  <si>
    <t>TRANSFERS TO BE ELIMINATED AT ANNUAL REPORT LEVEL (545)</t>
  </si>
  <si>
    <t>Complete the Package Narrative for additional disclosures required for each Tax Abatement Program.</t>
  </si>
  <si>
    <t>DATA FOR ANNUAL REPORT 5XX WORKSHEETS</t>
  </si>
  <si>
    <t>USED FOR  W/S 505, 510, 515, 520</t>
  </si>
  <si>
    <t>USED FOR W/S 525 AND 530</t>
  </si>
  <si>
    <t>2021 Year End Financial Reporting Package</t>
  </si>
  <si>
    <t xml:space="preserve">Schedule of Intra-Agency Inter-Company Operating Transfers to be Eliminated at Annual Report Level </t>
  </si>
  <si>
    <t xml:space="preserve">Roll-up tables for the  11P Stmnt of Net Position &amp;  53P Stmnt of Rev, Exp and Changes in Net Position showing NCAS  accts making  up each caption </t>
  </si>
  <si>
    <t>N = Worksheet Narrative may also need to be completed</t>
  </si>
  <si>
    <t>Taylor Davies</t>
  </si>
  <si>
    <t>(919)875-3761</t>
  </si>
  <si>
    <t xml:space="preserve">component units, whether offline or on NCAS, must complete the Nonmajor Component unit Comprehensive </t>
  </si>
  <si>
    <t>Annual Financial Report workbook.</t>
  </si>
  <si>
    <r>
      <t xml:space="preserve">required disclosures should be provided in the attached </t>
    </r>
    <r>
      <rPr>
        <b/>
        <u/>
        <sz val="10"/>
        <rFont val="Arial"/>
        <family val="2"/>
      </rPr>
      <t>Annual Report Package Narratives</t>
    </r>
    <r>
      <rPr>
        <sz val="10"/>
        <rFont val="Arial"/>
        <family val="2"/>
      </rPr>
      <t>.</t>
    </r>
  </si>
  <si>
    <t>a total of those projects on the narrative worksheet.</t>
  </si>
  <si>
    <t>For BTA's, the increase in accumulated depreciation should tie to depreciation expense on the 53P/operating statement.  If it doesn't, please provide</t>
  </si>
  <si>
    <t>Note: Internal service funds are considered Governmental activities for Government-wide presentation for the Annual Report.</t>
  </si>
  <si>
    <r>
      <rPr>
        <b/>
        <sz val="9"/>
        <rFont val="Arial"/>
        <family val="2"/>
      </rPr>
      <t>1</t>
    </r>
    <r>
      <rPr>
        <sz val="9"/>
        <rFont val="Arial"/>
        <family val="2"/>
      </rPr>
      <t xml:space="preserve">. Outstanding balance agrees to 11G (Notes from direct borrowings, bonds &amp; </t>
    </r>
  </si>
  <si>
    <t>additional information is provided, add a reference in the appropriate section below. See Worksheet Instructions for more information.</t>
  </si>
  <si>
    <t>Agrees to 53P/905</t>
  </si>
  <si>
    <t xml:space="preserve">employer contribution amounts subsequent to the measurement date for component units.  </t>
  </si>
  <si>
    <t>component units' on w/s 905 / Statement</t>
  </si>
  <si>
    <t>units' on w/s 905 / Statement of Net</t>
  </si>
  <si>
    <t>(Ties to 11G)</t>
  </si>
  <si>
    <t>Totals per 11G/11P/11F/905 (Bal Sheet/Stmt of Net Position):</t>
  </si>
  <si>
    <t>Total per 11G/11P/11F/905</t>
  </si>
  <si>
    <t>HOST11</t>
  </si>
  <si>
    <t>NOTE:  International Mutual Funds are subject to foreign currency risk if the investment in the fund is not denominated in U.S dollars.  See Worksheet Instructions.</t>
  </si>
  <si>
    <t>denominated.  Also see Worksheet Instructions.</t>
  </si>
  <si>
    <t>The University/UNC Hospitals data file has been reconciled to the above financial statements and submitted</t>
  </si>
  <si>
    <t>to the Office of the State Auditor at the same time as the submission of the Annual Report package to OSC.</t>
  </si>
  <si>
    <t xml:space="preserve">There will be no further updating of the University/UNC Hospitals data file unless authorized by OSC. </t>
  </si>
  <si>
    <t xml:space="preserve">I hereby certify that the reconciliation of the above financial statements to the University/UNC Hospitals </t>
  </si>
  <si>
    <t xml:space="preserve">ACCOUNT ROLL-UP FOR 11P </t>
  </si>
  <si>
    <t>Note:  Not all captions on the 11P are included</t>
  </si>
  <si>
    <t xml:space="preserve">* For the Statewide Annual Report -Rolls to Long Term Liabilities Due within 1 year for CU and GW </t>
  </si>
  <si>
    <t>See below.* For the statewide Annual Report -Rolls to Long Term Liabilities Due within 1 year for CU and GW</t>
  </si>
  <si>
    <t>* For the Statewide Annual Report -Rolls to Long Term Liabilities Due within 1 year for CU and GW. Moved from Accounts payable for FY 2013-14.</t>
  </si>
  <si>
    <t>NEW PLACEMENT ON 11P</t>
  </si>
  <si>
    <t xml:space="preserve">* For the Statewide Annual Report -Rolls to Long Term Liabilities Due in more than one year for CU and GW </t>
  </si>
  <si>
    <t xml:space="preserve">* For the Statewide Annual Report -Rolls to Long Term Liabilities Due in more than one year for CU and GW. </t>
  </si>
  <si>
    <t xml:space="preserve">* For the Statewide Annual Report -Rolls to Long Term Liabilities Due in more than one year for CU and GW. Moved from Claims payable for FY 2013-14. </t>
  </si>
  <si>
    <t>* For the Statewide Annual Report -Rolls to Long Term Liabilities Due in more than one year for CU and GW . New account for FY 2014-15</t>
  </si>
  <si>
    <t>* For the Statewide Annual Report -Rolls to Long Term Liabilities Due in more than one year for CU and GW . New account for FY 2017-18</t>
  </si>
  <si>
    <t>ACCOUNT ROLL-UP FOR 53P</t>
  </si>
  <si>
    <t>Note:  Not all captions on the 53P are included</t>
  </si>
  <si>
    <t>Moved to Invalid for 2007 Annual Report</t>
  </si>
  <si>
    <t>Moved from Endowment Investments for 2008Annual Report</t>
  </si>
  <si>
    <t>Beginning net position total = ending net position per prior yr Annual Rprt</t>
  </si>
  <si>
    <t>entity (i.e. each column) reconcile back to that member's w/s 905.  I certify that the above reconciliation has been</t>
  </si>
  <si>
    <r>
      <rPr>
        <u/>
        <sz val="8"/>
        <rFont val="Arial"/>
        <family val="2"/>
      </rPr>
      <t>Instructions</t>
    </r>
    <r>
      <rPr>
        <sz val="8"/>
        <rFont val="Arial"/>
        <family val="2"/>
      </rPr>
      <t xml:space="preserve">: 
(1) Key to each member entity's column.  The balances for the UNC Health Care System as a whole (column F) will automatically populate based on the sum of the balances in the member entities' columns, except for the shaded cells.  The shaded cells in the UNC Health Care System column (column F) automatically link to other worksheets that must be completed first.
(2) Be sure to sign and date the certification box at the bottom of the worksheet.  (You may either type the signature or paste a digital picture of the signature.)  </t>
    </r>
  </si>
  <si>
    <t>This worksheet is only for Def Comp and 401(k) combined Package so is NA for all others.</t>
  </si>
  <si>
    <t xml:space="preserve">* Note caption name changed from Mutual funds for 2011 Annual Report to Collective investment funds for 2012 Annual Report per request from DST </t>
  </si>
  <si>
    <t>on 7-24-12.</t>
  </si>
  <si>
    <t>GASB Number for Financial Reporting</t>
  </si>
  <si>
    <t>UNC Health Care Reporting Unit (Combined Package)</t>
  </si>
  <si>
    <t>Per Prior year Annual Report. Purpose: To populate Prior Yr columns  &amp; Beg bal for ws 201, 210 &amp; 310</t>
  </si>
  <si>
    <t>Package contact name</t>
  </si>
  <si>
    <t>Contact telephone</t>
  </si>
  <si>
    <t>For Comp Unit Package</t>
  </si>
  <si>
    <r>
      <rPr>
        <b/>
        <sz val="8"/>
        <rFont val="Calibri"/>
        <family val="2"/>
      </rPr>
      <t>²</t>
    </r>
    <r>
      <rPr>
        <sz val="8"/>
        <rFont val="Times New Roman"/>
        <family val="1"/>
      </rPr>
      <t xml:space="preserve"> Offline reporting for all universities starting FY 2012. Still use NCAS for monthly reporting.</t>
    </r>
  </si>
  <si>
    <t>Reclassified to nonmajor based on GASB 61; NCAS interface monthly, Offline for Annual Report</t>
  </si>
  <si>
    <t>Resumed as component unit for FY 2013(last time in Annual Report was 1999)</t>
  </si>
  <si>
    <t>Accounting data included in the North Carolina Accounting System, and reporting from NCAS for Annual Report</t>
  </si>
  <si>
    <t>Full accounting data not in NCAS, so paper reporting for Annual Report; agency uses another accounting system</t>
  </si>
  <si>
    <t xml:space="preserve">Note:  All entities complete the NCASexcl package, except the Community Colleges </t>
  </si>
  <si>
    <r>
      <t xml:space="preserve">and the </t>
    </r>
    <r>
      <rPr>
        <u/>
        <sz val="12"/>
        <rFont val="Times New Roman"/>
        <family val="1"/>
      </rPr>
      <t>nonmajor</t>
    </r>
    <r>
      <rPr>
        <sz val="12"/>
        <rFont val="Times New Roman"/>
        <family val="1"/>
      </rPr>
      <t xml:space="preserve"> component units which have separate packages.</t>
    </r>
  </si>
  <si>
    <t>Offline Custodial Funds Proforma - Stmt of Changes in Assets and Liabilities</t>
  </si>
  <si>
    <t>Univ WTB</t>
  </si>
  <si>
    <r>
      <t>See instructions at</t>
    </r>
    <r>
      <rPr>
        <sz val="10"/>
        <color theme="0"/>
        <rFont val="Arial"/>
        <family val="2"/>
      </rPr>
      <t xml:space="preserve"> K:\SASD\21CAFR\Statements\Component\Univ\Prior Year Balances\Instructions for Updating PY Balances.docx</t>
    </r>
  </si>
  <si>
    <t>Advances to Outside Entities (ws 535)</t>
  </si>
  <si>
    <r>
      <rPr>
        <b/>
        <sz val="10"/>
        <rFont val="Arial"/>
        <family val="2"/>
      </rPr>
      <t>the coronavirus disease (COVID-19)</t>
    </r>
    <r>
      <rPr>
        <sz val="10"/>
        <rFont val="Arial"/>
        <family val="2"/>
      </rPr>
      <t xml:space="preserve"> including federal funding from the Coronavirus Aid, Relief, and Economic Security (CARES) Act and the American Rescue </t>
    </r>
  </si>
  <si>
    <r>
      <rPr>
        <b/>
        <sz val="11"/>
        <rFont val="Arial"/>
        <family val="2"/>
      </rPr>
      <t>A</t>
    </r>
    <r>
      <rPr>
        <sz val="11"/>
        <rFont val="Arial"/>
        <family val="2"/>
      </rPr>
      <t>.</t>
    </r>
    <r>
      <rPr>
        <sz val="10"/>
        <rFont val="Arial"/>
        <family val="2"/>
      </rPr>
      <t xml:space="preserve"> Does your agency have any budgeted federal revenues</t>
    </r>
    <r>
      <rPr>
        <b/>
        <sz val="10"/>
        <rFont val="Arial"/>
        <family val="2"/>
      </rPr>
      <t xml:space="preserve"> </t>
    </r>
    <r>
      <rPr>
        <sz val="10"/>
        <rFont val="Arial"/>
        <family val="2"/>
      </rPr>
      <t xml:space="preserve">for COVID-19 funds received </t>
    </r>
    <r>
      <rPr>
        <u/>
        <sz val="10"/>
        <rFont val="Arial"/>
        <family val="2"/>
      </rPr>
      <t>directly</t>
    </r>
    <r>
      <rPr>
        <sz val="10"/>
        <rFont val="Arial"/>
        <family val="2"/>
      </rPr>
      <t xml:space="preserve"> from federal agencies (not indirectly from another state or local agency)?</t>
    </r>
  </si>
  <si>
    <t>Function:</t>
  </si>
  <si>
    <t>No Function</t>
  </si>
  <si>
    <t>FCCS_OpeningBalanceAdjustment</t>
  </si>
  <si>
    <t>Mvmts_AssetsTransferredIn</t>
  </si>
  <si>
    <t>Mvmts_AssetsTransferredOut</t>
  </si>
  <si>
    <t>Mvmts_PurchasedAdditions</t>
  </si>
  <si>
    <t>Mvmts_DonatedAdditions</t>
  </si>
  <si>
    <t>Mvmts_Retirements</t>
  </si>
  <si>
    <t>Mvmts_DecreaseInCIP</t>
  </si>
  <si>
    <t>Entity</t>
  </si>
  <si>
    <t>FS</t>
  </si>
  <si>
    <t>Gen Gov</t>
  </si>
  <si>
    <t>Y</t>
  </si>
  <si>
    <t>Number of Motor Fleet vehicles</t>
  </si>
  <si>
    <t>No FS</t>
  </si>
  <si>
    <t>HHS</t>
  </si>
  <si>
    <t>ENR</t>
  </si>
  <si>
    <t>Number of vehicles</t>
  </si>
  <si>
    <t>Department of Public Safety</t>
  </si>
  <si>
    <t>Public Safety</t>
  </si>
  <si>
    <t>Passenger/Cargo vans</t>
  </si>
  <si>
    <t>Adult Correction Vehicles</t>
  </si>
  <si>
    <t>Inmate transfer vans/buses</t>
  </si>
  <si>
    <t>Inmate workcrew vans/buses</t>
  </si>
  <si>
    <t>Pickup trucks</t>
  </si>
  <si>
    <t>Roving patrol pickups</t>
  </si>
  <si>
    <t>One ton maintenance trucks</t>
  </si>
  <si>
    <t>Other/Specialty trucks</t>
  </si>
  <si>
    <t>Enterprise Vehicles</t>
  </si>
  <si>
    <t>Inmate workcrew buses</t>
  </si>
  <si>
    <t>Cars/SUV's</t>
  </si>
  <si>
    <t>Alcohol Law Enforcement Vehicles</t>
  </si>
  <si>
    <t>Cars</t>
  </si>
  <si>
    <t>State Highway Patrol Vehicles</t>
  </si>
  <si>
    <t>Trucks/Vans</t>
  </si>
  <si>
    <t>Motorcycles</t>
  </si>
  <si>
    <t>State Bureau of Investigation Vehicles</t>
  </si>
  <si>
    <t>Helicopters</t>
  </si>
  <si>
    <t>State Highway Patrol Aircraft</t>
  </si>
  <si>
    <t>Primary subsystem</t>
  </si>
  <si>
    <t>Infrastructure Assets</t>
  </si>
  <si>
    <t>Trans</t>
  </si>
  <si>
    <t>Secondary subsystem</t>
  </si>
  <si>
    <t>Number of bridges</t>
  </si>
  <si>
    <t>Bridges</t>
  </si>
  <si>
    <t>Number of culverts</t>
  </si>
  <si>
    <t>Vehicles</t>
  </si>
  <si>
    <t>Heavy Equipment</t>
  </si>
  <si>
    <t>Higher Ed</t>
  </si>
  <si>
    <t>Number of administration buildings</t>
  </si>
  <si>
    <t>Number of clinical buildings</t>
  </si>
  <si>
    <t>Number of facility services</t>
  </si>
  <si>
    <t>Number of hospitals</t>
  </si>
  <si>
    <t>GovActivities</t>
  </si>
  <si>
    <t>BusinessActivities</t>
  </si>
  <si>
    <t>UnivFoundations</t>
  </si>
  <si>
    <t>Y1</t>
  </si>
  <si>
    <t>Y2</t>
  </si>
  <si>
    <t>Y3</t>
  </si>
  <si>
    <t>Y4</t>
  </si>
  <si>
    <t>Y5</t>
  </si>
  <si>
    <t>Y6-Y10</t>
  </si>
  <si>
    <t>Y11-Y15</t>
  </si>
  <si>
    <t>Y16-Y20</t>
  </si>
  <si>
    <t>Y21-Y25</t>
  </si>
  <si>
    <t>Y26-Y30</t>
  </si>
  <si>
    <t>Y31-Y35</t>
  </si>
  <si>
    <t>Y36-Y39</t>
  </si>
  <si>
    <t>Y40-Y44</t>
  </si>
  <si>
    <t>Y45-Y49</t>
  </si>
  <si>
    <t>Y50-Beyond</t>
  </si>
  <si>
    <t>FCCS_No Movement</t>
  </si>
  <si>
    <t>ST_NotesDtBorrowings</t>
  </si>
  <si>
    <t>ST_DtPlacements</t>
  </si>
  <si>
    <t>Principal_DSR</t>
  </si>
  <si>
    <t>Interest_DSR</t>
  </si>
  <si>
    <t>* Put X in boxes to generate Account number for Macro. Ex at row 15</t>
  </si>
  <si>
    <t>Principal_DSRI</t>
  </si>
  <si>
    <t>Interest_DSRI</t>
  </si>
  <si>
    <t>InterestRateSwap_DSRI</t>
  </si>
  <si>
    <t>* Put X in boxes to generate Account number for Macro. Ex at row 15.</t>
  </si>
  <si>
    <t>FCCS Entity:</t>
  </si>
  <si>
    <t>GovtAct</t>
  </si>
  <si>
    <t>Principal_PRC</t>
  </si>
  <si>
    <t>Interest_PRC</t>
  </si>
  <si>
    <t>Fair Value Changes</t>
  </si>
  <si>
    <t>NotionalAmount</t>
  </si>
  <si>
    <t>*In Case of Other(Row 20 &amp; 21), add new members in FCCS</t>
  </si>
  <si>
    <t>*Due Within One Year(Column O &amp; U) Not required for Agency Load</t>
  </si>
  <si>
    <t>NonspenInv</t>
  </si>
  <si>
    <t>PermCorpus</t>
  </si>
  <si>
    <t>LongtermNotesRec</t>
  </si>
  <si>
    <t>AdvOthfunds</t>
  </si>
  <si>
    <t>AdvCompUnit</t>
  </si>
  <si>
    <t>Committed</t>
  </si>
  <si>
    <t>Capital projects/Repairs and renovations</t>
  </si>
  <si>
    <t>CapProjectsReno</t>
  </si>
  <si>
    <t>Debt Serv</t>
  </si>
  <si>
    <t>OthPur</t>
  </si>
  <si>
    <t>Held by Counterparty</t>
  </si>
  <si>
    <t>Held by Counterparty's Trust Dept. or Agent but not in Agency's Name</t>
  </si>
  <si>
    <t>All Other Investments</t>
  </si>
  <si>
    <t>Fixed income collective investment funds</t>
  </si>
  <si>
    <t>Fixed Income ETFs</t>
  </si>
  <si>
    <t>Preferred Stock</t>
  </si>
  <si>
    <t>For 710, 720, 725 - top Other A &amp; B</t>
  </si>
  <si>
    <t>For 710 and 720 - bottom - for other C, D, E &amp; F</t>
  </si>
  <si>
    <t>Cash Surrender Value of Life Insurance_FV</t>
  </si>
  <si>
    <t>Cash Surrender Value of Life Insurance_NAV</t>
  </si>
  <si>
    <t>Collection and Mineral Rights_FV</t>
  </si>
  <si>
    <t>Collection and Mineral Rights_NAV</t>
  </si>
  <si>
    <t>Emerging Markets Equity</t>
  </si>
  <si>
    <t>Master Limited Partnerships</t>
  </si>
  <si>
    <t>Unit Investment Trusts</t>
  </si>
  <si>
    <t>Short-term Inv Collective Trust</t>
  </si>
  <si>
    <t>Hedge_commodity_debt collective inv trust</t>
  </si>
  <si>
    <t>Equity collective inv trusts</t>
  </si>
  <si>
    <t>For 755 - Investments (excluding NAV) lines 45-47</t>
  </si>
  <si>
    <t>Real estate investment trust_FV</t>
  </si>
  <si>
    <t>For 755 - Investments measured net asset value (NAV) lines 55-60</t>
  </si>
  <si>
    <t>Debt mutual funds_NAV</t>
  </si>
  <si>
    <t>Pooled debt funds_NAV</t>
  </si>
  <si>
    <t>Select Other Investment (Click here)</t>
  </si>
  <si>
    <t>Uninsured and Uncollateralized</t>
  </si>
  <si>
    <t>Held by Pledging Financial Institution</t>
  </si>
  <si>
    <t>Held by Pledging Fin. Institution's Trust Dept. or Agent not Agency's Name</t>
  </si>
  <si>
    <t>All Other Bank Balances</t>
  </si>
  <si>
    <t>Time/Demand/CD/BIC</t>
  </si>
  <si>
    <t>*Using exisiting line items in Row 13. Make sure the member names match with other sheets</t>
  </si>
  <si>
    <t>*Formula Column</t>
  </si>
  <si>
    <t>InActiveMarketsForidenticalAssets</t>
  </si>
  <si>
    <t>SignificantOtherObservableInputs</t>
  </si>
  <si>
    <t>SignificantOtherUnObservableInputs</t>
  </si>
  <si>
    <t>AmountNotReported</t>
  </si>
  <si>
    <t>Equity Put Options Long</t>
  </si>
  <si>
    <t>Equity Call Options Short</t>
  </si>
  <si>
    <t>FCCS Entity</t>
  </si>
  <si>
    <t>*Entity To be kept empty in case of Agency Load</t>
  </si>
  <si>
    <t>FCCS Agency</t>
  </si>
  <si>
    <t>Account TBL</t>
  </si>
  <si>
    <t>11R11000</t>
  </si>
  <si>
    <t>11R22000</t>
  </si>
  <si>
    <t>NetinvestmentCapitalAssets</t>
  </si>
  <si>
    <t>NonExpendable</t>
  </si>
  <si>
    <t>UnRestricted</t>
  </si>
  <si>
    <t>427AA000</t>
  </si>
  <si>
    <t>428AA000</t>
  </si>
  <si>
    <t>42BAA000</t>
  </si>
  <si>
    <t>421AA000</t>
  </si>
  <si>
    <t>421COVID</t>
  </si>
  <si>
    <t>56J99000</t>
  </si>
  <si>
    <t>42DAA000</t>
  </si>
  <si>
    <t>Econ Dev</t>
  </si>
  <si>
    <t>*Removed FCCS Account Codes*</t>
  </si>
  <si>
    <t>33240G</t>
  </si>
  <si>
    <t>06BC</t>
  </si>
  <si>
    <t>*Not being Used</t>
  </si>
  <si>
    <t>CollInvFund</t>
  </si>
  <si>
    <t>UnalInsCont</t>
  </si>
  <si>
    <t>SynthInvCont</t>
  </si>
  <si>
    <t>OthEmpBenefitsNP</t>
  </si>
  <si>
    <t>AdminExp</t>
  </si>
  <si>
    <t>33180G</t>
  </si>
  <si>
    <t>PensionBen</t>
  </si>
  <si>
    <t>Mvmts_LTDAdditions</t>
  </si>
  <si>
    <t>Mvmts_LTDDeletions</t>
  </si>
  <si>
    <t>NV880</t>
  </si>
  <si>
    <t>NV900</t>
  </si>
  <si>
    <t>NV1000</t>
  </si>
  <si>
    <t>State aid - Coronavirus</t>
  </si>
  <si>
    <t>740 Investment Type</t>
  </si>
  <si>
    <t>740 Currency</t>
  </si>
  <si>
    <t>Select Investment Type (Click here)</t>
  </si>
  <si>
    <t>Euro</t>
  </si>
  <si>
    <t>Canadian Dollar</t>
  </si>
  <si>
    <t>Australian Dollar</t>
  </si>
  <si>
    <t>Japanese Yen</t>
  </si>
  <si>
    <t>Hong Kong Dollar</t>
  </si>
  <si>
    <t>Swiss Franc</t>
  </si>
  <si>
    <t>New Taiwan Dollar</t>
  </si>
  <si>
    <t>Swedish Krona</t>
  </si>
  <si>
    <t>Singapore Dollar</t>
  </si>
  <si>
    <t>South Korean Won</t>
  </si>
  <si>
    <t>Indian Rupee</t>
  </si>
  <si>
    <t>Danish Krone</t>
  </si>
  <si>
    <t>South African Rand</t>
  </si>
  <si>
    <t>Mexican Peso</t>
  </si>
  <si>
    <t>Malaysian Ringgit</t>
  </si>
  <si>
    <t>Indonesian Rupiah</t>
  </si>
  <si>
    <t>Thai Baht</t>
  </si>
  <si>
    <t>UAE Dirham</t>
  </si>
  <si>
    <t>Select Foreign Currency (Click here)</t>
  </si>
  <si>
    <t>Pound Sterling</t>
  </si>
  <si>
    <t>Brazilian Real</t>
  </si>
  <si>
    <t>Turkish Lira</t>
  </si>
  <si>
    <t>Qatari Riyal</t>
  </si>
  <si>
    <t>Polish Zloty</t>
  </si>
  <si>
    <t>New Zealand Dollar</t>
  </si>
  <si>
    <t>Philippine Peso</t>
  </si>
  <si>
    <t>Norwegian Krone</t>
  </si>
  <si>
    <t>* Enter Valid GASB Number. Example - Use complete number(2700) instead of 27XX</t>
  </si>
  <si>
    <t>NCFS Agency</t>
  </si>
  <si>
    <t>UnivEnt</t>
  </si>
  <si>
    <t>0100</t>
  </si>
  <si>
    <t>0200</t>
  </si>
  <si>
    <t>0300</t>
  </si>
  <si>
    <t>0400</t>
  </si>
  <si>
    <t>0500</t>
  </si>
  <si>
    <t>0600</t>
  </si>
  <si>
    <t>0700</t>
  </si>
  <si>
    <t>0800</t>
  </si>
  <si>
    <t>0900</t>
  </si>
  <si>
    <t>1000</t>
  </si>
  <si>
    <t>1200</t>
  </si>
  <si>
    <t>1300</t>
  </si>
  <si>
    <t>1400</t>
  </si>
  <si>
    <t>1500</t>
  </si>
  <si>
    <t>1600</t>
  </si>
  <si>
    <t>1700</t>
  </si>
  <si>
    <t>1900</t>
  </si>
  <si>
    <t>4000</t>
  </si>
  <si>
    <t>4100</t>
  </si>
  <si>
    <t>4300</t>
  </si>
  <si>
    <t>4500</t>
  </si>
  <si>
    <t>4600</t>
  </si>
  <si>
    <t>5000</t>
  </si>
  <si>
    <t>6000</t>
  </si>
  <si>
    <t>6100</t>
  </si>
  <si>
    <t>6700</t>
  </si>
  <si>
    <t>6900</t>
  </si>
  <si>
    <t>8700</t>
  </si>
  <si>
    <t>9000</t>
  </si>
  <si>
    <t>9900</t>
  </si>
  <si>
    <t>RX00</t>
  </si>
  <si>
    <t>U100</t>
  </si>
  <si>
    <t>U200</t>
  </si>
  <si>
    <t>U300</t>
  </si>
  <si>
    <t>U400</t>
  </si>
  <si>
    <t>U500</t>
  </si>
  <si>
    <t>U550</t>
  </si>
  <si>
    <t>U600</t>
  </si>
  <si>
    <t>U650</t>
  </si>
  <si>
    <t>U700</t>
  </si>
  <si>
    <t>U750</t>
  </si>
  <si>
    <t>U800</t>
  </si>
  <si>
    <t>U820</t>
  </si>
  <si>
    <t>U840</t>
  </si>
  <si>
    <t>U860</t>
  </si>
  <si>
    <t>U880</t>
  </si>
  <si>
    <t>U900</t>
  </si>
  <si>
    <t>U920</t>
  </si>
  <si>
    <t>0A00</t>
  </si>
  <si>
    <t>Z200</t>
  </si>
  <si>
    <t>Z300</t>
  </si>
  <si>
    <t>Z700</t>
  </si>
  <si>
    <t>ZA00</t>
  </si>
  <si>
    <t>ZB00</t>
  </si>
  <si>
    <t>ZG00</t>
  </si>
  <si>
    <t>ZH00</t>
  </si>
  <si>
    <t>ZI00</t>
  </si>
  <si>
    <t>ZL00</t>
  </si>
  <si>
    <t>ZM00</t>
  </si>
  <si>
    <t>25170G</t>
  </si>
  <si>
    <t>Yelena Zaytseva</t>
  </si>
  <si>
    <t>919-707-0575</t>
  </si>
  <si>
    <t>Yelena.Zaytseva@osc.nc.gov</t>
  </si>
  <si>
    <t>Rachel McDonald</t>
  </si>
  <si>
    <t>(919) 807-7633</t>
  </si>
  <si>
    <t>Ann Anderson</t>
  </si>
  <si>
    <t>Allis Talley-Burton</t>
  </si>
  <si>
    <t>(919) 324-1045</t>
  </si>
  <si>
    <t>received. Please provide the following:</t>
  </si>
  <si>
    <r>
      <t xml:space="preserve">(1) To be </t>
    </r>
    <r>
      <rPr>
        <b/>
        <sz val="10"/>
        <rFont val="Arial"/>
        <family val="2"/>
      </rPr>
      <t xml:space="preserve">completed only by OSC (FRU 90) </t>
    </r>
    <r>
      <rPr>
        <sz val="10"/>
        <rFont val="Arial"/>
        <family val="2"/>
      </rPr>
      <t xml:space="preserve">for the OSC Coronavirus Relief Reserve and Reserves for the American Rescue Plan Act federal revenues </t>
    </r>
  </si>
  <si>
    <t>Please provide the following:</t>
  </si>
  <si>
    <r>
      <t xml:space="preserve">(1) To be </t>
    </r>
    <r>
      <rPr>
        <b/>
        <sz val="10"/>
        <rFont val="Arial"/>
        <family val="2"/>
      </rPr>
      <t>completed by OSBM only</t>
    </r>
    <r>
      <rPr>
        <sz val="10"/>
        <rFont val="Arial"/>
        <family val="2"/>
      </rPr>
      <t xml:space="preserve"> for the OSBM Coronavirus Relief Fund and American Rescue Plan Act Funds budgeted federal revenues. </t>
    </r>
  </si>
  <si>
    <r>
      <t xml:space="preserve">capital assets for  </t>
    </r>
    <r>
      <rPr>
        <b/>
        <sz val="10"/>
        <color theme="1"/>
        <rFont val="Arial"/>
        <family val="2"/>
      </rPr>
      <t>[Insert agency name here.]</t>
    </r>
  </si>
  <si>
    <t>Kristabell Certain</t>
  </si>
  <si>
    <t>828-398-7358</t>
  </si>
  <si>
    <t>Gay Roberson</t>
  </si>
  <si>
    <t>252-940-6248</t>
  </si>
  <si>
    <t>Lacie Jacobs</t>
  </si>
  <si>
    <t>910-879-5500</t>
  </si>
  <si>
    <t>Carolyn Alley</t>
  </si>
  <si>
    <t>828-697-1730</t>
  </si>
  <si>
    <t>Santresa Culpepper</t>
  </si>
  <si>
    <t>910-755-7314</t>
  </si>
  <si>
    <t>Lindsay Cooley</t>
  </si>
  <si>
    <t>Donna Cumbie</t>
  </si>
  <si>
    <t>252-222-6161</t>
  </si>
  <si>
    <t>Shirley Swanson</t>
  </si>
  <si>
    <t>828-327-7000 x4508</t>
  </si>
  <si>
    <t>Brian Bridgers</t>
  </si>
  <si>
    <t>Lauren Gates</t>
  </si>
  <si>
    <t>704-330-6709</t>
  </si>
  <si>
    <t>Pam Boling</t>
  </si>
  <si>
    <t>704-669-4109</t>
  </si>
  <si>
    <t>Susan Gentry</t>
  </si>
  <si>
    <t>252-335-0821 x2214</t>
  </si>
  <si>
    <t>252-637-5740</t>
  </si>
  <si>
    <t>Andrew Kleitsch</t>
  </si>
  <si>
    <t>919-536-7201 x1001</t>
  </si>
  <si>
    <t>Pamela Twitty</t>
  </si>
  <si>
    <t>252-618-6506</t>
  </si>
  <si>
    <t>Kathryn Alexander</t>
  </si>
  <si>
    <t>336-734-7367</t>
  </si>
  <si>
    <t>Shelly Alman</t>
  </si>
  <si>
    <t>(704) 922-6405</t>
  </si>
  <si>
    <t>Kathi Riffe</t>
  </si>
  <si>
    <t>336-334-4822 x50457</t>
  </si>
  <si>
    <t>Sanethia Smith</t>
  </si>
  <si>
    <t>252-538-4304</t>
  </si>
  <si>
    <t>828-395-1296</t>
  </si>
  <si>
    <t>910-275-6127</t>
  </si>
  <si>
    <t>David Webb</t>
  </si>
  <si>
    <t>JD Gibbs</t>
  </si>
  <si>
    <t>Tammy Bailey</t>
  </si>
  <si>
    <t>252-789-0225</t>
  </si>
  <si>
    <t>Cynthia Renfro</t>
  </si>
  <si>
    <t>828-766-1228</t>
  </si>
  <si>
    <t>Richard Mauney</t>
  </si>
  <si>
    <t>828-652-0600</t>
  </si>
  <si>
    <t>Jonathan Harris</t>
  </si>
  <si>
    <t>704-978-1307</t>
  </si>
  <si>
    <t>Tonya Luck</t>
  </si>
  <si>
    <t>910-898-9631</t>
  </si>
  <si>
    <t>252-249-1851 x3003</t>
  </si>
  <si>
    <t>Angela Peadan</t>
  </si>
  <si>
    <t>252-493-7257</t>
  </si>
  <si>
    <t>336-625-5607</t>
  </si>
  <si>
    <t>Gloria Moore</t>
  </si>
  <si>
    <t>910-900-4060 x2012</t>
  </si>
  <si>
    <t>910-246-4950</t>
  </si>
  <si>
    <t>Jennifer Ricketts</t>
  </si>
  <si>
    <t>704-272-5356</t>
  </si>
  <si>
    <t>Donna Turbeville</t>
  </si>
  <si>
    <t>Tony Martin</t>
  </si>
  <si>
    <t>336-386-3222</t>
  </si>
  <si>
    <t>Bill Vespasian</t>
  </si>
  <si>
    <t>828-835-4211</t>
  </si>
  <si>
    <t>252-738-3472</t>
  </si>
  <si>
    <t>919-866-5901</t>
  </si>
  <si>
    <t>919-739-7098</t>
  </si>
  <si>
    <t>252-246-1221</t>
  </si>
  <si>
    <t>Ashley Price</t>
  </si>
  <si>
    <t>(919) 707-0523</t>
  </si>
  <si>
    <t>Noncapital Contributions</t>
  </si>
  <si>
    <t>State Aid- Coronavirus</t>
  </si>
  <si>
    <t>432905 State Aid - Coronavirus</t>
  </si>
  <si>
    <t>114501 Advances to Outside Entities</t>
  </si>
  <si>
    <t>436207 Noncapital Contributions</t>
  </si>
  <si>
    <t>Angela Johnston</t>
  </si>
  <si>
    <t>(919) 890-1022</t>
  </si>
  <si>
    <t>August 15, 2022 for Tier 1 Entities</t>
  </si>
  <si>
    <t>August 22, 2022 for Tier 2 Entities</t>
  </si>
  <si>
    <t>August 26, 2022 for Tier 3 Entities</t>
  </si>
  <si>
    <t>August 29, 2022 for all others</t>
  </si>
  <si>
    <t>Package Updates made after April 29, 2022</t>
  </si>
  <si>
    <t>Budget Reporting for Federal Coronavirus (COVID-19) Funds</t>
  </si>
  <si>
    <t xml:space="preserve">Restatements Fiduciary Activities (Part 1 of 1) </t>
  </si>
  <si>
    <t>2022 Agency  Name</t>
  </si>
  <si>
    <t>Melissa Roberts</t>
  </si>
  <si>
    <t>Michelle Donegain</t>
  </si>
  <si>
    <t>910-521-6583</t>
  </si>
  <si>
    <t>Michelle Jeng</t>
  </si>
  <si>
    <t>Davidson-Davie Community College</t>
  </si>
  <si>
    <t>Jennifer Starsick</t>
  </si>
  <si>
    <t>336-224-4661</t>
  </si>
  <si>
    <t>Robin Deaver</t>
  </si>
  <si>
    <t>910-678-8250</t>
  </si>
  <si>
    <t>Carol Dornseif</t>
  </si>
  <si>
    <t>252-451-8365</t>
  </si>
  <si>
    <t>Cathy Biby</t>
  </si>
  <si>
    <t>Norma Brice</t>
  </si>
  <si>
    <t>Katie du Pont</t>
  </si>
  <si>
    <t>910-788-6203</t>
  </si>
  <si>
    <t>828-339-4473</t>
  </si>
  <si>
    <t>Kimberly Bradshaw</t>
  </si>
  <si>
    <t>704-991-0206</t>
  </si>
  <si>
    <t>Lori Hirth</t>
  </si>
  <si>
    <t>Monica Arney</t>
  </si>
  <si>
    <t>828-448-3129</t>
  </si>
  <si>
    <t xml:space="preserve">2021 Balances </t>
  </si>
  <si>
    <t>operations, or a disposal of operations during fiscal year 2022 (Indicate with an "X")?</t>
  </si>
  <si>
    <t>Christopher Crepps</t>
  </si>
  <si>
    <t>Beverly Murphy</t>
  </si>
  <si>
    <t>336-322-2117</t>
  </si>
  <si>
    <t>Carrie Douglas</t>
  </si>
  <si>
    <t>252-862-1229</t>
  </si>
  <si>
    <t>Lease Payable</t>
  </si>
  <si>
    <t>GASB 87 - Restated Lease Receivable</t>
  </si>
  <si>
    <t>GASB 87 - Restated Deferred Inflow of Resources - Leases</t>
  </si>
  <si>
    <t>Lease receivable</t>
  </si>
  <si>
    <t>Deferred inflows for leases</t>
  </si>
  <si>
    <t>GASB 87 - Restated Right to Use Assets: Operating Leases</t>
  </si>
  <si>
    <t>GASB 87 - Restated Lease Liability: Operating Leases</t>
  </si>
  <si>
    <t>GASB 87 - Restated Right to Use Assets: Capital Leases</t>
  </si>
  <si>
    <t>GASB 87 - Restated Lease Liability: Capital Leases</t>
  </si>
  <si>
    <t>Did your agency receive any donations during the fiscal year ending June 30, 2022?</t>
  </si>
  <si>
    <t>Do you agree with the ASSETSUM section of the FA Capital Asset Activity Report as of Fiscal Year End 2022?</t>
  </si>
  <si>
    <t xml:space="preserve">August 26, 2022 showing that the adjustments have been entered in the Fixed Asset System. </t>
  </si>
  <si>
    <t>during FY 2021 that were reported in the Fixed Asset System in FY 2022?</t>
  </si>
  <si>
    <t xml:space="preserve">FY 2022 FA500-A  Capital Asset Cost Adjustments Prior Year </t>
  </si>
  <si>
    <t xml:space="preserve">FY 2022 FA500-G  Capital Asset Prior Year Acquistion Report </t>
  </si>
  <si>
    <t xml:space="preserve">Are there any material acquisitions, retirements or cost adjustments that should be reported in FY 2022 that did not get recorded in the Fixed Asset System </t>
  </si>
  <si>
    <t>during FY 2022?</t>
  </si>
  <si>
    <t xml:space="preserve">FY 2023 FA500-K  Capital Asset Activity Report </t>
  </si>
  <si>
    <t>Agrees to 11G/11P/11F</t>
  </si>
  <si>
    <t>Total 2022 TSERS' employer contributions</t>
  </si>
  <si>
    <t>This should be the same amount that you keyed into the GASB 68 template for FY2022 employer</t>
  </si>
  <si>
    <t>Total 2022 RHBF employer contributions</t>
  </si>
  <si>
    <t>This should be the same amount that you keyed into the GASB 75 template for FY2022 employer</t>
  </si>
  <si>
    <t>Total 2022 DIPNC employer contributions</t>
  </si>
  <si>
    <t xml:space="preserve">Confirmation </t>
  </si>
  <si>
    <t>Phone Number/</t>
  </si>
  <si>
    <t xml:space="preserve">Email </t>
  </si>
  <si>
    <t>subsequent to June 30 and up to the date of ACFR preparation.</t>
  </si>
  <si>
    <t>Explain YES in the ACFR Package Narratives</t>
  </si>
  <si>
    <r>
      <t xml:space="preserve">If you become aware of any </t>
    </r>
    <r>
      <rPr>
        <b/>
        <i/>
        <sz val="10"/>
        <rFont val="Arial"/>
        <family val="2"/>
      </rPr>
      <t>MAJOR</t>
    </r>
    <r>
      <rPr>
        <i/>
        <sz val="10"/>
        <rFont val="Arial"/>
        <family val="2"/>
      </rPr>
      <t xml:space="preserve"> transactions (</t>
    </r>
    <r>
      <rPr>
        <b/>
        <i/>
        <sz val="10"/>
        <rFont val="Arial"/>
        <family val="2"/>
      </rPr>
      <t>$25 million or greater</t>
    </r>
    <r>
      <rPr>
        <i/>
        <sz val="10"/>
        <rFont val="Arial"/>
        <family val="2"/>
      </rPr>
      <t xml:space="preserve">) and events occurring after the </t>
    </r>
  </si>
  <si>
    <r>
      <t xml:space="preserve">In the attached </t>
    </r>
    <r>
      <rPr>
        <b/>
        <u/>
        <sz val="10"/>
        <rFont val="Arial"/>
        <family val="2"/>
      </rPr>
      <t>ACFR Package Narratives</t>
    </r>
    <r>
      <rPr>
        <sz val="10"/>
        <rFont val="Arial"/>
        <family val="2"/>
      </rPr>
      <t>, prepare note disclosures that describe, as applicable (a) reclassifications from a hedging derivative instrument</t>
    </r>
  </si>
  <si>
    <r>
      <t xml:space="preserve">In the attached </t>
    </r>
    <r>
      <rPr>
        <b/>
        <u/>
        <sz val="10"/>
        <rFont val="Arial"/>
        <family val="2"/>
      </rPr>
      <t>ACFR Package Narratives</t>
    </r>
    <r>
      <rPr>
        <sz val="10"/>
        <rFont val="Arial"/>
        <family val="2"/>
      </rPr>
      <t>, prepare note disclosures that describe, as applicable, other significant terms and your exposure to the following</t>
    </r>
  </si>
  <si>
    <r>
      <t xml:space="preserve">In the attached </t>
    </r>
    <r>
      <rPr>
        <b/>
        <u/>
        <sz val="10"/>
        <rFont val="Arial"/>
        <family val="2"/>
      </rPr>
      <t>ACFR Package Narratives</t>
    </r>
    <r>
      <rPr>
        <sz val="10"/>
        <rFont val="Arial"/>
        <family val="2"/>
      </rPr>
      <t>, prepare note disclosures that describe, as applicable, your exposure to the following risks that could give</t>
    </r>
  </si>
  <si>
    <t>Erica Smith</t>
  </si>
  <si>
    <t>Statements of Fiduciary Net Position &amp; Changes in Net Position</t>
  </si>
  <si>
    <t>Balance
June 30, 2022</t>
  </si>
  <si>
    <t>Dashboard</t>
  </si>
  <si>
    <t>Annual Report E-PACKAGE FILENAME</t>
  </si>
  <si>
    <t>Worksheet 602 completed showing TSERS, RHBF, &amp; DIPNC contributions</t>
  </si>
  <si>
    <t>for that Entiity followed by two zeros.</t>
  </si>
  <si>
    <t>Worksheet 101 question #1 answered appropriately - Valuaton Method</t>
  </si>
  <si>
    <t>Worksheet 101 question #4 answered appropriately (Y/N)</t>
  </si>
  <si>
    <t>Worksheet 101 question #6 answered appropriately (Y/N)</t>
  </si>
  <si>
    <t>Worksheet 110 question is answered appropriately (Y/N)</t>
  </si>
  <si>
    <t>Worksheet 202 question #3 answered appropriately (Y/N)</t>
  </si>
  <si>
    <t>Worksheet 202 question #4 answered appropriately (Y/N)</t>
  </si>
  <si>
    <t>Worksheet 120 question is answered appropriately (Y/N)</t>
  </si>
  <si>
    <t>Worksheet 203 question #1 answered appropriately (Y/N)</t>
  </si>
  <si>
    <t>Worksheet 203 question #2 answered appropriately (Y/N)</t>
  </si>
  <si>
    <t>Worksheet 203 question #3 answered appropriately (Y/N)</t>
  </si>
  <si>
    <t>Worksheet 345 contingencies question answered (Y/N) - Contingent liabilities</t>
  </si>
  <si>
    <t>Worksheet 345 contingencies question answered (Y/N) - Federal Grants and programs</t>
  </si>
  <si>
    <t>Worksheet 345 contingencies question answered (Y/N) - Food stamps and food commodities</t>
  </si>
  <si>
    <t>Worksheet 425 question answered appropriately (Y/N)</t>
  </si>
  <si>
    <t>Worksheet 101 question #2a answered appropriately (Y/N)</t>
  </si>
  <si>
    <t>Worksheet 202 question #1a answered appropriately (Y/N)</t>
  </si>
  <si>
    <t>Worksheet 202 question #1b answered appropriately (Y/N/na)</t>
  </si>
  <si>
    <t>Worksheet 101 question #5 answered appropriately (Y/N/na)</t>
  </si>
  <si>
    <t>Worksheet 101 question #7 answered appropriately (Y/N/na)</t>
  </si>
  <si>
    <t>Worksheet 202 question #2 answered appropriately (Y/N) - CIP</t>
  </si>
  <si>
    <t>Worksheet 202 question #2 answered appropriately (Y/N/na) - Newly constructed asset in FAS</t>
  </si>
  <si>
    <t>Worksheet 202 question #5 answered appropriately (Y/N/na)</t>
  </si>
  <si>
    <t>Worksheet 355 Subsequent events (Y/N)</t>
  </si>
  <si>
    <t>Worksheet 355 Subsequent events over $10M (Y/N)</t>
  </si>
  <si>
    <t>Worksheet 375-A question A. answered appropriately (Y/N)</t>
  </si>
  <si>
    <t>Worksheet 375-B question A. answered appropriately (Y/N)</t>
  </si>
  <si>
    <t>Worksheet 605 answered appropriately</t>
  </si>
  <si>
    <t>Worksheet 610 answered appropriately</t>
  </si>
  <si>
    <t>Worksheet 501 Total Col A must equal Col B</t>
  </si>
  <si>
    <t>Worksheet 540 Total Col A must equal Col B</t>
  </si>
  <si>
    <t>Worksheet 545 Total Col A must equal Col B</t>
  </si>
  <si>
    <t>Note: If you make any changes on the Tabs, then you must use the delete key to clear the cell information.</t>
  </si>
  <si>
    <r>
      <t>Worksheet 905 Statement of Net Position in balance</t>
    </r>
    <r>
      <rPr>
        <b/>
        <sz val="9"/>
        <color rgb="FFFF0000"/>
        <rFont val="Arial"/>
        <family val="2"/>
      </rPr>
      <t xml:space="preserve"> (Only required for Universities)</t>
    </r>
  </si>
  <si>
    <r>
      <t xml:space="preserve">Worksheet 905 Signature is required  </t>
    </r>
    <r>
      <rPr>
        <b/>
        <sz val="9"/>
        <color rgb="FFFF0000"/>
        <rFont val="Arial"/>
        <family val="2"/>
      </rPr>
      <t>(Only required for universities)</t>
    </r>
  </si>
  <si>
    <t>New FY 2022</t>
  </si>
  <si>
    <r>
      <rPr>
        <b/>
        <sz val="10"/>
        <rFont val="Tahoma"/>
        <family val="2"/>
      </rPr>
      <t>OSC Only:  Verify</t>
    </r>
    <r>
      <rPr>
        <sz val="10"/>
        <rFont val="Tahoma"/>
        <family val="2"/>
      </rPr>
      <t xml:space="preserve"> the FCCS Entity on the 905 WS is completed.</t>
    </r>
  </si>
  <si>
    <r>
      <rPr>
        <b/>
        <sz val="10"/>
        <rFont val="Tahoma"/>
        <family val="2"/>
      </rPr>
      <t>OSC Only:  Verify</t>
    </r>
    <r>
      <rPr>
        <sz val="10"/>
        <rFont val="Tahoma"/>
        <family val="2"/>
      </rPr>
      <t xml:space="preserve"> the FCCS Agency on the 905 WS is the 2 digit Entity number on the Index tab </t>
    </r>
  </si>
  <si>
    <t>Worksheet 203 signature required, if applicable</t>
  </si>
  <si>
    <t>Worksheet 338 answer appropriately (Y/N)</t>
  </si>
  <si>
    <t>Worksheet 101 question #2a filled out if answered "NO"</t>
  </si>
  <si>
    <t>Worksheet 101 question #4 filled out if answered "YES"</t>
  </si>
  <si>
    <t>Worksheet 101 question #6 filled out if answered "YES"</t>
  </si>
  <si>
    <t>Worksheet 101 question #7 filled out if answered "YES"</t>
  </si>
  <si>
    <t>Worksheet 120 question if answered "YES"</t>
  </si>
  <si>
    <t>Worksheet 201 CIP Column must balance to 0</t>
  </si>
  <si>
    <t>Worksheet 202 question #1a if answered "YES"- Type of Asset</t>
  </si>
  <si>
    <t>Worksheet 202 question #1a if answered "YES"- Value of Asset</t>
  </si>
  <si>
    <t>Worksheet 202 question #1b filled out if answered "NO"</t>
  </si>
  <si>
    <t>Worksheet 203 question #2 filled out if answered "YES"</t>
  </si>
  <si>
    <t>Worksheet 203 question #3 filled out if answered "YES"</t>
  </si>
  <si>
    <t>Worksheet 202 question #3 filled out if answered "YES"</t>
  </si>
  <si>
    <t>Worksheet 202 question #4 filled out if answered "YES"</t>
  </si>
  <si>
    <t>Worksheet 202 question #5 filled out if answered "NO"</t>
  </si>
  <si>
    <t>Worksheet 202 question #2 filled out if answered "YES"</t>
  </si>
  <si>
    <t>Worksheet 202 question #2 filled out if answered "NO"</t>
  </si>
  <si>
    <t>Worksheet 322 Reasonability Estimate answered appropriately (Y/N)</t>
  </si>
  <si>
    <t>Worksheet 330 Additions Tie</t>
  </si>
  <si>
    <t>Worksheet 345 Food Stamps/Commodites identified if answered "YES"</t>
  </si>
  <si>
    <t>Worksheet 370 question #1 is answered appropriately (Y/N)</t>
  </si>
  <si>
    <t>Worksheet 370 question #2 is answered appropriately (Y/N)</t>
  </si>
  <si>
    <t>Worksheet 375 question A identified if answered "YES"</t>
  </si>
  <si>
    <t>Worksheet 375 question B identified if answered "YES"</t>
  </si>
  <si>
    <t>Worksheet 425 question identified if answered "YES"</t>
  </si>
  <si>
    <t xml:space="preserve">Leases </t>
  </si>
  <si>
    <t>LEASES  (301)</t>
  </si>
  <si>
    <t>Public school capital projects/repairs &amp; renovations</t>
  </si>
  <si>
    <t>as of 6/29/2022</t>
  </si>
  <si>
    <t>as of 6/30/2022</t>
  </si>
  <si>
    <r>
      <t xml:space="preserve">Received </t>
    </r>
    <r>
      <rPr>
        <b/>
        <u/>
        <sz val="10"/>
        <rFont val="Arial"/>
        <family val="2"/>
      </rPr>
      <t>Directly</t>
    </r>
  </si>
  <si>
    <r>
      <t xml:space="preserve">(not indirectly from another state or local agency) </t>
    </r>
    <r>
      <rPr>
        <b/>
        <sz val="10"/>
        <rFont val="Arial"/>
        <family val="2"/>
      </rPr>
      <t xml:space="preserve">is required to complete the information in section B </t>
    </r>
    <r>
      <rPr>
        <sz val="10"/>
        <rFont val="Arial"/>
        <family val="2"/>
      </rPr>
      <t xml:space="preserve">within the appropriate section for your entity. </t>
    </r>
  </si>
  <si>
    <t>If more space is needed, an additional tab can be added to this workbook or you can submit a separate spreadsheet with the ACFR package. If</t>
  </si>
  <si>
    <t>12. Right to Use Lease Asset- Land  and permanent easements</t>
  </si>
  <si>
    <t>13. Right to Use Lease Asset- Buildings</t>
  </si>
  <si>
    <t>14. Right to Use Lease Asset- Machinery and equipment</t>
  </si>
  <si>
    <t>15. Right to Use Lease Asset- General Infrastructure</t>
  </si>
  <si>
    <t>General Long-Term Debt</t>
  </si>
  <si>
    <t>Long-term/Short-term</t>
  </si>
  <si>
    <t>Right to Use Lease assets, depreciable:</t>
  </si>
  <si>
    <t>Total  Accumulated Depreciation-Capital Assets</t>
  </si>
  <si>
    <t>ACCUMULATED DEPRECIATION (210)</t>
  </si>
  <si>
    <t>Accumulated Depreciation</t>
  </si>
  <si>
    <t>Leases payable</t>
  </si>
  <si>
    <r>
      <t>Accrued interest (</t>
    </r>
    <r>
      <rPr>
        <sz val="9"/>
        <rFont val="Arial Narrow"/>
        <family val="2"/>
      </rPr>
      <t>Bonds, notes, leases)</t>
    </r>
  </si>
  <si>
    <t>Bonds &amp; similar debt Payable amounts per column [E] agree to 11G?</t>
  </si>
  <si>
    <r>
      <t xml:space="preserve">For each type of short-term debt, describe the debt activity and the purpose for which the debt was issued in an attached </t>
    </r>
    <r>
      <rPr>
        <b/>
        <sz val="9"/>
        <rFont val="Arial"/>
        <family val="2"/>
      </rPr>
      <t>"ACFR Package Narratives".</t>
    </r>
  </si>
  <si>
    <r>
      <t xml:space="preserve">For each type of short-term debt, describe the debt activity and the purpose for which the debt was issued in an attached </t>
    </r>
    <r>
      <rPr>
        <b/>
        <sz val="10"/>
        <rFont val="Arial"/>
        <family val="2"/>
      </rPr>
      <t>"ACFR Package Narratives".</t>
    </r>
  </si>
  <si>
    <t>Bonds &amp; similar debt Payable amounts per column [E] and [F] agree to Statement of Net Position?</t>
  </si>
  <si>
    <t>Did your agency have any previous capital leases that were reclassed to right to use assets in FY 2022, due to GASB 87?</t>
  </si>
  <si>
    <t xml:space="preserve">If you answered yes to question 4, please refer to questions a. and b. under question 4. </t>
  </si>
  <si>
    <t>Cost at 6/30/2021</t>
  </si>
  <si>
    <t>Accumulated Depreciation 6/30/2021</t>
  </si>
  <si>
    <t>Cost- Right to Use Asset 7/1/2021</t>
  </si>
  <si>
    <r>
      <t xml:space="preserve">Please complete the column for </t>
    </r>
    <r>
      <rPr>
        <u/>
        <sz val="10"/>
        <rFont val="Arial"/>
        <family val="2"/>
      </rPr>
      <t xml:space="preserve">Capital Assets GASB 5100 </t>
    </r>
    <r>
      <rPr>
        <sz val="10"/>
        <rFont val="Arial"/>
        <family val="2"/>
      </rPr>
      <t xml:space="preserve">on worksheet 430G-Fund Equity Restatement. </t>
    </r>
  </si>
  <si>
    <t xml:space="preserve">b.) Please provide the following the information for the right to use asset for the assets listed in question a. </t>
  </si>
  <si>
    <t>5)  Did your agency have any previous operating leases that were recorded as right to use assets in FY 2022 as of 7/1/2021?</t>
  </si>
  <si>
    <t xml:space="preserve"> If you answered yes, please provide the following information for the right to use assets recorded in FY 2022.</t>
  </si>
  <si>
    <t xml:space="preserve">I hereby certify that we have verified the above FA Capital Asset Activity Report and reconciled the FY 2022 </t>
  </si>
  <si>
    <t xml:space="preserve">Per GASB 87, Leases are no longer classified as operating or capital.  </t>
  </si>
  <si>
    <t>A lease is defined as a contract that conveys control of the right to use another entity's non-financial asset as specified</t>
  </si>
  <si>
    <t>by GASB 87 are financings of the right to use leased asset.</t>
  </si>
  <si>
    <t>in a contract for a period of time in an exchange or an exchange-like transaction.  Leasing Arrangements as defined</t>
  </si>
  <si>
    <t>– The lease liability reported by the University in the University Foundations column should agree with the</t>
  </si>
  <si>
    <t xml:space="preserve">   lease payable reported by the University foundation on the foundation template.</t>
  </si>
  <si>
    <t>Lease Liability</t>
  </si>
  <si>
    <t>These balances must agree to LEASES PAYABLE on the balance sheet.</t>
  </si>
  <si>
    <r>
      <rPr>
        <b/>
        <u/>
        <sz val="10"/>
        <rFont val="Arial Narrow"/>
        <family val="2"/>
      </rPr>
      <t>Universities Only</t>
    </r>
    <r>
      <rPr>
        <sz val="10"/>
        <rFont val="Arial Narrow"/>
        <family val="2"/>
      </rPr>
      <t xml:space="preserve">: Leases of discretely presented component unit foundations should be reported separately in the "University Foundations" column.  </t>
    </r>
  </si>
  <si>
    <t>The total of the "Business-type Activities" and the "University Foundations" columns must agree to LEASES PAYABLE on the balance sheet.</t>
  </si>
  <si>
    <t>Lessee:</t>
  </si>
  <si>
    <t>Lessor:</t>
  </si>
  <si>
    <t>Lease Receivable, Net</t>
  </si>
  <si>
    <t>Right to Use Lease Asset-Machinery and Equipment (ws 201)</t>
  </si>
  <si>
    <t>Right to Use Lease Asset-General infrastructure (ws 201)</t>
  </si>
  <si>
    <t>Right to Use Lease Asset-Buildings (ws 201)</t>
  </si>
  <si>
    <t>Right to Use Lease Asset-Land (ws 201)</t>
  </si>
  <si>
    <t>Leases payable-current (ws 310)</t>
  </si>
  <si>
    <t>Leases payable (ws 310)</t>
  </si>
  <si>
    <t>Deferred inflows for lease agreements</t>
  </si>
  <si>
    <t>Lease interest revenue</t>
  </si>
  <si>
    <t>438PAA</t>
  </si>
  <si>
    <t>538PAA</t>
  </si>
  <si>
    <t>5380XX</t>
  </si>
  <si>
    <t>Lease receivable, net</t>
  </si>
  <si>
    <t>Right to use lease asset-Land</t>
  </si>
  <si>
    <t>Right to use lease asset-Buildings</t>
  </si>
  <si>
    <t>Right to use lease asset-Machinery and Equipment</t>
  </si>
  <si>
    <t>Right to use lease asset-General Infrastructure</t>
  </si>
  <si>
    <t>Leases payable - current</t>
  </si>
  <si>
    <r>
      <t>disclosures should be provided in the attached</t>
    </r>
    <r>
      <rPr>
        <b/>
        <u/>
        <sz val="10"/>
        <rFont val="Arial"/>
        <family val="2"/>
      </rPr>
      <t xml:space="preserve"> ACFR Package Narratives</t>
    </r>
    <r>
      <rPr>
        <sz val="10"/>
        <rFont val="Arial"/>
        <family val="2"/>
      </rPr>
      <t xml:space="preserve"> (proformas are included).</t>
    </r>
  </si>
  <si>
    <r>
      <t xml:space="preserve">Prepare a note disclosure for current and advance refundings and debt defeased using only existing resources in </t>
    </r>
    <r>
      <rPr>
        <b/>
        <u/>
        <sz val="10"/>
        <rFont val="Arial"/>
        <family val="2"/>
      </rPr>
      <t>attached ACFR Package Narratives</t>
    </r>
    <r>
      <rPr>
        <sz val="10"/>
        <rFont val="Arial"/>
        <family val="2"/>
      </rPr>
      <t xml:space="preserve"> (Note: proforma disclosures are included).  </t>
    </r>
  </si>
  <si>
    <r>
      <t xml:space="preserve">The required disclosures should be provided in the attached </t>
    </r>
    <r>
      <rPr>
        <b/>
        <u/>
        <sz val="10"/>
        <rFont val="Arial"/>
        <family val="2"/>
      </rPr>
      <t>ACFR Package Narratives</t>
    </r>
    <r>
      <rPr>
        <sz val="10"/>
        <rFont val="Arial"/>
        <family val="2"/>
      </rPr>
      <t>.</t>
    </r>
  </si>
  <si>
    <r>
      <t xml:space="preserve">Plan Act (ARPA) in order for OSC to properly report the information in the ACFR. </t>
    </r>
    <r>
      <rPr>
        <b/>
        <sz val="10"/>
        <rFont val="Arial"/>
        <family val="2"/>
      </rPr>
      <t xml:space="preserve">Any agency that received COVID-19 funds </t>
    </r>
    <r>
      <rPr>
        <b/>
        <u/>
        <sz val="10"/>
        <rFont val="Arial"/>
        <family val="2"/>
      </rPr>
      <t>directly</t>
    </r>
    <r>
      <rPr>
        <b/>
        <sz val="10"/>
        <rFont val="Arial"/>
        <family val="2"/>
      </rPr>
      <t xml:space="preserve"> from federal agencies</t>
    </r>
  </si>
  <si>
    <r>
      <rPr>
        <b/>
        <sz val="10"/>
        <rFont val="Arial"/>
        <family val="2"/>
      </rPr>
      <t>accounts) in response to the coronavirus disease (COVID-19)</t>
    </r>
    <r>
      <rPr>
        <sz val="10"/>
        <rFont val="Arial"/>
        <family val="2"/>
      </rPr>
      <t xml:space="preserve"> in order for OSC to properly report the information in the ACFR.</t>
    </r>
    <r>
      <rPr>
        <b/>
        <sz val="10"/>
        <rFont val="Arial"/>
        <family val="2"/>
      </rPr>
      <t xml:space="preserve"> Any agency that was budgeted federal</t>
    </r>
  </si>
  <si>
    <r>
      <rPr>
        <b/>
        <sz val="10"/>
        <rFont val="Arial"/>
        <family val="2"/>
      </rPr>
      <t xml:space="preserve">revenues for COVID-19 funds received </t>
    </r>
    <r>
      <rPr>
        <b/>
        <u/>
        <sz val="10"/>
        <rFont val="Arial"/>
        <family val="2"/>
      </rPr>
      <t>directly</t>
    </r>
    <r>
      <rPr>
        <b/>
        <sz val="10"/>
        <rFont val="Arial"/>
        <family val="2"/>
      </rPr>
      <t xml:space="preserve"> from federal agencies</t>
    </r>
    <r>
      <rPr>
        <sz val="10"/>
        <rFont val="Arial"/>
        <family val="2"/>
      </rPr>
      <t xml:space="preserve"> (not indirectly from another state or local agency) </t>
    </r>
    <r>
      <rPr>
        <b/>
        <sz val="10"/>
        <rFont val="Arial"/>
        <family val="2"/>
      </rPr>
      <t xml:space="preserve">is required to complete the information </t>
    </r>
  </si>
  <si>
    <r>
      <rPr>
        <b/>
        <sz val="10"/>
        <rFont val="Arial"/>
        <family val="2"/>
      </rPr>
      <t xml:space="preserve">in section B </t>
    </r>
    <r>
      <rPr>
        <sz val="10"/>
        <rFont val="Arial"/>
        <family val="2"/>
      </rPr>
      <t>within the appropriate section for your entity. If more space is needed, an additional tab can be added to this workbook or you can submit a separate spreadsheet.</t>
    </r>
  </si>
  <si>
    <t>If additional information is provided, add a reference in the appropriate section below. See Worksheet Instructions for more information.</t>
  </si>
  <si>
    <r>
      <t xml:space="preserve">If YES, include a brief description </t>
    </r>
    <r>
      <rPr>
        <vertAlign val="superscript"/>
        <sz val="9"/>
        <rFont val="Arial"/>
        <family val="2"/>
      </rPr>
      <t>4</t>
    </r>
    <r>
      <rPr>
        <sz val="9"/>
        <rFont val="Arial"/>
        <family val="2"/>
      </rPr>
      <t xml:space="preserve"> of your formally adopted policies, by deposit and investment risk, in </t>
    </r>
    <r>
      <rPr>
        <b/>
        <u/>
        <sz val="9"/>
        <rFont val="Arial"/>
        <family val="2"/>
      </rPr>
      <t>attached ACFR Package Narratives</t>
    </r>
    <r>
      <rPr>
        <sz val="9"/>
        <rFont val="Arial"/>
        <family val="2"/>
      </rPr>
      <t>.</t>
    </r>
  </si>
  <si>
    <r>
      <t>Additional disclosures are required in the attached ACFR</t>
    </r>
    <r>
      <rPr>
        <b/>
        <u/>
        <sz val="10"/>
        <rFont val="Arial"/>
        <family val="2"/>
      </rPr>
      <t xml:space="preserve"> Package Narratives</t>
    </r>
    <r>
      <rPr>
        <b/>
        <sz val="10"/>
        <rFont val="Arial"/>
        <family val="2"/>
      </rPr>
      <t>.</t>
    </r>
  </si>
  <si>
    <t>(336) 750-2733</t>
  </si>
  <si>
    <t>John Krellner</t>
  </si>
  <si>
    <t>919-707-0474</t>
  </si>
  <si>
    <t>John.Krellner@osc.nc.gov</t>
  </si>
  <si>
    <t xml:space="preserve">Note:  All amounts must tie to the 11G/11P/11F </t>
  </si>
  <si>
    <t xml:space="preserve">Agrees to  11P/905/Statement of Net Position </t>
  </si>
  <si>
    <t xml:space="preserve">Agrees to 11P/905/Statement of Net Position </t>
  </si>
  <si>
    <t>Agrees to 11G/P/F/905/Statement of Net Position</t>
  </si>
  <si>
    <t xml:space="preserve">Agrees to 11G/P/F/Statement of Net Position </t>
  </si>
  <si>
    <t xml:space="preserve">Agrees to 11G/P/F/905/Statement of Net Position </t>
  </si>
  <si>
    <t xml:space="preserve">No </t>
  </si>
  <si>
    <t xml:space="preserve">                            Yes</t>
  </si>
  <si>
    <t xml:space="preserve">Do you have a lease receivable with a component unit of the State? </t>
  </si>
  <si>
    <t xml:space="preserve">Primary government agency/ lease receivable amt </t>
  </si>
  <si>
    <t>Tangible Capital Asset (prior to reclass)</t>
  </si>
  <si>
    <t>Accumulated Amortization 7/1/2021</t>
  </si>
  <si>
    <t>Total Cost of Right to Use Assets - Capital Leases</t>
  </si>
  <si>
    <t>Total Cost of Right to Use Assets - Operating Leases</t>
  </si>
  <si>
    <t>Restatement - Right to Use Assets/Capital Leases</t>
  </si>
  <si>
    <t>*Restatement- Right to Use Assets/Operating Leases</t>
  </si>
  <si>
    <t>Restatement Amount for Right to Use Assets to be reported on WS 430G</t>
  </si>
  <si>
    <t>* Right to Use Asset cost related Operating Leases is the restatement amount to be reported on the ws 430G.</t>
  </si>
  <si>
    <t>Total Tangible CapitalAssets (prior to reclass)</t>
  </si>
  <si>
    <t>Total employed Department of Commerce</t>
  </si>
  <si>
    <t>Construction value excluding design fee</t>
  </si>
  <si>
    <t>Total students K12</t>
  </si>
  <si>
    <t>Combination hunting fishing licenses sold</t>
  </si>
  <si>
    <t>Number of students annualized FTE</t>
  </si>
  <si>
    <t>Number of certificates and degrees awarded CC</t>
  </si>
  <si>
    <t>Number of regular term students FTE</t>
  </si>
  <si>
    <t>Cases disposed as a percent of cases filed Superior Court</t>
  </si>
  <si>
    <t>Number of certificates and degrees awarded UNC</t>
  </si>
  <si>
    <t>Cases disposed as a percent of cases filed District Court</t>
  </si>
  <si>
    <t>Motor Fuel Rejection Rate</t>
  </si>
  <si>
    <t>Retail Scale Rejection Rate</t>
  </si>
  <si>
    <t>Clients served through Work First</t>
  </si>
  <si>
    <t>Capitalization Policy - *Assets Other Than Leases*</t>
  </si>
  <si>
    <t>Intangible assets (except for internally generated computer software &amp; leases) – $100,000;</t>
  </si>
  <si>
    <t>and all other capital assets - $5,000</t>
  </si>
  <si>
    <t>Capitalization Policy - *Leases Only*</t>
  </si>
  <si>
    <t xml:space="preserve">The OSC capitalization threshold for leases in the primary government is $10,000 or greater of the future </t>
  </si>
  <si>
    <t>lease payments through the lease term. Component units may choose a different threshold.</t>
  </si>
  <si>
    <t>Do you use the above threshold to capitalize lease assets?</t>
  </si>
  <si>
    <r>
      <t xml:space="preserve">AMORTIZATION </t>
    </r>
    <r>
      <rPr>
        <sz val="9"/>
        <rFont val="Arial"/>
        <family val="2"/>
      </rPr>
      <t>(STATE TREASURER, TRANSPORTATION, ENTERPRISE FUNDS, AND COMPONENT UNITS ONLY)</t>
    </r>
  </si>
  <si>
    <t xml:space="preserve">Worksheet 616 "Due From" agrees with Worksheet 905 </t>
  </si>
  <si>
    <t xml:space="preserve">Worksheet 616 "Due To" agrees with Worksheet 905 </t>
  </si>
  <si>
    <t>Worksheet 710 is in balance</t>
  </si>
  <si>
    <t>Worksheet 720 is in balance</t>
  </si>
  <si>
    <t>Worksheet 725 question is answered appropriately (Y/N/N-A)</t>
  </si>
  <si>
    <t>Worksheet 725 question if answered "YES"</t>
  </si>
  <si>
    <t>Worksheet 755 first question answered appropriately (Y/N)</t>
  </si>
  <si>
    <t>Worksheet 755 second question answered appropriately (Y/N)</t>
  </si>
  <si>
    <t>Worksheet 765 question A answered appropriately (Y/N)</t>
  </si>
  <si>
    <t>Worksheet 765 question B answered appropriately (Y/N)</t>
  </si>
  <si>
    <t>Worksheet 906-6B in balance</t>
  </si>
  <si>
    <t>Worksheet 906-6C in balance</t>
  </si>
  <si>
    <t>Worksheet 906-6BC in balance</t>
  </si>
  <si>
    <t>UR_BegBal</t>
  </si>
  <si>
    <t>UR_IncrInUnRev</t>
  </si>
  <si>
    <t>UR_PYearUnRevErnInCurYr</t>
  </si>
  <si>
    <t>UR_WrtOfUnclAmts</t>
  </si>
  <si>
    <t>UR_Motor fuels tax</t>
  </si>
  <si>
    <t>WS 620 Revenue Captions</t>
  </si>
  <si>
    <t>Select Revenue Statement Caption (Click here)</t>
  </si>
  <si>
    <t>UR_Alcoholic beverage tax</t>
  </si>
  <si>
    <t>UR_Corporate income tax</t>
  </si>
  <si>
    <t>UR_Estate tax</t>
  </si>
  <si>
    <t>UR_Gift tax</t>
  </si>
  <si>
    <t>UR_Manufacturing tax</t>
  </si>
  <si>
    <t>UR_Other taxes</t>
  </si>
  <si>
    <t>UR_Privilege license tax</t>
  </si>
  <si>
    <t>UR_Scrap tire disposal tax</t>
  </si>
  <si>
    <t>UR_Solid waste disposal tax</t>
  </si>
  <si>
    <t>UR_Unauthorized substance tax</t>
  </si>
  <si>
    <t>UR_White goods disposal tax</t>
  </si>
  <si>
    <t>UR_Federal funds</t>
  </si>
  <si>
    <t>UR_Interest earnings</t>
  </si>
  <si>
    <t>UR_Local funds</t>
  </si>
  <si>
    <t>UR_Fees licenses and fines</t>
  </si>
  <si>
    <t>UR_Miscellaneous revenue</t>
  </si>
  <si>
    <t>UR_Sales and services</t>
  </si>
  <si>
    <t>UR_Franchise tax</t>
  </si>
  <si>
    <t>UR_Highway use tax</t>
  </si>
  <si>
    <t>UR_Insurance tax</t>
  </si>
  <si>
    <t>UR_Reimbursements</t>
  </si>
  <si>
    <t>UR_Sales and use tax</t>
  </si>
  <si>
    <t>UR_Tobacco products tax</t>
  </si>
  <si>
    <t>UR_Tobacco settlement</t>
  </si>
  <si>
    <t>c)</t>
  </si>
  <si>
    <t>ACFR Package Narratives</t>
  </si>
  <si>
    <t>Complete the ACFR Package Narratives, as applicable (see separate WORD file).</t>
  </si>
  <si>
    <r>
      <t>ALL updates made to the package after</t>
    </r>
    <r>
      <rPr>
        <sz val="10.5"/>
        <color rgb="FFFF0000"/>
        <rFont val="Times New Roman"/>
        <family val="1"/>
      </rPr>
      <t xml:space="preserve"> April 29, 2022</t>
    </r>
    <r>
      <rPr>
        <sz val="10.5"/>
        <rFont val="Times New Roman"/>
        <family val="1"/>
      </rPr>
      <t xml:space="preserve">, will be listed on the "Pkg Updates" tab.  </t>
    </r>
  </si>
  <si>
    <t xml:space="preserve">For each individual project with a CIP, CSID, or PID balance of $25 million or more at 6/30/2022, complete the schedule in an attached "ACFR Package Narrative".  For all remaining projects below the threshold, provide   </t>
  </si>
  <si>
    <t>A general description of the impairment in attached "ACFR Package Narratives".</t>
  </si>
  <si>
    <r>
      <t>disclosures should be provided in the attached ACFR</t>
    </r>
    <r>
      <rPr>
        <b/>
        <u/>
        <sz val="10"/>
        <rFont val="Arial"/>
        <family val="2"/>
      </rPr>
      <t xml:space="preserve"> Package Narratives</t>
    </r>
    <r>
      <rPr>
        <sz val="10"/>
        <rFont val="Arial"/>
        <family val="2"/>
      </rPr>
      <t>.</t>
    </r>
  </si>
  <si>
    <t xml:space="preserve">Primary government agency/lease amount </t>
  </si>
  <si>
    <r>
      <t xml:space="preserve">guidelines listed above in the </t>
    </r>
    <r>
      <rPr>
        <b/>
        <sz val="10"/>
        <rFont val="Arial"/>
        <family val="2"/>
      </rPr>
      <t>ACFR Package Narratives Worksheet 345.</t>
    </r>
  </si>
  <si>
    <r>
      <t xml:space="preserve">       or in the </t>
    </r>
    <r>
      <rPr>
        <b/>
        <sz val="10"/>
        <rFont val="Arial"/>
        <family val="2"/>
      </rPr>
      <t>ACFR Package narratives Worksheet 345.</t>
    </r>
  </si>
  <si>
    <t>Changes for 2022/Comments</t>
  </si>
  <si>
    <t>Do not delete rows or columns on worksheets as macros have been added to some of the worksheets.</t>
  </si>
  <si>
    <t xml:space="preserve">Do not delete any worksheets, even if they are NA for your entity. Macros have been added to worksheets and </t>
  </si>
  <si>
    <t>deleting worksheets will negatively impact the macros.</t>
  </si>
  <si>
    <r>
      <t xml:space="preserve">As part of the statewide ACFR compilation for GASB 68, OSC is required to report the </t>
    </r>
    <r>
      <rPr>
        <b/>
        <sz val="10"/>
        <color theme="1"/>
        <rFont val="Arial"/>
        <family val="2"/>
      </rPr>
      <t>TSERS'</t>
    </r>
    <r>
      <rPr>
        <sz val="10"/>
        <color theme="1"/>
        <rFont val="Arial"/>
        <family val="2"/>
      </rPr>
      <t xml:space="preserve"> </t>
    </r>
  </si>
  <si>
    <r>
      <t xml:space="preserve">As part of the statewide ACFR compilation for GASB 75, OSC is required to report the </t>
    </r>
    <r>
      <rPr>
        <b/>
        <sz val="10"/>
        <color theme="1"/>
        <rFont val="Arial"/>
        <family val="2"/>
      </rPr>
      <t>RHBF</t>
    </r>
    <r>
      <rPr>
        <sz val="10"/>
        <color theme="1"/>
        <rFont val="Arial"/>
        <family val="2"/>
      </rPr>
      <t xml:space="preserve"> </t>
    </r>
  </si>
  <si>
    <r>
      <t xml:space="preserve">As part of the statewide ACFR compilation for GASB 75, OSC is required to report the </t>
    </r>
    <r>
      <rPr>
        <b/>
        <sz val="10"/>
        <color theme="1"/>
        <rFont val="Arial"/>
        <family val="2"/>
      </rPr>
      <t>DIPNC</t>
    </r>
    <r>
      <rPr>
        <sz val="10"/>
        <color theme="1"/>
        <rFont val="Arial"/>
        <family val="2"/>
      </rPr>
      <t xml:space="preserve"> </t>
    </r>
  </si>
  <si>
    <t>Also see ACFR worksheet instructions.</t>
  </si>
  <si>
    <t xml:space="preserve">the reasons thereof in the attached ACFR Package Narratives. </t>
  </si>
  <si>
    <r>
      <t xml:space="preserve">required disclosures should be provided in the attached </t>
    </r>
    <r>
      <rPr>
        <b/>
        <u/>
        <sz val="10"/>
        <rFont val="Arial"/>
        <family val="2"/>
      </rPr>
      <t>ACFR Package Narratives</t>
    </r>
    <r>
      <rPr>
        <sz val="10"/>
        <rFont val="Arial"/>
        <family val="2"/>
      </rPr>
      <t>.</t>
    </r>
  </si>
  <si>
    <t>Lisa Rash</t>
  </si>
  <si>
    <t>Describe each restricted net position identified below in the ACFR Narrative worksheet.  See instructions for more detail.</t>
  </si>
  <si>
    <t>During the past fiscal year, has your agency had any material violations of finance-related legal and contractual provisions?  Examples of such violations may be in connection with grant requirements, bond covenants, and laws/regulations governing deposits and investments.    If the answer is yes, please disclose the following below on this worksheet -- a description of the violation and the actions taken by your agency to correct the violation.  If material violations that may impact the current year ACFR have been disclosed in your agency's audit report issued by Office of the State Auditor or other auditors, then summarize the violation below on this worksheet.</t>
  </si>
  <si>
    <t>2000</t>
  </si>
  <si>
    <t>3000</t>
  </si>
  <si>
    <t>538CAA</t>
  </si>
  <si>
    <t>538FAA*</t>
  </si>
  <si>
    <t>*Note: 538FAA accounts are only used by the Department of Public Safety.</t>
  </si>
  <si>
    <t>Financial Reporting Update for GASB 83.</t>
  </si>
  <si>
    <t>For Beginning Net position:
Ending Net Position per 2021 ACFR</t>
  </si>
  <si>
    <t>Source for 2021 ending net position</t>
  </si>
  <si>
    <t>Right to Use Lease Asset-Land</t>
  </si>
  <si>
    <t>Right to Use Lease Asset-Buildings</t>
  </si>
  <si>
    <t>Right to Use Lease Asset-Machinery and Equipment</t>
  </si>
  <si>
    <t>Right to Use Lease Asset-General infrastructure</t>
  </si>
  <si>
    <t>Deferred inflows of resources for lease agreements</t>
  </si>
  <si>
    <t>Other Purposes *NA for Universities*</t>
  </si>
  <si>
    <t>Other purposes *NA for Universities*</t>
  </si>
  <si>
    <t>Noncapital contributions</t>
  </si>
  <si>
    <t>Ending balances per 2021 ACFR</t>
  </si>
  <si>
    <t>Balances 6/30/21 per ws 310, Column E:</t>
  </si>
  <si>
    <t>Note by SRJ on 3/31/2022:  Prior Year balances have been updated.  Net position has been reconciled to the 2021 ACFR. See journal entries for more information. All entries incorporated into beginning balances were corrective in nature.</t>
  </si>
  <si>
    <t>New FY2022</t>
  </si>
  <si>
    <t>New FY2022-NA for Universities</t>
  </si>
  <si>
    <t>Agreed to total per WTB for UNC System (UNC System Total WTB after adjustments, Note 18 tab).  SRJ 3/31/2022</t>
  </si>
  <si>
    <t xml:space="preserve">Note: The ending net position per 2021 ACFR must be used as beginning net position for the 2022 ACFR. Any difference must be keyed on the Restatements line and explained on worksheet 430. </t>
  </si>
  <si>
    <t>Updated UNC System amounts - SRJ 3/31/22</t>
  </si>
  <si>
    <t>Updated Def. Comp and 401(k) amounts - JRK 3/14/22</t>
  </si>
  <si>
    <t xml:space="preserve">Component Unit/ lease amount </t>
  </si>
  <si>
    <t xml:space="preserve">Component Unit /lease receivable amount </t>
  </si>
  <si>
    <t>If your agency has any impaired capital assets including right to use leased assets, provide</t>
  </si>
  <si>
    <t>a.) If you answered yes, please provide the following information for capital leases reclassed to a right to use asset in FY 2022.</t>
  </si>
  <si>
    <t>8.</t>
  </si>
  <si>
    <r>
      <t>Additional disclosures are required in the attached</t>
    </r>
    <r>
      <rPr>
        <b/>
        <u/>
        <sz val="9.75"/>
        <rFont val="Arial"/>
        <family val="2"/>
      </rPr>
      <t xml:space="preserve"> ACFR Package Narratives</t>
    </r>
    <r>
      <rPr>
        <b/>
        <sz val="9.75"/>
        <rFont val="Arial"/>
        <family val="2"/>
      </rPr>
      <t xml:space="preserve">. </t>
    </r>
  </si>
  <si>
    <t xml:space="preserve">Did you report lease receivables in your financial statements?  </t>
  </si>
  <si>
    <r>
      <t xml:space="preserve">If yes, additional disclosures are required in the attached </t>
    </r>
    <r>
      <rPr>
        <b/>
        <u/>
        <sz val="9.75"/>
        <rFont val="Arial"/>
        <family val="2"/>
      </rPr>
      <t>ACFR Package Narratives</t>
    </r>
    <r>
      <rPr>
        <b/>
        <sz val="9.75"/>
        <rFont val="Arial"/>
        <family val="2"/>
      </rPr>
      <t xml:space="preserve">. </t>
    </r>
  </si>
  <si>
    <t>For right to use leased assets - disclose the impairment loss and any related change</t>
  </si>
  <si>
    <t xml:space="preserve"> in the lease liability in the attached "ACFR Package Narratives".</t>
  </si>
  <si>
    <t>101.5 - Statewide Accounting Policy - Fund Balance Reporting | NC OSC</t>
  </si>
  <si>
    <t>Worksheet 101 question #2b answered appropriately (Y/N)</t>
  </si>
  <si>
    <t>Worksheet 101 question #2b filled out if answered "NO"</t>
  </si>
  <si>
    <t>Worksheet 101 question #2c filled in</t>
  </si>
  <si>
    <t>Worksheet 203 question #4 answered appropriately (Y/N)</t>
  </si>
  <si>
    <t>Worksheet 203 question #5 answered appropriately (Y/N)</t>
  </si>
  <si>
    <t>Worksheet 305 anawered appropriately (Y/N)</t>
  </si>
  <si>
    <t>Worksheet 301 Lease with another Component Unit question answered appropriately</t>
  </si>
  <si>
    <t>Worksheet 301 amount identified if applicable</t>
  </si>
  <si>
    <t>Worksheet 301 Lease with another Primary Gov't Agency of State  question answered appropriately</t>
  </si>
  <si>
    <t>Worksheet 301 Lease  Rec with another Component Unit question answered appropriately</t>
  </si>
  <si>
    <t>Worksheet 301 Lease  Rec with another Prim Gov't Agency of State question answered appropriately</t>
  </si>
  <si>
    <t>Worksheet 301 Lease Receivables in Financial Statements</t>
  </si>
  <si>
    <r>
      <t xml:space="preserve">Worksheet 905 Net position between Statement of Net Position and O/S are equal </t>
    </r>
    <r>
      <rPr>
        <b/>
        <sz val="8"/>
        <color rgb="FFFF0000"/>
        <rFont val="Arial"/>
        <family val="2"/>
      </rPr>
      <t>(Only required for Universities)</t>
    </r>
  </si>
  <si>
    <t>Amanda Nash</t>
  </si>
  <si>
    <t>(336) 334-5180</t>
  </si>
  <si>
    <t>Wendy Emerson</t>
  </si>
  <si>
    <t>(336) 770-3304</t>
  </si>
  <si>
    <t>Larry Price</t>
  </si>
  <si>
    <t>919-447-7807</t>
  </si>
  <si>
    <t>Elizabeth Moreno</t>
  </si>
  <si>
    <t>(984) 236-0082</t>
  </si>
  <si>
    <t>DP Singla</t>
  </si>
  <si>
    <t>(919) 707-0081</t>
  </si>
  <si>
    <t>NEW FY2022</t>
  </si>
  <si>
    <t>See below. NEW FY2021</t>
  </si>
  <si>
    <t xml:space="preserve">115300 LEASE RECEIVABLE </t>
  </si>
  <si>
    <t>125300 LEASE RECEIVABLE</t>
  </si>
  <si>
    <t>127001  RTU LAND &amp; PERMANET EASEMENTS</t>
  </si>
  <si>
    <t>New account FY2022</t>
  </si>
  <si>
    <t>RTU Buildings</t>
  </si>
  <si>
    <t>127101 RTU BUILDINGS</t>
  </si>
  <si>
    <t>RTU Machinery &amp; Equipment</t>
  </si>
  <si>
    <t>127350 RTU MACHINERY &amp; EQUIPMENT</t>
  </si>
  <si>
    <t>RTU General Infrastructure</t>
  </si>
  <si>
    <t>127295 RTU GENERAL INFRASTRUCTURE</t>
  </si>
  <si>
    <t>RTU Land and permanent Easements</t>
  </si>
  <si>
    <t>127970 ACCUM DEPREC-RTU LAND</t>
  </si>
  <si>
    <t>127971 ACCUM DEPREC-RTU BUILDINGS</t>
  </si>
  <si>
    <t xml:space="preserve">127972 ACCUM DEPREC-RTU MACHINERY &amp; EQUIP </t>
  </si>
  <si>
    <t>127973 ACCUM DEPREC-RTU GENERAL INFRASTRUCTURE</t>
  </si>
  <si>
    <t>Lease liability *</t>
  </si>
  <si>
    <t>Name Change FY2022</t>
  </si>
  <si>
    <t>Name change FY2022</t>
  </si>
  <si>
    <t>214100 LEASES PAYABLE</t>
  </si>
  <si>
    <t>224100 LEASES PAYABLE</t>
  </si>
  <si>
    <t xml:space="preserve">  Deferred inflows Lease Agreements</t>
  </si>
  <si>
    <t>229208 DEFERRED INFLOWS FOR LEASE AGREEMENTS</t>
  </si>
  <si>
    <t>New Account FY2022</t>
  </si>
  <si>
    <t>437213 PROCEEDS-LEASES</t>
  </si>
  <si>
    <r>
      <t xml:space="preserve">moved from unclass for 2005-2006; </t>
    </r>
    <r>
      <rPr>
        <sz val="10"/>
        <color rgb="FFFF0000"/>
        <rFont val="Arial"/>
        <family val="2"/>
      </rPr>
      <t>New acct title FY2022</t>
    </r>
  </si>
  <si>
    <t>535313 LEASE PRINCIPLE PAYMENTS</t>
  </si>
  <si>
    <t>534140 RTU LAND AND PERM EASE</t>
  </si>
  <si>
    <t>534240 RTU BUILDINGS</t>
  </si>
  <si>
    <t>534425 RTU GENERAL INFRASTRUCTURE</t>
  </si>
  <si>
    <t>534560 RTU MACHINERY AND EQUIPMENT</t>
  </si>
  <si>
    <r>
      <t xml:space="preserve">moved from unclass for 2005-2006; </t>
    </r>
    <r>
      <rPr>
        <sz val="10"/>
        <color rgb="FFFF0000"/>
        <rFont val="Arial"/>
        <family val="2"/>
      </rPr>
      <t>new acct title FY2022</t>
    </r>
  </si>
  <si>
    <t>437128 LEASE INTEREST</t>
  </si>
  <si>
    <t>535323 LEASE INTEREST PAYMENTS</t>
  </si>
  <si>
    <t>See below NEW FY2021</t>
  </si>
  <si>
    <t>NEW FY2020, account caption changed FY2021</t>
  </si>
  <si>
    <t>Updated for FY 2022</t>
  </si>
  <si>
    <t>432KAA, 432LAA, 432GAA, 432SAA (NEW FY2021)</t>
  </si>
  <si>
    <t>Jeff Witherow</t>
  </si>
  <si>
    <t>Tonia Mattocks</t>
  </si>
  <si>
    <t>(919) 807-6027</t>
  </si>
  <si>
    <t>David Steinbicker</t>
  </si>
  <si>
    <t>(828) 227-3112</t>
  </si>
  <si>
    <t xml:space="preserve">Do you have a lease with a component unit of the State? </t>
  </si>
  <si>
    <t>Confirm lease liability reported on line 58 above with the Lessor's lease receivable.</t>
  </si>
  <si>
    <t>Contact Name/email</t>
  </si>
  <si>
    <t xml:space="preserve">Date Confirmed </t>
  </si>
  <si>
    <t xml:space="preserve">Component units only - Do you have a lease with a primary government agency of the State? </t>
  </si>
  <si>
    <t>If yes, provide the component unit the lease is with and the amount of the lease.</t>
  </si>
  <si>
    <t>If yes, provide the primary government agency the lease is with and the amount of the lease.</t>
  </si>
  <si>
    <t xml:space="preserve">   Yes</t>
  </si>
  <si>
    <t>If yes, provide the component unit the lease receivable is with and the amount of the receivable.</t>
  </si>
  <si>
    <t xml:space="preserve">Component units only -Do you have a lease receivable with a primary government agency of the State? </t>
  </si>
  <si>
    <t>Confirm lease liability reported on line 65 above with the Lessor's lease receivable.</t>
  </si>
  <si>
    <t>If yes, provide the primary government agency the lease receivable is with and the amount of the lease receivable.</t>
  </si>
  <si>
    <t>Confirm lease receivable reported on line 86 above with the Lessee's lease liability.</t>
  </si>
  <si>
    <t>Confirm lease receivable reported on line 79 above with the Lessee's lease liability.</t>
  </si>
  <si>
    <t>WS 301</t>
  </si>
  <si>
    <t>Lessor section- Added question on line 80 and 81, line 87 and 88, for primary government agency lessors that have a lease with a component unit and for component unit lessors that have  a lease with a primary government agency to confirm the lease receivable reported is in agreement with the Lessee's lease liability.  The lessor will provide a contact and email address of who the amount was confirmed with along with the date confirmed.</t>
  </si>
  <si>
    <t>Lessee section- Added question on line 59 and 60, line 66 and 67, for primary government agency lessees that have a lease with a component unit and for component unit lessees that have  a lease with a primary government agency to confirm the lease liability reported is in agreement with the Lessor's lease receivable.  The lessee will provide a contact and email address of who the amount was confirmed with along with the date confirmed.</t>
  </si>
  <si>
    <t>WS 420</t>
  </si>
  <si>
    <t>Provided additional information related to the calculation of "Net Investment in Capital Assets" in a note to consider GASB 87 Right to use lease assets, along with the accompanying reduction for the lease liabilities.</t>
  </si>
  <si>
    <t>Joanie Saucier</t>
  </si>
  <si>
    <t>**NOTE:  For FY 2022, the calculation for "Net Investment in Capital Assets" includes the sum of nondepreciable and net, depreciable capital assets (which includes the new right to use lease assets with the implementation of GASB 87), reduced by any capital debt, including the lease liabilities associated with the right to use lease assets.</t>
  </si>
  <si>
    <r>
      <rPr>
        <b/>
        <sz val="10"/>
        <rFont val="Arial"/>
        <family val="2"/>
      </rPr>
      <t>**</t>
    </r>
    <r>
      <rPr>
        <sz val="10"/>
        <rFont val="Arial"/>
        <family val="2"/>
      </rPr>
      <t>Net Investment in Capital Assets</t>
    </r>
  </si>
  <si>
    <t>joan.fontes@nctreasurer.com</t>
  </si>
  <si>
    <t>dp.singla@ncwildlife.org</t>
  </si>
  <si>
    <t>awnash@uncg.edu</t>
  </si>
  <si>
    <t>iannuccih@uncw.edu</t>
  </si>
  <si>
    <t>jhouse@centauth.com</t>
  </si>
  <si>
    <t>lisa.culbreth@labor.nc.gov</t>
  </si>
  <si>
    <t>anita.bunch@ncdor.gov</t>
  </si>
  <si>
    <t>ashley.price@osc.nc.gov</t>
  </si>
  <si>
    <t>jacqueline.mckoy@ncdor.gov</t>
  </si>
  <si>
    <t>natasha.farrington@osc.nc.gov</t>
  </si>
  <si>
    <t>jamisondt@appstate.edu</t>
  </si>
  <si>
    <t>mark_stohlman@ncbiotech.org</t>
  </si>
  <si>
    <t>esmith@goldenleaf.org</t>
  </si>
  <si>
    <t>jeff.witherow@ncagr.gov</t>
  </si>
  <si>
    <t>tonia.mattocks@ncdoi.gov</t>
  </si>
  <si>
    <t>Shirley.Trollinger@ncdenr.gov</t>
  </si>
  <si>
    <t>Lori.Oldham@ncdcr.gov</t>
  </si>
  <si>
    <t>burckley@ncat.edu</t>
  </si>
  <si>
    <t>bdsteinbicker@email.wcu.edu</t>
  </si>
  <si>
    <t>providence.hakizimana@osbm.nc.gov</t>
  </si>
  <si>
    <t>malinda.peters@ncleg.gov</t>
  </si>
  <si>
    <t>dkdryer@northcarolina.edu</t>
  </si>
  <si>
    <t>grknight@ecsu.edu</t>
  </si>
  <si>
    <t>lgriffin@ncseaa.edu</t>
  </si>
  <si>
    <t>Joanne Jones</t>
  </si>
  <si>
    <t>jonesjn@wssu.edu</t>
  </si>
  <si>
    <t>cdcrepps973@alamancecc.edu</t>
  </si>
  <si>
    <t>kristabellcertain@abtech.edu</t>
  </si>
  <si>
    <t>gay.edwards@BeaufortCCC.edu</t>
  </si>
  <si>
    <t>ljacobs@bladencc.edu</t>
  </si>
  <si>
    <t>carolyna@blueridge.edu</t>
  </si>
  <si>
    <t>culpeppers@brunswickcc.edu</t>
  </si>
  <si>
    <t>dholman@cccti.edu</t>
  </si>
  <si>
    <t>lcolley@cfcc.edu</t>
  </si>
  <si>
    <t>cumbied@carteret.edu</t>
  </si>
  <si>
    <t>sswanson109@cvcc.edu</t>
  </si>
  <si>
    <t>bbrid219@cccc.edu</t>
  </si>
  <si>
    <t>lauren.gates@cpcc.edu</t>
  </si>
  <si>
    <t>bolingp@clevelandcc.edu</t>
  </si>
  <si>
    <t>stilesm@coastalcarolina.edu</t>
  </si>
  <si>
    <t>susan_gentry@albemarle.edu</t>
  </si>
  <si>
    <t>jennifer_starsick@davidsondavie.edu</t>
  </si>
  <si>
    <t>kleitsch@durhamtech.edu</t>
  </si>
  <si>
    <t>twittyp@edgecombe.edu</t>
  </si>
  <si>
    <t>deaverr@faytechcc.edu</t>
  </si>
  <si>
    <t>kalexander@forsythtech.edu</t>
  </si>
  <si>
    <t>alman.shelly@gaston.edu</t>
  </si>
  <si>
    <t>klriffe@gtcc.edu</t>
  </si>
  <si>
    <t>ssmith640@halifaxcc.edu</t>
  </si>
  <si>
    <t>cmedford@haywood.edu</t>
  </si>
  <si>
    <t>apenson@isothermal.edu</t>
  </si>
  <si>
    <t>LMoore@jamessprunt.edu</t>
  </si>
  <si>
    <t>dgwebb@johnstoncc.edu</t>
  </si>
  <si>
    <t>jdgibbs27@lenoircc.edu</t>
  </si>
  <si>
    <t>tammy.bailey@martincc.edu</t>
  </si>
  <si>
    <t>crenfro@mayland.edu</t>
  </si>
  <si>
    <t>dickmauney@mcdowelltech.edu</t>
  </si>
  <si>
    <t>jharris@mitchellcc.edu</t>
  </si>
  <si>
    <t>luckt@montgomery.edu</t>
  </si>
  <si>
    <t>cjdornseif810@nashcc.edu</t>
  </si>
  <si>
    <t>sraby@pamlicocc.edu</t>
  </si>
  <si>
    <t>Beverly.murphy@piedmontcc.edu</t>
  </si>
  <si>
    <t>apeaden@email.pittcc.edu</t>
  </si>
  <si>
    <t>cebiby@randolph.edu</t>
  </si>
  <si>
    <t>dccashwell@richmondcc.edu</t>
  </si>
  <si>
    <t>carriedouglas8479@roanokechowan.edu</t>
  </si>
  <si>
    <t>lnavarrete@robeson.edu</t>
  </si>
  <si>
    <t>mooreg6174@rockinghamcc.edu</t>
  </si>
  <si>
    <t>Norma.brice@rccc.edu</t>
  </si>
  <si>
    <t>kjackson@sampsoncc.edu</t>
  </si>
  <si>
    <t>dupontm@sandhills.edu</t>
  </si>
  <si>
    <t>jricketts2@spcc.edu</t>
  </si>
  <si>
    <t>donna.turbeville@sccnc.edu</t>
  </si>
  <si>
    <t>kbradshaw9661@stanly.edu</t>
  </si>
  <si>
    <t>martint@surry.edu</t>
  </si>
  <si>
    <t>bvespasian@tricountycc.edu</t>
  </si>
  <si>
    <t>hirthl@vgcc.edu</t>
  </si>
  <si>
    <t>mltart@waketech.edu</t>
  </si>
  <si>
    <t>aswoodard@waynecc.edu</t>
  </si>
  <si>
    <t>marney@wpcc.edu</t>
  </si>
  <si>
    <t>cahuffman078@wilkescc.edu</t>
  </si>
  <si>
    <t xml:space="preserve">Priscilla Roberts </t>
  </si>
  <si>
    <t>pkroberts@sosnc.gov</t>
  </si>
  <si>
    <t>(919) 814-5321</t>
  </si>
  <si>
    <t>sue.kearney@dpi.nc.gov</t>
  </si>
  <si>
    <t>Joe Wilson</t>
  </si>
  <si>
    <t>jgwilson@ncdot.gov</t>
  </si>
  <si>
    <t>ann.anderson@osc.nc.gov</t>
  </si>
  <si>
    <t>Mrobe138@uncc.edu</t>
  </si>
  <si>
    <t>michelle.donegain@uncp.edu</t>
  </si>
  <si>
    <t>MJeng@ncrr.com</t>
  </si>
  <si>
    <t>(919) 707-4290</t>
  </si>
  <si>
    <t>elizabeth.moreno@doa.nc.gov</t>
  </si>
  <si>
    <t>rachel_mcdonald@ncauditor.net</t>
  </si>
  <si>
    <t>cheryl.davis@commerce.nc.gov</t>
  </si>
  <si>
    <t>elizabeth.haynes@ncdr.gov</t>
  </si>
  <si>
    <t>englebright@ncssm.edu</t>
  </si>
  <si>
    <t>emersonw@uncsa.edu</t>
  </si>
  <si>
    <t>larry.price@edpnc.com</t>
  </si>
  <si>
    <t>jsjones@wilsoncc.edu</t>
  </si>
  <si>
    <t>Mlongobardi@ncdoj.gov</t>
  </si>
  <si>
    <t>Prabha.Vijayaraghavan@oah.nc.gov</t>
  </si>
  <si>
    <t>jbrady@ncsu.edu</t>
  </si>
  <si>
    <t>Antonio.McDaniel@nccu.edu</t>
  </si>
  <si>
    <t>jklenke@gbmcpas.com</t>
  </si>
  <si>
    <t>Christine Sachs</t>
  </si>
  <si>
    <t>sachsc@cravencc.edu</t>
  </si>
  <si>
    <t>bmcandre@email.unc.edu</t>
  </si>
  <si>
    <t>cottlej@communitycolleges.edu</t>
  </si>
  <si>
    <t>(252)775-6186</t>
  </si>
  <si>
    <t>tdwarren1@ncdot.gov</t>
  </si>
  <si>
    <t>Terry.Dail@ncports.com</t>
  </si>
  <si>
    <t>Jason Dearman</t>
  </si>
  <si>
    <t>(919) 594-7781</t>
  </si>
  <si>
    <t>jason.dearman@nc.gov</t>
  </si>
  <si>
    <t>(919) 301-3531</t>
  </si>
  <si>
    <t>Daniel Honeycutt</t>
  </si>
  <si>
    <t>daniel.honeycutt_lotterync.net</t>
  </si>
  <si>
    <t>mhall7@unca.edu</t>
  </si>
  <si>
    <t>Jennifer Addison</t>
  </si>
  <si>
    <t>jaddison1@uncfsu.edu</t>
  </si>
  <si>
    <t>Corrected data validation criteria for correct transfer account usage on worksheets.</t>
  </si>
  <si>
    <t>WS 550/555</t>
  </si>
  <si>
    <t>01 North Carolina General Assembly</t>
  </si>
  <si>
    <t>Steve Strickland</t>
  </si>
  <si>
    <t>(252) 737-4916</t>
  </si>
  <si>
    <t>stricklands@ecu.edu</t>
  </si>
  <si>
    <t>WS 620</t>
  </si>
  <si>
    <t>Unlocked cells under title "Revenue Statement Caption" to allow for users to select from the dropdown box.  These cells were previously locked.</t>
  </si>
  <si>
    <t>Carol Martin</t>
  </si>
  <si>
    <t>c_martin@southwesterncc.edu</t>
  </si>
  <si>
    <t>All Agencies</t>
  </si>
  <si>
    <t>Changed the name of the contact for Southwestern Community College</t>
  </si>
  <si>
    <t xml:space="preserve">Corrected the Dashboard checks for tabs 120 and 425 </t>
  </si>
  <si>
    <t>WS 540\545</t>
  </si>
  <si>
    <r>
      <t>File revision date:</t>
    </r>
    <r>
      <rPr>
        <b/>
        <sz val="9"/>
        <color rgb="FFFF0000"/>
        <rFont val="Calibri"/>
        <family val="2"/>
      </rPr>
      <t xml:space="preserve"> 8/1/2022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</si>
</sst>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_);\(#,##0\);&quot;-       &quot;"/>
    <numFmt numFmtId="165" formatCode="#,###\ ;\(#,###\)"/>
    <numFmt numFmtId="166" formatCode="#,###\ ;\(#,###\);@*."/>
    <numFmt numFmtId="167" formatCode="&quot;$&quot;* #,###\ ;&quot;$&quot;* \(#,###\);&quot;$&quot;* \-\ \ \ \ \ \ "/>
    <numFmt numFmtId="168" formatCode="* #,###\ ;* \(#,###\);* \-\ \ \ \ \ \ "/>
    <numFmt numFmtId="169" formatCode="#,###\ ;\(#,###\);\ \ @*."/>
    <numFmt numFmtId="170" formatCode="#,##0.00_);\(#,##0.00\);"/>
    <numFmt numFmtId="171" formatCode=";;"/>
    <numFmt numFmtId="172" formatCode="mmmm\ d\,\ yyyy"/>
    <numFmt numFmtId="173" formatCode="#,###\ ;\(#,###\);@"/>
    <numFmt numFmtId="174" formatCode="#,##0.00_);\(#,##0.00\);&quot;&quot;"/>
    <numFmt numFmtId="175" formatCode="[&lt;=9999999]###\-####;\(###\)\ ###\-####"/>
    <numFmt numFmtId="176" formatCode="#,##0.00_);\(#,##0.00\);;"/>
    <numFmt numFmtId="177" formatCode="&quot;$&quot;#,##0.00_);\(&quot;$&quot;#,##0.00\);;"/>
    <numFmt numFmtId="178" formatCode=";;;\ @*."/>
    <numFmt numFmtId="179" formatCode="#,##0_);\(#,##0\);;"/>
    <numFmt numFmtId="180" formatCode="#,##0.00_);\(#,##0.00\);\—\ \ \ \ \ \ "/>
    <numFmt numFmtId="181" formatCode="#,##0.00_);\(#,##0.00\);* \ \-\ \ \ \ \ "/>
    <numFmt numFmtId="182" formatCode="m/d/yyyy;@"/>
    <numFmt numFmtId="183" formatCode="#,###\ ;\(#,###\);\ \ \ \ @*."/>
    <numFmt numFmtId="184" formatCode="0.00%\ ;\(0.00\)%"/>
    <numFmt numFmtId="185" formatCode="&quot;$&quot;* #,##0.00_);&quot;$&quot;* \(#,##0.00\);&quot;$&quot;* \—\ \ \ \ \ \ "/>
    <numFmt numFmtId="186" formatCode="###0_);\(###0\);;"/>
    <numFmt numFmtId="187" formatCode="&quot;$&quot;#,##0\ ;\(&quot;$&quot;#,##0\);@*."/>
    <numFmt numFmtId="188" formatCode="* #,###\ ;* \(#,###\);* \—\ \ "/>
    <numFmt numFmtId="189" formatCode="[$-409]mmmm\ d\,\ yyyy;@"/>
    <numFmt numFmtId="190" formatCode="m/d/yy;@"/>
    <numFmt numFmtId="191" formatCode="0_);\(0\)"/>
    <numFmt numFmtId="192" formatCode="* #,###\ ;* \(#,###\);@*."/>
    <numFmt numFmtId="193" formatCode="0.00_);\(0.00\)"/>
    <numFmt numFmtId="194" formatCode="_([$$-409]* #,##0.00_);_([$$-409]* \(#,##0.00\);_([$$-409]* &quot;-&quot;??_);_(@_)"/>
    <numFmt numFmtId="195" formatCode="mm/dd/yy;@"/>
    <numFmt numFmtId="196" formatCode="&quot;$&quot;#,##0"/>
    <numFmt numFmtId="197" formatCode="#,##0.00_);\(#,##0.00\);&quot;-       &quot;"/>
  </numFmts>
  <fonts count="328" x14ac:knownFonts="1">
    <font>
      <sz val="10"/>
      <name val="Arial"/>
    </font>
    <font>
      <sz val="11"/>
      <color theme="1"/>
      <name val="Calibri"/>
      <family val="2"/>
      <scheme val="minor"/>
    </font>
    <font>
      <sz val="10"/>
      <name val="Arial"/>
      <family val="2"/>
    </font>
    <font>
      <b/>
      <sz val="12"/>
      <name val="Arial"/>
      <family val="2"/>
    </font>
    <font>
      <b/>
      <sz val="10"/>
      <name val="Arial"/>
      <family val="2"/>
    </font>
    <font>
      <b/>
      <u/>
      <sz val="10"/>
      <name val="Arial"/>
      <family val="2"/>
    </font>
    <font>
      <sz val="12"/>
      <name val="Arial"/>
      <family val="2"/>
    </font>
    <font>
      <sz val="10"/>
      <name val="Arial"/>
      <family val="2"/>
    </font>
    <font>
      <sz val="10"/>
      <name val="MS Sans Serif"/>
      <family val="2"/>
    </font>
    <font>
      <b/>
      <sz val="12"/>
      <name val="Times New Roman"/>
      <family val="1"/>
    </font>
    <font>
      <sz val="12"/>
      <name val="Times New Roman"/>
      <family val="1"/>
    </font>
    <font>
      <b/>
      <sz val="9"/>
      <name val="Arial"/>
      <family val="2"/>
    </font>
    <font>
      <sz val="9"/>
      <name val="Arial"/>
      <family val="2"/>
    </font>
    <font>
      <b/>
      <sz val="10"/>
      <name val="Arial"/>
      <family val="2"/>
    </font>
    <font>
      <b/>
      <sz val="8"/>
      <name val="Arial"/>
      <family val="2"/>
    </font>
    <font>
      <sz val="8"/>
      <name val="Arial"/>
      <family val="2"/>
    </font>
    <font>
      <b/>
      <i/>
      <sz val="9"/>
      <name val="Arial"/>
      <family val="2"/>
    </font>
    <font>
      <sz val="9"/>
      <name val="Arial"/>
      <family val="2"/>
    </font>
    <font>
      <b/>
      <sz val="12"/>
      <name val="Book Antiqua"/>
      <family val="1"/>
    </font>
    <font>
      <sz val="14"/>
      <name val="Book Antiqua"/>
      <family val="1"/>
    </font>
    <font>
      <b/>
      <sz val="8"/>
      <name val="Arial"/>
      <family val="2"/>
    </font>
    <font>
      <sz val="8"/>
      <name val="Arial"/>
      <family val="2"/>
    </font>
    <font>
      <b/>
      <sz val="9"/>
      <name val="Arial"/>
      <family val="2"/>
    </font>
    <font>
      <b/>
      <u/>
      <sz val="9"/>
      <name val="Arial"/>
      <family val="2"/>
    </font>
    <font>
      <i/>
      <sz val="9"/>
      <name val="Arial"/>
      <family val="2"/>
    </font>
    <font>
      <sz val="12"/>
      <name val="Book Antiqua"/>
      <family val="1"/>
    </font>
    <font>
      <sz val="10"/>
      <name val="Book Antiqua"/>
      <family val="1"/>
    </font>
    <font>
      <sz val="9"/>
      <name val="Book Antiqua"/>
      <family val="1"/>
    </font>
    <font>
      <sz val="9.75"/>
      <name val="Arial"/>
      <family val="2"/>
    </font>
    <font>
      <i/>
      <sz val="10"/>
      <name val="Arial"/>
      <family val="2"/>
    </font>
    <font>
      <sz val="9.75"/>
      <name val="Helv"/>
    </font>
    <font>
      <b/>
      <sz val="9.75"/>
      <name val="Arial"/>
      <family val="2"/>
    </font>
    <font>
      <sz val="9"/>
      <name val="Arial Narrow"/>
      <family val="2"/>
    </font>
    <font>
      <b/>
      <sz val="9"/>
      <name val="Arial Narrow"/>
      <family val="2"/>
    </font>
    <font>
      <i/>
      <sz val="8"/>
      <name val="Arial"/>
      <family val="2"/>
    </font>
    <font>
      <b/>
      <sz val="9.75"/>
      <name val="Arial"/>
      <family val="2"/>
    </font>
    <font>
      <b/>
      <sz val="10"/>
      <name val="Arial Narrow"/>
      <family val="2"/>
    </font>
    <font>
      <sz val="9.75"/>
      <name val="Arial"/>
      <family val="2"/>
    </font>
    <font>
      <sz val="10"/>
      <name val="Helv"/>
    </font>
    <font>
      <b/>
      <i/>
      <sz val="10"/>
      <name val="Arial"/>
      <family val="2"/>
    </font>
    <font>
      <i/>
      <sz val="10"/>
      <name val="Arial"/>
      <family val="2"/>
    </font>
    <font>
      <b/>
      <sz val="16"/>
      <name val="Arial"/>
      <family val="2"/>
    </font>
    <font>
      <b/>
      <i/>
      <sz val="10"/>
      <name val="Arial"/>
      <family val="2"/>
    </font>
    <font>
      <b/>
      <sz val="10"/>
      <color indexed="9"/>
      <name val="Arial"/>
      <family val="2"/>
    </font>
    <font>
      <sz val="10"/>
      <name val="Arial Narrow"/>
      <family val="2"/>
    </font>
    <font>
      <sz val="9"/>
      <name val="Arial Narrow"/>
      <family val="2"/>
    </font>
    <font>
      <sz val="12"/>
      <name val="Helv"/>
    </font>
    <font>
      <sz val="8"/>
      <name val="Helv"/>
    </font>
    <font>
      <b/>
      <sz val="10"/>
      <name val="Helv"/>
    </font>
    <font>
      <u/>
      <sz val="10"/>
      <color indexed="12"/>
      <name val="Arial"/>
      <family val="2"/>
    </font>
    <font>
      <sz val="9.5"/>
      <name val="Arial"/>
      <family val="2"/>
    </font>
    <font>
      <sz val="12"/>
      <name val="Times New Roman"/>
      <family val="1"/>
    </font>
    <font>
      <b/>
      <sz val="12"/>
      <name val="Times New Roman"/>
      <family val="1"/>
    </font>
    <font>
      <b/>
      <u/>
      <sz val="12"/>
      <name val="Times New Roman"/>
      <family val="1"/>
    </font>
    <font>
      <b/>
      <sz val="10"/>
      <name val="Book Antiqua"/>
      <family val="1"/>
    </font>
    <font>
      <b/>
      <u val="singleAccounting"/>
      <sz val="10"/>
      <name val="Arial Narrow"/>
      <family val="2"/>
    </font>
    <font>
      <u/>
      <sz val="9"/>
      <name val="Arial"/>
      <family val="2"/>
    </font>
    <font>
      <i/>
      <u/>
      <sz val="10"/>
      <name val="Arial"/>
      <family val="2"/>
    </font>
    <font>
      <sz val="12"/>
      <name val="MS Sans Serif"/>
      <family val="2"/>
    </font>
    <font>
      <b/>
      <sz val="10"/>
      <name val="MS Sans Serif"/>
      <family val="2"/>
    </font>
    <font>
      <b/>
      <sz val="12"/>
      <name val="MS Sans Serif"/>
      <family val="2"/>
    </font>
    <font>
      <sz val="10"/>
      <color indexed="10"/>
      <name val="Arial"/>
      <family val="2"/>
    </font>
    <font>
      <b/>
      <i/>
      <u/>
      <sz val="10"/>
      <name val="Arial"/>
      <family val="2"/>
    </font>
    <font>
      <b/>
      <sz val="12"/>
      <name val="MS Sans Serif"/>
      <family val="2"/>
    </font>
    <font>
      <sz val="10"/>
      <name val="Arial"/>
      <family val="2"/>
    </font>
    <font>
      <b/>
      <sz val="10"/>
      <color indexed="18"/>
      <name val="Arial Narrow"/>
      <family val="2"/>
    </font>
    <font>
      <sz val="12"/>
      <name val="Arial"/>
      <family val="2"/>
    </font>
    <font>
      <b/>
      <sz val="10"/>
      <name val="Times New Roman"/>
      <family val="1"/>
    </font>
    <font>
      <sz val="10"/>
      <name val="Arial"/>
      <family val="2"/>
    </font>
    <font>
      <u/>
      <sz val="10"/>
      <name val="Arial"/>
      <family val="2"/>
    </font>
    <font>
      <b/>
      <sz val="10"/>
      <name val="Book Antiqua"/>
      <family val="1"/>
    </font>
    <font>
      <sz val="8"/>
      <name val="Arial Narrow"/>
      <family val="2"/>
    </font>
    <font>
      <sz val="8"/>
      <name val="Arial Narrow"/>
      <family val="2"/>
    </font>
    <font>
      <b/>
      <sz val="10"/>
      <name val="MS Sans Serif"/>
      <family val="2"/>
    </font>
    <font>
      <sz val="10"/>
      <name val="MS Sans Serif"/>
      <family val="2"/>
    </font>
    <font>
      <b/>
      <i/>
      <sz val="8"/>
      <name val="Arial"/>
      <family val="2"/>
    </font>
    <font>
      <b/>
      <sz val="11"/>
      <name val="Arial"/>
      <family val="2"/>
    </font>
    <font>
      <b/>
      <sz val="7"/>
      <name val="Arial"/>
      <family val="2"/>
    </font>
    <font>
      <sz val="10"/>
      <name val="Times New Roman"/>
      <family val="1"/>
    </font>
    <font>
      <sz val="8.5"/>
      <name val="Helv"/>
    </font>
    <font>
      <b/>
      <u/>
      <sz val="12"/>
      <name val="Arial"/>
      <family val="2"/>
    </font>
    <font>
      <b/>
      <sz val="12"/>
      <color indexed="12"/>
      <name val="Arial"/>
      <family val="2"/>
    </font>
    <font>
      <b/>
      <sz val="8"/>
      <name val="Arial Narrow"/>
      <family val="2"/>
    </font>
    <font>
      <i/>
      <sz val="8"/>
      <name val="Arial Narrow"/>
      <family val="2"/>
    </font>
    <font>
      <b/>
      <u/>
      <sz val="8"/>
      <name val="Arial"/>
      <family val="2"/>
    </font>
    <font>
      <b/>
      <u/>
      <sz val="8"/>
      <name val="Arial Narrow"/>
      <family val="2"/>
    </font>
    <font>
      <b/>
      <i/>
      <sz val="9"/>
      <name val="Arial Narrow"/>
      <family val="2"/>
    </font>
    <font>
      <vertAlign val="superscript"/>
      <sz val="8"/>
      <name val="Arial"/>
      <family val="2"/>
    </font>
    <font>
      <b/>
      <sz val="6"/>
      <name val="Arial"/>
      <family val="2"/>
    </font>
    <font>
      <sz val="7"/>
      <name val="Arial"/>
      <family val="2"/>
    </font>
    <font>
      <vertAlign val="superscript"/>
      <sz val="10"/>
      <name val="Arial"/>
      <family val="2"/>
    </font>
    <font>
      <vertAlign val="superscript"/>
      <sz val="9"/>
      <name val="Arial"/>
      <family val="2"/>
    </font>
    <font>
      <b/>
      <vertAlign val="superscript"/>
      <sz val="9"/>
      <name val="Arial"/>
      <family val="2"/>
    </font>
    <font>
      <vertAlign val="superscript"/>
      <sz val="9"/>
      <name val="Arial"/>
      <family val="2"/>
    </font>
    <font>
      <sz val="10"/>
      <color indexed="12"/>
      <name val="Arial"/>
      <family val="2"/>
    </font>
    <font>
      <b/>
      <sz val="10"/>
      <color indexed="32"/>
      <name val="Arial Narrow"/>
      <family val="2"/>
    </font>
    <font>
      <b/>
      <sz val="10"/>
      <color indexed="9"/>
      <name val="Arial Narrow"/>
      <family val="2"/>
    </font>
    <font>
      <sz val="8"/>
      <color indexed="18"/>
      <name val="Arial Narrow"/>
      <family val="2"/>
    </font>
    <font>
      <sz val="7"/>
      <name val="Arial"/>
      <family val="2"/>
    </font>
    <font>
      <sz val="8"/>
      <color indexed="10"/>
      <name val="Arial"/>
      <family val="2"/>
    </font>
    <font>
      <sz val="20"/>
      <color indexed="10"/>
      <name val="Arial"/>
      <family val="2"/>
    </font>
    <font>
      <b/>
      <sz val="8.5"/>
      <name val="Arial"/>
      <family val="2"/>
    </font>
    <font>
      <sz val="18"/>
      <color indexed="10"/>
      <name val="Arial"/>
      <family val="2"/>
    </font>
    <font>
      <b/>
      <sz val="8.5"/>
      <name val="Arial"/>
      <family val="2"/>
    </font>
    <font>
      <sz val="10"/>
      <color indexed="12"/>
      <name val="Arial"/>
      <family val="2"/>
    </font>
    <font>
      <b/>
      <i/>
      <sz val="9"/>
      <name val="Arial"/>
      <family val="2"/>
    </font>
    <font>
      <b/>
      <u/>
      <sz val="9"/>
      <name val="Arial"/>
      <family val="2"/>
    </font>
    <font>
      <i/>
      <sz val="12"/>
      <name val="Arial"/>
      <family val="2"/>
    </font>
    <font>
      <sz val="8"/>
      <name val="Times New Roman"/>
      <family val="1"/>
    </font>
    <font>
      <sz val="10"/>
      <color indexed="22"/>
      <name val="Arial"/>
      <family val="2"/>
    </font>
    <font>
      <sz val="9"/>
      <color indexed="10"/>
      <name val="Arial"/>
      <family val="2"/>
    </font>
    <font>
      <sz val="8"/>
      <name val="Arial"/>
      <family val="2"/>
    </font>
    <font>
      <b/>
      <sz val="8"/>
      <name val="Arial"/>
      <family val="2"/>
    </font>
    <font>
      <sz val="9"/>
      <name val="Arial"/>
      <family val="2"/>
    </font>
    <font>
      <sz val="11"/>
      <name val="Arial Narrow"/>
      <family val="2"/>
    </font>
    <font>
      <sz val="10"/>
      <color indexed="14"/>
      <name val="Arial"/>
      <family val="2"/>
    </font>
    <font>
      <b/>
      <sz val="10"/>
      <color indexed="12"/>
      <name val="Arial"/>
      <family val="2"/>
    </font>
    <font>
      <sz val="12"/>
      <color indexed="10"/>
      <name val="Arial"/>
      <family val="2"/>
    </font>
    <font>
      <sz val="11"/>
      <name val="Times New Roman"/>
      <family val="1"/>
    </font>
    <font>
      <sz val="10"/>
      <color indexed="8"/>
      <name val="Arial"/>
      <family val="2"/>
    </font>
    <font>
      <b/>
      <sz val="9.5"/>
      <name val="Arial"/>
      <family val="2"/>
    </font>
    <font>
      <sz val="9"/>
      <color indexed="14"/>
      <name val="Arial"/>
      <family val="2"/>
    </font>
    <font>
      <u/>
      <sz val="10"/>
      <color indexed="12"/>
      <name val="Arial"/>
      <family val="2"/>
    </font>
    <font>
      <sz val="10"/>
      <name val="MS Sans Serif"/>
      <family val="2"/>
    </font>
    <font>
      <b/>
      <sz val="18"/>
      <name val="MS Sans Serif"/>
      <family val="2"/>
    </font>
    <font>
      <sz val="12"/>
      <name val="MS Sans Serif"/>
      <family val="2"/>
    </font>
    <font>
      <sz val="10"/>
      <name val="Arial"/>
      <family val="2"/>
    </font>
    <font>
      <b/>
      <sz val="10"/>
      <name val="MS Sans Serif"/>
      <family val="2"/>
    </font>
    <font>
      <b/>
      <sz val="9"/>
      <name val="MS Sans Serif"/>
      <family val="2"/>
    </font>
    <font>
      <b/>
      <sz val="9"/>
      <name val="MS Sans Serif"/>
      <family val="2"/>
    </font>
    <font>
      <b/>
      <sz val="12"/>
      <name val="MS Sans Serif"/>
      <family val="2"/>
    </font>
    <font>
      <sz val="8"/>
      <name val="Arial"/>
      <family val="2"/>
    </font>
    <font>
      <b/>
      <i/>
      <sz val="9.5"/>
      <name val="Arial"/>
      <family val="2"/>
    </font>
    <font>
      <b/>
      <i/>
      <u/>
      <sz val="9.5"/>
      <name val="Arial"/>
      <family val="2"/>
    </font>
    <font>
      <u/>
      <sz val="12"/>
      <name val="Arial"/>
      <family val="2"/>
    </font>
    <font>
      <b/>
      <sz val="9"/>
      <color indexed="9"/>
      <name val="Arial"/>
      <family val="2"/>
    </font>
    <font>
      <sz val="10"/>
      <name val="Arial"/>
      <family val="2"/>
    </font>
    <font>
      <sz val="12"/>
      <name val="Arial Narrow"/>
      <family val="2"/>
    </font>
    <font>
      <b/>
      <i/>
      <sz val="10"/>
      <name val="Arial Narrow"/>
      <family val="2"/>
    </font>
    <font>
      <b/>
      <sz val="14"/>
      <name val="Calibri"/>
      <family val="2"/>
    </font>
    <font>
      <sz val="9"/>
      <name val="Times New Roman"/>
      <family val="1"/>
    </font>
    <font>
      <u/>
      <sz val="8"/>
      <name val="Arial"/>
      <family val="2"/>
    </font>
    <font>
      <u/>
      <sz val="7"/>
      <name val="Arial"/>
      <family val="2"/>
    </font>
    <font>
      <b/>
      <sz val="14"/>
      <name val="Arial"/>
      <family val="2"/>
    </font>
    <font>
      <vertAlign val="superscript"/>
      <sz val="11"/>
      <name val="Arial"/>
      <family val="2"/>
    </font>
    <font>
      <u/>
      <sz val="10.5"/>
      <name val="Times New Roman"/>
      <family val="1"/>
    </font>
    <font>
      <sz val="10.5"/>
      <name val="Times New Roman"/>
      <family val="1"/>
    </font>
    <font>
      <b/>
      <sz val="10.5"/>
      <name val="Times New Roman"/>
      <family val="1"/>
    </font>
    <font>
      <sz val="10.5"/>
      <name val="Arial"/>
      <family val="2"/>
    </font>
    <font>
      <u/>
      <sz val="9.75"/>
      <name val="Arial"/>
      <family val="2"/>
    </font>
    <font>
      <b/>
      <u/>
      <sz val="9.75"/>
      <name val="Arial"/>
      <family val="2"/>
    </font>
    <font>
      <b/>
      <sz val="10"/>
      <color indexed="10"/>
      <name val="Arial"/>
      <family val="2"/>
    </font>
    <font>
      <sz val="8"/>
      <color indexed="81"/>
      <name val="Tahoma"/>
      <family val="2"/>
    </font>
    <font>
      <b/>
      <sz val="8"/>
      <color indexed="81"/>
      <name val="Tahoma"/>
      <family val="2"/>
    </font>
    <font>
      <sz val="9.75"/>
      <name val="Arial Narrow"/>
      <family val="2"/>
    </font>
    <font>
      <u/>
      <sz val="12"/>
      <name val="Times New Roman"/>
      <family val="1"/>
    </font>
    <font>
      <sz val="9"/>
      <color indexed="81"/>
      <name val="Tahoma"/>
      <family val="2"/>
    </font>
    <font>
      <i/>
      <sz val="10"/>
      <name val="Arial Narrow"/>
      <family val="2"/>
    </font>
    <font>
      <b/>
      <u/>
      <sz val="10.5"/>
      <name val="Times New Roman"/>
      <family val="1"/>
    </font>
    <font>
      <b/>
      <vertAlign val="superscript"/>
      <sz val="10"/>
      <name val="Arial"/>
      <family val="2"/>
    </font>
    <font>
      <b/>
      <vertAlign val="superscript"/>
      <sz val="11"/>
      <name val="Arial"/>
      <family val="2"/>
    </font>
    <font>
      <b/>
      <u/>
      <sz val="10"/>
      <name val="Arial Narrow"/>
      <family val="2"/>
    </font>
    <font>
      <sz val="7"/>
      <color indexed="81"/>
      <name val="Tahoma"/>
      <family val="2"/>
    </font>
    <font>
      <sz val="11"/>
      <name val="Calibri"/>
      <family val="2"/>
    </font>
    <font>
      <sz val="12"/>
      <name val="Calibri"/>
      <family val="2"/>
    </font>
    <font>
      <b/>
      <sz val="8"/>
      <name val="Calibri"/>
      <family val="2"/>
    </font>
    <font>
      <vertAlign val="superscript"/>
      <sz val="10"/>
      <color indexed="8"/>
      <name val="Arial"/>
      <family val="2"/>
    </font>
    <font>
      <sz val="10"/>
      <name val="Calibri"/>
      <family val="2"/>
    </font>
    <font>
      <b/>
      <sz val="8"/>
      <color indexed="18"/>
      <name val="Arial Narrow"/>
      <family val="2"/>
    </font>
    <font>
      <sz val="8.5"/>
      <name val="Arial"/>
      <family val="2"/>
    </font>
    <font>
      <sz val="8"/>
      <name val="Arial"/>
      <family val="2"/>
    </font>
    <font>
      <b/>
      <u/>
      <sz val="9"/>
      <name val="Arial Narrow"/>
      <family val="2"/>
    </font>
    <font>
      <sz val="11"/>
      <color indexed="8"/>
      <name val="Calibri"/>
      <family val="2"/>
    </font>
    <font>
      <b/>
      <u/>
      <sz val="11"/>
      <color indexed="8"/>
      <name val="Calibri"/>
      <family val="2"/>
    </font>
    <font>
      <b/>
      <sz val="9"/>
      <color indexed="81"/>
      <name val="Tahoma"/>
      <family val="2"/>
    </font>
    <font>
      <b/>
      <u/>
      <sz val="10"/>
      <color indexed="12"/>
      <name val="Arial"/>
      <family val="2"/>
    </font>
    <font>
      <b/>
      <sz val="10"/>
      <color indexed="8"/>
      <name val="Arial"/>
      <family val="2"/>
    </font>
    <font>
      <b/>
      <i/>
      <sz val="10"/>
      <color indexed="10"/>
      <name val="Arial"/>
      <family val="2"/>
    </font>
    <font>
      <b/>
      <u/>
      <sz val="8.5"/>
      <name val="Arial"/>
      <family val="2"/>
    </font>
    <font>
      <sz val="11"/>
      <color indexed="8"/>
      <name val="Calibri"/>
      <family val="2"/>
    </font>
    <font>
      <b/>
      <sz val="11"/>
      <color indexed="8"/>
      <name val="Calibri"/>
      <family val="2"/>
    </font>
    <font>
      <sz val="10"/>
      <color indexed="14"/>
      <name val="Arial"/>
      <family val="2"/>
    </font>
    <font>
      <sz val="8"/>
      <color indexed="14"/>
      <name val="Arial"/>
      <family val="2"/>
    </font>
    <font>
      <sz val="10"/>
      <color indexed="8"/>
      <name val="Arial"/>
      <family val="2"/>
    </font>
    <font>
      <sz val="9"/>
      <color indexed="8"/>
      <name val="Arial Narrow"/>
      <family val="2"/>
    </font>
    <font>
      <b/>
      <u/>
      <sz val="10"/>
      <color indexed="8"/>
      <name val="Arial"/>
      <family val="2"/>
    </font>
    <font>
      <sz val="10"/>
      <color indexed="14"/>
      <name val="Arial"/>
      <family val="2"/>
    </font>
    <font>
      <sz val="10"/>
      <color indexed="8"/>
      <name val="Calibri"/>
      <family val="2"/>
    </font>
    <font>
      <sz val="8"/>
      <color indexed="36"/>
      <name val="Arial"/>
      <family val="2"/>
    </font>
    <font>
      <i/>
      <sz val="8"/>
      <color indexed="36"/>
      <name val="Arial"/>
      <family val="2"/>
    </font>
    <font>
      <sz val="10"/>
      <name val="Calibri"/>
      <family val="2"/>
    </font>
    <font>
      <sz val="9"/>
      <color indexed="8"/>
      <name val="Arial"/>
      <family val="2"/>
    </font>
    <font>
      <b/>
      <sz val="10"/>
      <color indexed="8"/>
      <name val="Arial"/>
      <family val="2"/>
    </font>
    <font>
      <sz val="10"/>
      <color indexed="8"/>
      <name val="Arial Narrow"/>
      <family val="2"/>
    </font>
    <font>
      <b/>
      <u/>
      <sz val="10"/>
      <color indexed="14"/>
      <name val="Arial"/>
      <family val="2"/>
    </font>
    <font>
      <sz val="10"/>
      <color indexed="30"/>
      <name val="Arial"/>
      <family val="2"/>
    </font>
    <font>
      <b/>
      <i/>
      <sz val="8"/>
      <color indexed="36"/>
      <name val="Arial"/>
      <family val="2"/>
    </font>
    <font>
      <sz val="11"/>
      <color indexed="16"/>
      <name val="Calibri"/>
      <family val="2"/>
    </font>
    <font>
      <sz val="11"/>
      <name val="Calibri"/>
      <family val="2"/>
    </font>
    <font>
      <b/>
      <sz val="11"/>
      <color indexed="10"/>
      <name val="Calibri"/>
      <family val="2"/>
    </font>
    <font>
      <b/>
      <u/>
      <sz val="11"/>
      <name val="Calibri"/>
      <family val="2"/>
    </font>
    <font>
      <sz val="11"/>
      <color indexed="10"/>
      <name val="Calibri"/>
      <family val="2"/>
    </font>
    <font>
      <sz val="11"/>
      <color indexed="12"/>
      <name val="Calibri"/>
      <family val="2"/>
    </font>
    <font>
      <b/>
      <sz val="11"/>
      <color indexed="14"/>
      <name val="Calibri"/>
      <family val="2"/>
    </font>
    <font>
      <u/>
      <sz val="11"/>
      <name val="Calibri"/>
      <family val="2"/>
    </font>
    <font>
      <b/>
      <sz val="11"/>
      <name val="Calibri"/>
      <family val="2"/>
    </font>
    <font>
      <b/>
      <sz val="9"/>
      <color indexed="9"/>
      <name val="Arial"/>
      <family val="2"/>
    </font>
    <font>
      <sz val="8"/>
      <color indexed="9"/>
      <name val="Arial"/>
      <family val="2"/>
    </font>
    <font>
      <sz val="9"/>
      <color indexed="9"/>
      <name val="Arial"/>
      <family val="2"/>
    </font>
    <font>
      <b/>
      <sz val="8"/>
      <color indexed="10"/>
      <name val="Arial"/>
      <family val="2"/>
    </font>
    <font>
      <b/>
      <sz val="11"/>
      <color indexed="16"/>
      <name val="Calibri"/>
      <family val="2"/>
    </font>
    <font>
      <sz val="8"/>
      <name val="Calibri"/>
      <family val="2"/>
    </font>
    <font>
      <sz val="8"/>
      <color indexed="10"/>
      <name val="Arial"/>
      <family val="2"/>
    </font>
    <font>
      <sz val="10.5"/>
      <name val="Calibri"/>
      <family val="2"/>
    </font>
    <font>
      <b/>
      <sz val="12"/>
      <name val="Calibri"/>
      <family val="2"/>
    </font>
    <font>
      <sz val="10.5"/>
      <color indexed="10"/>
      <name val="Calibri"/>
      <family val="2"/>
    </font>
    <font>
      <b/>
      <sz val="10.5"/>
      <name val="Calibri"/>
      <family val="2"/>
    </font>
    <font>
      <sz val="10.5"/>
      <color indexed="12"/>
      <name val="Calibri"/>
      <family val="2"/>
    </font>
    <font>
      <i/>
      <sz val="14"/>
      <color indexed="8"/>
      <name val="Arial Narrow"/>
      <family val="2"/>
    </font>
    <font>
      <sz val="9"/>
      <color indexed="12"/>
      <name val="Arial"/>
      <family val="2"/>
    </font>
    <font>
      <i/>
      <sz val="10"/>
      <color indexed="8"/>
      <name val="Arial Narrow"/>
      <family val="2"/>
    </font>
    <font>
      <u/>
      <sz val="10"/>
      <name val="Calibri"/>
      <family val="2"/>
    </font>
    <font>
      <sz val="12"/>
      <color indexed="14"/>
      <name val="Times New Roman"/>
      <family val="1"/>
    </font>
    <font>
      <sz val="8"/>
      <color indexed="28"/>
      <name val="Arial"/>
      <family val="2"/>
    </font>
    <font>
      <sz val="10"/>
      <color indexed="10"/>
      <name val="Arial"/>
      <family val="2"/>
    </font>
    <font>
      <b/>
      <sz val="10"/>
      <color indexed="30"/>
      <name val="Arial"/>
      <family val="2"/>
    </font>
    <font>
      <b/>
      <sz val="10"/>
      <color indexed="10"/>
      <name val="Arial"/>
      <family val="2"/>
    </font>
    <font>
      <b/>
      <sz val="11"/>
      <color indexed="8"/>
      <name val="Arial Narrow"/>
      <family val="2"/>
    </font>
    <font>
      <b/>
      <sz val="14"/>
      <color indexed="8"/>
      <name val="Arial"/>
      <family val="2"/>
    </font>
    <font>
      <b/>
      <sz val="12"/>
      <color indexed="10"/>
      <name val="Arial"/>
      <family val="2"/>
    </font>
    <font>
      <i/>
      <sz val="10"/>
      <color indexed="8"/>
      <name val="Calibri"/>
      <family val="2"/>
    </font>
    <font>
      <b/>
      <sz val="10"/>
      <color indexed="8"/>
      <name val="Arial"/>
      <family val="2"/>
    </font>
    <font>
      <sz val="10"/>
      <color indexed="8"/>
      <name val="Arial"/>
      <family val="2"/>
    </font>
    <font>
      <sz val="10"/>
      <color indexed="16"/>
      <name val="Arial"/>
      <family val="2"/>
    </font>
    <font>
      <sz val="8"/>
      <color indexed="16"/>
      <name val="Arial Narrow"/>
      <family val="2"/>
    </font>
    <font>
      <b/>
      <sz val="9"/>
      <color indexed="16"/>
      <name val="Arial Narrow"/>
      <family val="2"/>
    </font>
    <font>
      <b/>
      <sz val="12"/>
      <color indexed="16"/>
      <name val="Arial"/>
      <family val="2"/>
    </font>
    <font>
      <b/>
      <u/>
      <sz val="8"/>
      <color indexed="16"/>
      <name val="Arial Narrow"/>
      <family val="2"/>
    </font>
    <font>
      <b/>
      <sz val="9"/>
      <color indexed="16"/>
      <name val="Arial"/>
      <family val="2"/>
    </font>
    <font>
      <b/>
      <sz val="10"/>
      <color indexed="16"/>
      <name val="Arial"/>
      <family val="2"/>
    </font>
    <font>
      <b/>
      <sz val="9"/>
      <name val="Calibri"/>
      <family val="2"/>
    </font>
    <font>
      <sz val="10"/>
      <color indexed="12"/>
      <name val="Calibri"/>
      <family val="2"/>
    </font>
    <font>
      <sz val="8"/>
      <color indexed="8"/>
      <name val="Arial Narrow"/>
      <family val="2"/>
    </font>
    <font>
      <sz val="10.75"/>
      <color indexed="8"/>
      <name val="Arial Narrow"/>
      <family val="2"/>
    </font>
    <font>
      <i/>
      <sz val="9"/>
      <color indexed="8"/>
      <name val="Arial Narrow"/>
      <family val="2"/>
    </font>
    <font>
      <b/>
      <sz val="14"/>
      <name val="Times New Roman"/>
      <family val="1"/>
    </font>
    <fon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font>
    <font>
      <b/>
      <sz val="11"/>
      <color theme="1"/>
      <name val="Calibri"/>
      <family val="2"/>
      <scheme val="minor"/>
    </font>
    <font>
      <sz val="11"/>
      <color rgb="FFFF0000"/>
      <name val="Calibri"/>
      <family val="2"/>
      <scheme val="minor"/>
    </font>
    <font>
      <sz val="10"/>
      <color rgb="FFFF0000"/>
      <name val="Arial"/>
      <family val="2"/>
    </font>
    <font>
      <sz val="10"/>
      <color rgb="FF0070C0"/>
      <name val="Arial"/>
      <family val="2"/>
    </font>
    <font>
      <sz val="12"/>
      <color rgb="FF000000"/>
      <name val="Times New Roman"/>
      <family val="1"/>
    </font>
    <font>
      <sz val="10"/>
      <color theme="1"/>
      <name val="Calibri"/>
      <family val="2"/>
      <scheme val="minor"/>
    </font>
    <font>
      <sz val="11"/>
      <color indexed="12"/>
      <name val="Calibri"/>
      <family val="2"/>
      <scheme val="minor"/>
    </font>
    <font>
      <b/>
      <sz val="12"/>
      <color rgb="FF0066FF"/>
      <name val="Arial"/>
      <family val="2"/>
    </font>
    <font>
      <b/>
      <sz val="12"/>
      <color theme="1"/>
      <name val="Arial"/>
      <family val="2"/>
    </font>
    <font>
      <b/>
      <sz val="10"/>
      <color theme="0"/>
      <name val="Arial"/>
      <family val="2"/>
    </font>
    <font>
      <sz val="10"/>
      <color indexed="10"/>
      <name val="MS Sans Serif"/>
      <family val="2"/>
    </font>
    <font>
      <b/>
      <u/>
      <sz val="12"/>
      <name val="Calibri"/>
      <family val="2"/>
    </font>
    <font>
      <sz val="12"/>
      <color rgb="FFFF0000"/>
      <name val="Times New Roman"/>
      <family val="1"/>
    </font>
    <font>
      <b/>
      <sz val="10"/>
      <color rgb="FFFF0000"/>
      <name val="Arial"/>
      <family val="2"/>
    </font>
    <font>
      <i/>
      <sz val="10"/>
      <name val="MS Sans Serif"/>
    </font>
    <font>
      <sz val="10.5"/>
      <color rgb="FF3366FF"/>
      <name val="Calibri"/>
      <family val="2"/>
    </font>
    <font>
      <sz val="10"/>
      <color theme="1"/>
      <name val="Arial"/>
      <family val="2"/>
    </font>
    <font>
      <sz val="12"/>
      <color theme="1"/>
      <name val="Arial"/>
      <family val="2"/>
    </font>
    <font>
      <b/>
      <sz val="10"/>
      <color theme="1"/>
      <name val="Arial"/>
      <family val="2"/>
    </font>
    <font>
      <b/>
      <i/>
      <u/>
      <sz val="12"/>
      <name val="Arial"/>
      <family val="2"/>
    </font>
    <font>
      <b/>
      <sz val="10"/>
      <name val="MS Sans Serif"/>
    </font>
    <font>
      <b/>
      <sz val="10"/>
      <color rgb="FF0000FF"/>
      <name val="Arial"/>
      <family val="2"/>
    </font>
    <font>
      <u/>
      <sz val="10"/>
      <color theme="1"/>
      <name val="Arial"/>
      <family val="2"/>
    </font>
    <font>
      <u/>
      <sz val="10"/>
      <color theme="1"/>
      <name val="Calibri"/>
      <family val="2"/>
      <scheme val="minor"/>
    </font>
    <font>
      <b/>
      <sz val="12"/>
      <color rgb="FFFF0000"/>
      <name val="Arial"/>
      <family val="2"/>
    </font>
    <font>
      <sz val="11"/>
      <color rgb="FF0000FF"/>
      <name val="Calibri"/>
      <family val="2"/>
    </font>
    <font>
      <sz val="8"/>
      <name val="Times New Roman"/>
      <family val="2"/>
    </font>
    <font>
      <sz val="10.5"/>
      <color rgb="FFFF0000"/>
      <name val="Times New Roman"/>
      <family val="1"/>
    </font>
    <font>
      <b/>
      <sz val="9"/>
      <color rgb="FFFF0000"/>
      <name val="Calibri"/>
      <family val="2"/>
    </font>
    <font>
      <sz val="10"/>
      <color theme="0"/>
      <name val="Arial"/>
      <family val="2"/>
    </font>
    <font>
      <sz val="10"/>
      <color rgb="FF3366FF"/>
      <name val="Arial"/>
      <family val="2"/>
    </font>
    <font>
      <b/>
      <sz val="10"/>
      <color rgb="FF3366FF"/>
      <name val="Arial Narrow"/>
      <family val="2"/>
    </font>
    <font>
      <sz val="14"/>
      <color rgb="FF3366FF"/>
      <name val="Book Antiqua"/>
      <family val="1"/>
    </font>
    <font>
      <sz val="8"/>
      <color rgb="FF3366FF"/>
      <name val="Arial"/>
      <family val="2"/>
    </font>
    <font>
      <sz val="12"/>
      <color rgb="FF3366FF"/>
      <name val="Book Antiqua"/>
      <family val="1"/>
    </font>
    <font>
      <sz val="10"/>
      <color rgb="FF3366FF"/>
      <name val="Arial Narrow"/>
      <family val="2"/>
    </font>
    <font>
      <sz val="12"/>
      <color rgb="FF0066FF"/>
      <name val="Book Antiqua"/>
      <family val="1"/>
    </font>
    <font>
      <sz val="8"/>
      <color rgb="FF0066FF"/>
      <name val="Arial"/>
      <family val="2"/>
    </font>
    <font>
      <sz val="10"/>
      <color rgb="FF0066FF"/>
      <name val="Arial"/>
      <family val="2"/>
    </font>
    <font>
      <sz val="9.75"/>
      <color rgb="FF3366FF"/>
      <name val="Arial"/>
      <family val="2"/>
    </font>
    <font>
      <b/>
      <sz val="10"/>
      <color rgb="FF3366FF"/>
      <name val="Arial"/>
      <family val="2"/>
    </font>
    <font>
      <sz val="10"/>
      <color rgb="FF0000FF"/>
      <name val="Arial"/>
      <family val="2"/>
    </font>
    <font>
      <sz val="12"/>
      <color rgb="FF3366FF"/>
      <name val="Arial"/>
      <family val="2"/>
    </font>
    <font>
      <sz val="12"/>
      <color rgb="FF0000FF"/>
      <name val="Book Antiqua"/>
      <family val="1"/>
    </font>
    <font>
      <sz val="11"/>
      <color rgb="FF0000FF"/>
      <name val="Calibri"/>
      <family val="2"/>
      <scheme val="minor"/>
    </font>
    <font>
      <sz val="11"/>
      <color rgb="FF0066FF"/>
      <name val="Calibri"/>
      <family val="2"/>
      <scheme val="minor"/>
    </font>
    <font>
      <sz val="8"/>
      <color rgb="FF3366FF"/>
      <name val="Arial Narrow"/>
      <family val="2"/>
    </font>
    <font>
      <sz val="9"/>
      <color rgb="FF0000FF"/>
      <name val="Arial"/>
      <family val="2"/>
    </font>
    <font>
      <sz val="9"/>
      <color rgb="FF0066FF"/>
      <name val="Arial"/>
      <family val="2"/>
    </font>
    <font>
      <b/>
      <sz val="12"/>
      <color rgb="FF0066FF"/>
      <name val="Book Antiqua"/>
      <family val="1"/>
    </font>
    <font>
      <u/>
      <sz val="8"/>
      <color rgb="FF0066FF"/>
      <name val="Arial"/>
      <family val="2"/>
    </font>
    <font>
      <sz val="12"/>
      <color rgb="FF0000FF"/>
      <name val="Arial"/>
      <family val="2"/>
    </font>
    <font>
      <sz val="10"/>
      <name val="Tahoma"/>
      <family val="2"/>
    </font>
    <font>
      <b/>
      <sz val="10"/>
      <name val="Tahoma"/>
      <family val="2"/>
    </font>
    <font>
      <b/>
      <sz val="9"/>
      <color rgb="FFFF0000"/>
      <name val="Arial"/>
      <family val="2"/>
    </font>
    <font>
      <b/>
      <u/>
      <sz val="10"/>
      <color theme="1"/>
      <name val="Arial"/>
      <family val="2"/>
    </font>
    <font>
      <b/>
      <i/>
      <sz val="10"/>
      <color rgb="FFFF0000"/>
      <name val="Arial"/>
      <family val="2"/>
    </font>
    <font>
      <i/>
      <sz val="10"/>
      <color rgb="FF3366FF"/>
      <name val="Arial"/>
      <family val="2"/>
    </font>
    <font>
      <b/>
      <sz val="10"/>
      <color theme="1"/>
      <name val="Calibri"/>
      <family val="2"/>
      <scheme val="minor"/>
    </font>
    <font>
      <sz val="11"/>
      <color rgb="FF444444"/>
      <name val="Arial"/>
      <family val="2"/>
    </font>
    <font>
      <b/>
      <i/>
      <sz val="9"/>
      <color rgb="FFFF0000"/>
      <name val="Tahoma"/>
      <family val="2"/>
    </font>
    <font>
      <b/>
      <sz val="8"/>
      <color rgb="FFFF0000"/>
      <name val="Arial"/>
      <family val="2"/>
    </font>
    <font>
      <sz val="11"/>
      <color rgb="FF000000"/>
      <name val="Cambria"/>
      <family val="1"/>
    </font>
    <font>
      <u/>
      <sz val="11"/>
      <color rgb="FF0563C1"/>
      <name val="Calibri"/>
      <family val="2"/>
    </font>
    <font>
      <sz val="11"/>
      <color rgb="FF000000"/>
      <name val="Calibri"/>
      <family val="2"/>
    </font>
  </fonts>
  <fills count="65">
    <fill>
      <patternFill patternType="none"/>
    </fill>
    <fill>
      <patternFill patternType="gray125"/>
    </fill>
    <fill>
      <patternFill patternType="solid">
        <fgColor indexed="10"/>
        <bgColor indexed="64"/>
      </patternFill>
    </fill>
    <fill>
      <patternFill patternType="lightTrellis"/>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6"/>
        <bgColor indexed="64"/>
      </patternFill>
    </fill>
    <fill>
      <patternFill patternType="solid">
        <fgColor indexed="13"/>
        <bgColor indexed="64"/>
      </patternFill>
    </fill>
    <fill>
      <patternFill patternType="solid">
        <fgColor indexed="27"/>
        <bgColor indexed="64"/>
      </patternFill>
    </fill>
    <fill>
      <patternFill patternType="solid">
        <fgColor indexed="56"/>
        <bgColor indexed="64"/>
      </patternFill>
    </fill>
    <fill>
      <patternFill patternType="solid">
        <fgColor indexed="14"/>
        <bgColor indexed="64"/>
      </patternFill>
    </fill>
    <fill>
      <patternFill patternType="solid">
        <fgColor indexed="50"/>
        <bgColor indexed="64"/>
      </patternFill>
    </fill>
    <fill>
      <patternFill patternType="solid">
        <fgColor indexed="44"/>
        <bgColor indexed="64"/>
      </patternFill>
    </fill>
    <fill>
      <patternFill patternType="solid">
        <fgColor indexed="42"/>
        <bgColor indexed="64"/>
      </patternFill>
    </fill>
    <fill>
      <patternFill patternType="solid">
        <fgColor indexed="55"/>
        <bgColor indexed="64"/>
      </patternFill>
    </fill>
    <fill>
      <patternFill patternType="solid">
        <fgColor indexed="2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indexed="65"/>
        <bgColor indexed="64"/>
      </patternFill>
    </fill>
    <fill>
      <patternFill patternType="solid">
        <fgColor rgb="FFCCCCFF"/>
        <bgColor indexed="64"/>
      </patternFill>
    </fill>
    <fill>
      <patternFill patternType="solid">
        <fgColor rgb="FF92D050"/>
        <bgColor indexed="64"/>
      </patternFill>
    </fill>
    <fill>
      <patternFill patternType="solid">
        <fgColor rgb="FFFF0000"/>
        <bgColor indexed="64"/>
      </patternFill>
    </fill>
    <fill>
      <patternFill patternType="solid">
        <fgColor theme="9" tint="0.39997558519241921"/>
        <bgColor indexed="64"/>
      </patternFill>
    </fill>
  </fills>
  <borders count="61">
    <border>
      <left/>
      <right/>
      <top/>
      <bottom/>
      <diagonal/>
    </border>
    <border>
      <left/>
      <right/>
      <top/>
      <bottom style="thin">
        <color indexed="64"/>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thick">
        <color indexed="64"/>
      </bottom>
      <diagonal/>
    </border>
    <border>
      <left/>
      <right/>
      <top style="thin">
        <color indexed="64"/>
      </top>
      <bottom style="medium">
        <color indexed="64"/>
      </bottom>
      <diagonal/>
    </border>
    <border>
      <left/>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156">
    <xf numFmtId="0" fontId="0" fillId="0" borderId="0"/>
    <xf numFmtId="0" fontId="247" fillId="21" borderId="0" applyNumberFormat="0" applyBorder="0" applyAlignment="0" applyProtection="0"/>
    <xf numFmtId="0" fontId="247" fillId="22" borderId="0" applyNumberFormat="0" applyBorder="0" applyAlignment="0" applyProtection="0"/>
    <xf numFmtId="0" fontId="247" fillId="23" borderId="0" applyNumberFormat="0" applyBorder="0" applyAlignment="0" applyProtection="0"/>
    <xf numFmtId="0" fontId="247" fillId="24" borderId="0" applyNumberFormat="0" applyBorder="0" applyAlignment="0" applyProtection="0"/>
    <xf numFmtId="0" fontId="247" fillId="25" borderId="0" applyNumberFormat="0" applyBorder="0" applyAlignment="0" applyProtection="0"/>
    <xf numFmtId="0" fontId="247" fillId="26" borderId="0" applyNumberFormat="0" applyBorder="0" applyAlignment="0" applyProtection="0"/>
    <xf numFmtId="0" fontId="247" fillId="27" borderId="0" applyNumberFormat="0" applyBorder="0" applyAlignment="0" applyProtection="0"/>
    <xf numFmtId="0" fontId="247" fillId="28" borderId="0" applyNumberFormat="0" applyBorder="0" applyAlignment="0" applyProtection="0"/>
    <xf numFmtId="0" fontId="247" fillId="29" borderId="0" applyNumberFormat="0" applyBorder="0" applyAlignment="0" applyProtection="0"/>
    <xf numFmtId="0" fontId="247" fillId="30" borderId="0" applyNumberFormat="0" applyBorder="0" applyAlignment="0" applyProtection="0"/>
    <xf numFmtId="0" fontId="247" fillId="31" borderId="0" applyNumberFormat="0" applyBorder="0" applyAlignment="0" applyProtection="0"/>
    <xf numFmtId="0" fontId="247" fillId="32" borderId="0" applyNumberFormat="0" applyBorder="0" applyAlignment="0" applyProtection="0"/>
    <xf numFmtId="0" fontId="248" fillId="33" borderId="0" applyNumberFormat="0" applyBorder="0" applyAlignment="0" applyProtection="0"/>
    <xf numFmtId="0" fontId="248" fillId="34" borderId="0" applyNumberFormat="0" applyBorder="0" applyAlignment="0" applyProtection="0"/>
    <xf numFmtId="0" fontId="248" fillId="35" borderId="0" applyNumberFormat="0" applyBorder="0" applyAlignment="0" applyProtection="0"/>
    <xf numFmtId="0" fontId="248" fillId="36" borderId="0" applyNumberFormat="0" applyBorder="0" applyAlignment="0" applyProtection="0"/>
    <xf numFmtId="0" fontId="248" fillId="37" borderId="0" applyNumberFormat="0" applyBorder="0" applyAlignment="0" applyProtection="0"/>
    <xf numFmtId="0" fontId="248" fillId="38" borderId="0" applyNumberFormat="0" applyBorder="0" applyAlignment="0" applyProtection="0"/>
    <xf numFmtId="0" fontId="248" fillId="39" borderId="0" applyNumberFormat="0" applyBorder="0" applyAlignment="0" applyProtection="0"/>
    <xf numFmtId="0" fontId="248" fillId="40" borderId="0" applyNumberFormat="0" applyBorder="0" applyAlignment="0" applyProtection="0"/>
    <xf numFmtId="0" fontId="248" fillId="41" borderId="0" applyNumberFormat="0" applyBorder="0" applyAlignment="0" applyProtection="0"/>
    <xf numFmtId="0" fontId="248" fillId="42" borderId="0" applyNumberFormat="0" applyBorder="0" applyAlignment="0" applyProtection="0"/>
    <xf numFmtId="0" fontId="248" fillId="43" borderId="0" applyNumberFormat="0" applyBorder="0" applyAlignment="0" applyProtection="0"/>
    <xf numFmtId="0" fontId="248" fillId="44" borderId="0" applyNumberFormat="0" applyBorder="0" applyAlignment="0" applyProtection="0"/>
    <xf numFmtId="0" fontId="249" fillId="45" borderId="0" applyNumberFormat="0" applyBorder="0" applyAlignment="0" applyProtection="0"/>
    <xf numFmtId="0" fontId="250" fillId="46" borderId="50" applyNumberFormat="0" applyAlignment="0" applyProtection="0"/>
    <xf numFmtId="187" fontId="12" fillId="0" borderId="0"/>
    <xf numFmtId="0" fontId="251" fillId="47" borderId="5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38" fillId="0" borderId="0" applyFont="0" applyFill="0" applyBorder="0" applyAlignment="0" applyProtection="0"/>
    <xf numFmtId="0" fontId="40" fillId="0" borderId="1">
      <alignment horizontal="right"/>
      <protection locked="0"/>
    </xf>
    <xf numFmtId="0" fontId="29" fillId="0" borderId="1">
      <alignment horizontal="right"/>
      <protection locked="0"/>
    </xf>
    <xf numFmtId="0" fontId="29" fillId="0" borderId="1">
      <alignment horizontal="right"/>
      <protection locked="0"/>
    </xf>
    <xf numFmtId="0" fontId="252" fillId="0" borderId="0" applyNumberFormat="0" applyFill="0" applyBorder="0" applyAlignment="0" applyProtection="0"/>
    <xf numFmtId="0" fontId="253" fillId="48" borderId="0" applyNumberFormat="0" applyBorder="0" applyAlignment="0" applyProtection="0"/>
    <xf numFmtId="0" fontId="254" fillId="0" borderId="52" applyNumberFormat="0" applyFill="0" applyAlignment="0" applyProtection="0"/>
    <xf numFmtId="0" fontId="255" fillId="0" borderId="53" applyNumberFormat="0" applyFill="0" applyAlignment="0" applyProtection="0"/>
    <xf numFmtId="0" fontId="256" fillId="0" borderId="54" applyNumberFormat="0" applyFill="0" applyAlignment="0" applyProtection="0"/>
    <xf numFmtId="0" fontId="256" fillId="0" borderId="0" applyNumberFormat="0" applyFill="0" applyBorder="0" applyAlignment="0" applyProtection="0"/>
    <xf numFmtId="0" fontId="10" fillId="0" borderId="2">
      <protection locked="0"/>
    </xf>
    <xf numFmtId="0" fontId="25" fillId="0" borderId="2" applyBorder="0">
      <protection locked="0"/>
    </xf>
    <xf numFmtId="0" fontId="9" fillId="0" borderId="0">
      <protection locked="0"/>
    </xf>
    <xf numFmtId="0" fontId="18" fillId="0" borderId="0">
      <protection locked="0"/>
    </xf>
    <xf numFmtId="15" fontId="12" fillId="0" borderId="1" applyNumberFormat="0">
      <protection locked="0"/>
    </xf>
    <xf numFmtId="0" fontId="49" fillId="0" borderId="0" applyNumberFormat="0" applyFon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49" borderId="50" applyNumberFormat="0" applyAlignment="0" applyProtection="0"/>
    <xf numFmtId="0" fontId="259" fillId="0" borderId="55" applyNumberFormat="0" applyFill="0" applyAlignment="0" applyProtection="0"/>
    <xf numFmtId="0" fontId="260" fillId="50" borderId="0" applyNumberFormat="0" applyBorder="0" applyAlignment="0" applyProtection="0"/>
    <xf numFmtId="165" fontId="131" fillId="0" borderId="0">
      <protection locked="0"/>
    </xf>
    <xf numFmtId="165" fontId="15" fillId="0" borderId="0">
      <protection locked="0"/>
    </xf>
    <xf numFmtId="0" fontId="8" fillId="0" borderId="0"/>
    <xf numFmtId="165" fontId="15" fillId="0" borderId="0">
      <protection locked="0"/>
    </xf>
    <xf numFmtId="0" fontId="247" fillId="0" borderId="0"/>
    <xf numFmtId="0" fontId="247" fillId="0" borderId="0"/>
    <xf numFmtId="0" fontId="8" fillId="0" borderId="0"/>
    <xf numFmtId="0" fontId="2" fillId="0" borderId="0"/>
    <xf numFmtId="0" fontId="2" fillId="0" borderId="0"/>
    <xf numFmtId="0" fontId="7" fillId="0" borderId="0"/>
    <xf numFmtId="0" fontId="2" fillId="0" borderId="0"/>
    <xf numFmtId="0" fontId="2" fillId="0" borderId="0"/>
    <xf numFmtId="168" fontId="15" fillId="0" borderId="0">
      <protection locked="0"/>
    </xf>
    <xf numFmtId="168" fontId="170" fillId="0" borderId="0">
      <protection locked="0"/>
    </xf>
    <xf numFmtId="168" fontId="15" fillId="0" borderId="0">
      <protection locked="0"/>
    </xf>
    <xf numFmtId="0" fontId="2" fillId="0" borderId="0"/>
    <xf numFmtId="0" fontId="30" fillId="0" borderId="0"/>
    <xf numFmtId="168" fontId="15" fillId="0" borderId="0">
      <protection locked="0"/>
    </xf>
    <xf numFmtId="168" fontId="15" fillId="0" borderId="0">
      <protection locked="0"/>
    </xf>
    <xf numFmtId="0" fontId="10" fillId="0" borderId="0"/>
    <xf numFmtId="168" fontId="15" fillId="0" borderId="0">
      <protection locked="0"/>
    </xf>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2" fillId="0" borderId="0"/>
    <xf numFmtId="0" fontId="2" fillId="0" borderId="0"/>
    <xf numFmtId="0" fontId="12" fillId="0" borderId="0"/>
    <xf numFmtId="0" fontId="2" fillId="0" borderId="0"/>
    <xf numFmtId="0" fontId="2" fillId="0" borderId="0"/>
    <xf numFmtId="0" fontId="12" fillId="0" borderId="0"/>
    <xf numFmtId="0" fontId="12" fillId="0" borderId="0"/>
    <xf numFmtId="0" fontId="50" fillId="0" borderId="0"/>
    <xf numFmtId="0" fontId="8" fillId="0" borderId="0"/>
    <xf numFmtId="0" fontId="12" fillId="0" borderId="0"/>
    <xf numFmtId="0" fontId="8" fillId="0" borderId="0"/>
    <xf numFmtId="0" fontId="8" fillId="0" borderId="0"/>
    <xf numFmtId="0" fontId="8" fillId="0" borderId="0"/>
    <xf numFmtId="0" fontId="123" fillId="0" borderId="0"/>
    <xf numFmtId="0" fontId="8" fillId="0" borderId="0"/>
    <xf numFmtId="0" fontId="8" fillId="0" borderId="0"/>
    <xf numFmtId="0" fontId="8" fillId="0" borderId="0"/>
    <xf numFmtId="0" fontId="12" fillId="0" borderId="0"/>
    <xf numFmtId="0" fontId="12" fillId="0" borderId="0"/>
    <xf numFmtId="0" fontId="8" fillId="0" borderId="0"/>
    <xf numFmtId="0" fontId="123" fillId="0" borderId="0"/>
    <xf numFmtId="0" fontId="2" fillId="0" borderId="0"/>
    <xf numFmtId="0" fontId="15" fillId="0" borderId="0">
      <protection locked="0"/>
    </xf>
    <xf numFmtId="0" fontId="2" fillId="0" borderId="0"/>
    <xf numFmtId="0" fontId="179" fillId="51" borderId="56" applyNumberFormat="0" applyFont="0" applyAlignment="0" applyProtection="0"/>
    <xf numFmtId="167" fontId="15" fillId="0" borderId="0">
      <protection locked="0"/>
    </xf>
    <xf numFmtId="168" fontId="15" fillId="0" borderId="0">
      <protection locked="0"/>
    </xf>
    <xf numFmtId="0" fontId="15" fillId="0" borderId="0">
      <protection locked="0"/>
    </xf>
    <xf numFmtId="167" fontId="15" fillId="0" borderId="3">
      <protection locked="0"/>
    </xf>
    <xf numFmtId="168" fontId="15" fillId="0" borderId="4">
      <protection locked="0"/>
    </xf>
    <xf numFmtId="181" fontId="15" fillId="0" borderId="0"/>
    <xf numFmtId="181" fontId="15" fillId="0" borderId="3"/>
    <xf numFmtId="181" fontId="15" fillId="0" borderId="4"/>
    <xf numFmtId="0" fontId="261" fillId="46" borderId="57" applyNumberFormat="0" applyAlignment="0" applyProtection="0"/>
    <xf numFmtId="9" fontId="2" fillId="0" borderId="0" applyFont="0" applyFill="0" applyBorder="0" applyAlignment="0" applyProtection="0"/>
    <xf numFmtId="9" fontId="2" fillId="0" borderId="0" applyFont="0" applyFill="0" applyBorder="0" applyAlignment="0" applyProtection="0"/>
    <xf numFmtId="0" fontId="262" fillId="0" borderId="0" applyNumberFormat="0" applyFill="0" applyBorder="0" applyAlignment="0" applyProtection="0"/>
    <xf numFmtId="0" fontId="263" fillId="0" borderId="58" applyNumberFormat="0" applyFill="0" applyAlignment="0" applyProtection="0"/>
    <xf numFmtId="0" fontId="264" fillId="0" borderId="0" applyNumberFormat="0" applyFill="0" applyBorder="0" applyAlignment="0" applyProtection="0"/>
    <xf numFmtId="168" fontId="15" fillId="0" borderId="0">
      <protection locked="0"/>
    </xf>
    <xf numFmtId="0" fontId="8" fillId="0" borderId="0"/>
    <xf numFmtId="0" fontId="8" fillId="0" borderId="0"/>
    <xf numFmtId="0" fontId="8" fillId="0" borderId="0"/>
    <xf numFmtId="0" fontId="8" fillId="0" borderId="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72" fillId="0" borderId="0" applyFont="0" applyFill="0" applyBorder="0" applyAlignment="0" applyProtection="0"/>
    <xf numFmtId="0" fontId="1" fillId="0" borderId="0"/>
    <xf numFmtId="0" fontId="1" fillId="0" borderId="0"/>
    <xf numFmtId="0" fontId="172" fillId="51" borderId="56" applyNumberFormat="0" applyFont="0" applyAlignment="0" applyProtection="0"/>
  </cellStyleXfs>
  <cellXfs count="3055">
    <xf numFmtId="0" fontId="0" fillId="0" borderId="0" xfId="0"/>
    <xf numFmtId="164" fontId="3" fillId="0" borderId="0" xfId="0" applyNumberFormat="1" applyFont="1" applyAlignment="1">
      <alignment horizontal="center"/>
    </xf>
    <xf numFmtId="0" fontId="4" fillId="0" borderId="0" xfId="0" applyFont="1"/>
    <xf numFmtId="0" fontId="5" fillId="0" borderId="0" xfId="0" applyFont="1"/>
    <xf numFmtId="0" fontId="4" fillId="0" borderId="0" xfId="0" applyFont="1" applyAlignment="1">
      <alignment horizontal="center"/>
    </xf>
    <xf numFmtId="164" fontId="7" fillId="0" borderId="0" xfId="0" applyNumberFormat="1" applyFont="1"/>
    <xf numFmtId="164" fontId="7" fillId="0" borderId="0" xfId="0" applyNumberFormat="1" applyFont="1" applyAlignment="1">
      <alignment horizontal="right"/>
    </xf>
    <xf numFmtId="164" fontId="3" fillId="0" borderId="2" xfId="0" applyNumberFormat="1" applyFont="1" applyBorder="1" applyAlignment="1">
      <alignment horizontal="center"/>
    </xf>
    <xf numFmtId="0" fontId="28" fillId="0" borderId="0" xfId="101" applyFont="1"/>
    <xf numFmtId="0" fontId="28" fillId="0" borderId="0" xfId="101" applyFont="1" applyAlignment="1">
      <alignment horizontal="right"/>
    </xf>
    <xf numFmtId="40" fontId="28" fillId="0" borderId="0" xfId="39" applyFont="1"/>
    <xf numFmtId="0" fontId="28" fillId="0" borderId="0" xfId="98" applyFont="1"/>
    <xf numFmtId="40" fontId="28" fillId="0" borderId="0" xfId="38" applyFont="1"/>
    <xf numFmtId="0" fontId="41" fillId="0" borderId="0" xfId="0" applyFont="1"/>
    <xf numFmtId="0" fontId="7" fillId="0" borderId="0" xfId="0" applyFont="1"/>
    <xf numFmtId="0" fontId="29" fillId="0" borderId="0" xfId="0" applyFont="1"/>
    <xf numFmtId="0" fontId="25" fillId="0" borderId="0" xfId="88" applyFont="1"/>
    <xf numFmtId="0" fontId="27" fillId="0" borderId="0" xfId="88" applyFont="1"/>
    <xf numFmtId="0" fontId="25" fillId="0" borderId="0" xfId="88" applyFont="1" applyAlignment="1">
      <alignment horizontal="centerContinuous"/>
    </xf>
    <xf numFmtId="0" fontId="15" fillId="0" borderId="0" xfId="88" applyFont="1"/>
    <xf numFmtId="0" fontId="46" fillId="0" borderId="0" xfId="81" applyFont="1"/>
    <xf numFmtId="0" fontId="47" fillId="0" borderId="0" xfId="81" applyFont="1"/>
    <xf numFmtId="0" fontId="38" fillId="0" borderId="0" xfId="81" applyFont="1"/>
    <xf numFmtId="0" fontId="38" fillId="0" borderId="0" xfId="81" applyFont="1" applyAlignment="1">
      <alignment horizontal="right"/>
    </xf>
    <xf numFmtId="0" fontId="17" fillId="0" borderId="0" xfId="0" applyFont="1"/>
    <xf numFmtId="164" fontId="4" fillId="0" borderId="0" xfId="0" applyNumberFormat="1" applyFont="1" applyAlignment="1">
      <alignment horizontal="center" shrinkToFit="1"/>
    </xf>
    <xf numFmtId="0" fontId="4" fillId="0" borderId="1" xfId="0" applyFont="1" applyBorder="1" applyAlignment="1">
      <alignment horizontal="center"/>
    </xf>
    <xf numFmtId="0" fontId="22" fillId="0" borderId="0" xfId="0" applyFont="1"/>
    <xf numFmtId="164" fontId="3" fillId="0" borderId="0" xfId="100" applyNumberFormat="1" applyFont="1" applyAlignment="1">
      <alignment horizontal="center"/>
    </xf>
    <xf numFmtId="164" fontId="3" fillId="0" borderId="0" xfId="100" applyNumberFormat="1" applyFont="1" applyAlignment="1">
      <alignment horizontal="centerContinuous"/>
    </xf>
    <xf numFmtId="164" fontId="3" fillId="0" borderId="0" xfId="97" applyNumberFormat="1" applyFont="1" applyAlignment="1">
      <alignment horizontal="centerContinuous"/>
    </xf>
    <xf numFmtId="0" fontId="2" fillId="0" borderId="0" xfId="100"/>
    <xf numFmtId="164" fontId="7" fillId="0" borderId="0" xfId="100" applyNumberFormat="1" applyFont="1" applyAlignment="1">
      <alignment horizontal="right"/>
    </xf>
    <xf numFmtId="164" fontId="7" fillId="0" borderId="0" xfId="97" applyNumberFormat="1" applyFont="1" applyAlignment="1">
      <alignment horizontal="center" shrinkToFit="1"/>
    </xf>
    <xf numFmtId="164" fontId="7" fillId="0" borderId="0" xfId="100" applyNumberFormat="1" applyFont="1"/>
    <xf numFmtId="164" fontId="6" fillId="0" borderId="0" xfId="100" applyNumberFormat="1" applyFont="1"/>
    <xf numFmtId="164" fontId="3" fillId="0" borderId="2" xfId="100" applyNumberFormat="1" applyFont="1" applyBorder="1" applyAlignment="1">
      <alignment horizontal="center"/>
    </xf>
    <xf numFmtId="178" fontId="17" fillId="0" borderId="0" xfId="0" applyNumberFormat="1" applyFont="1"/>
    <xf numFmtId="0" fontId="2" fillId="0" borderId="0" xfId="95" applyFont="1"/>
    <xf numFmtId="0" fontId="7" fillId="0" borderId="1" xfId="95" applyFont="1" applyBorder="1" applyAlignment="1">
      <alignment horizontal="center" shrinkToFit="1"/>
    </xf>
    <xf numFmtId="0" fontId="15" fillId="0" borderId="0" xfId="89" applyFont="1"/>
    <xf numFmtId="0" fontId="25" fillId="0" borderId="0" xfId="89" applyFont="1"/>
    <xf numFmtId="0" fontId="27" fillId="0" borderId="0" xfId="89" applyFont="1"/>
    <xf numFmtId="0" fontId="28" fillId="0" borderId="0" xfId="86" applyFont="1"/>
    <xf numFmtId="0" fontId="21" fillId="0" borderId="0" xfId="0" applyFont="1"/>
    <xf numFmtId="0" fontId="42" fillId="0" borderId="0" xfId="0" applyFont="1"/>
    <xf numFmtId="0" fontId="58" fillId="0" borderId="0" xfId="107" applyFont="1"/>
    <xf numFmtId="0" fontId="2" fillId="0" borderId="0" xfId="107" applyFont="1" applyAlignment="1">
      <alignment horizontal="left"/>
    </xf>
    <xf numFmtId="0" fontId="2" fillId="0" borderId="0" xfId="107" applyFont="1" applyAlignment="1">
      <alignment horizontal="right"/>
    </xf>
    <xf numFmtId="0" fontId="2" fillId="0" borderId="2" xfId="107" applyFont="1" applyBorder="1"/>
    <xf numFmtId="0" fontId="2" fillId="0" borderId="2" xfId="107" applyFont="1" applyBorder="1" applyAlignment="1">
      <alignment horizontal="right"/>
    </xf>
    <xf numFmtId="0" fontId="60" fillId="0" borderId="0" xfId="107" applyFont="1" applyAlignment="1">
      <alignment horizontal="center"/>
    </xf>
    <xf numFmtId="0" fontId="60" fillId="0" borderId="0" xfId="107" applyFont="1"/>
    <xf numFmtId="0" fontId="58" fillId="0" borderId="0" xfId="110" applyFont="1"/>
    <xf numFmtId="0" fontId="60" fillId="0" borderId="0" xfId="110" applyFont="1" applyAlignment="1">
      <alignment horizontal="center"/>
    </xf>
    <xf numFmtId="0" fontId="60" fillId="0" borderId="0" xfId="110" applyFont="1"/>
    <xf numFmtId="0" fontId="58" fillId="0" borderId="0" xfId="112" applyFont="1"/>
    <xf numFmtId="0" fontId="8" fillId="0" borderId="0" xfId="112"/>
    <xf numFmtId="0" fontId="60" fillId="0" borderId="0" xfId="112" applyFont="1"/>
    <xf numFmtId="0" fontId="2" fillId="0" borderId="0" xfId="113" applyFont="1"/>
    <xf numFmtId="0" fontId="12" fillId="0" borderId="0" xfId="113"/>
    <xf numFmtId="0" fontId="8" fillId="0" borderId="0" xfId="115"/>
    <xf numFmtId="0" fontId="3" fillId="0" borderId="0" xfId="122" applyNumberFormat="1" applyFont="1" applyAlignment="1" applyProtection="1">
      <alignment horizontal="center" wrapText="1"/>
    </xf>
    <xf numFmtId="0" fontId="58" fillId="0" borderId="0" xfId="115" applyFont="1"/>
    <xf numFmtId="0" fontId="41" fillId="0" borderId="0" xfId="115" applyFont="1"/>
    <xf numFmtId="164" fontId="7" fillId="0" borderId="0" xfId="115" applyNumberFormat="1" applyFont="1"/>
    <xf numFmtId="164" fontId="3" fillId="0" borderId="0" xfId="115" applyNumberFormat="1" applyFont="1" applyAlignment="1">
      <alignment horizontal="center"/>
    </xf>
    <xf numFmtId="164" fontId="7" fillId="0" borderId="0" xfId="115" applyNumberFormat="1" applyFont="1" applyAlignment="1">
      <alignment horizontal="right"/>
    </xf>
    <xf numFmtId="0" fontId="8" fillId="0" borderId="0" xfId="115" applyAlignment="1">
      <alignment horizontal="center" shrinkToFit="1"/>
    </xf>
    <xf numFmtId="164" fontId="6" fillId="0" borderId="0" xfId="115" applyNumberFormat="1" applyFont="1"/>
    <xf numFmtId="164" fontId="3" fillId="0" borderId="2" xfId="115" applyNumberFormat="1" applyFont="1" applyBorder="1" applyAlignment="1">
      <alignment horizontal="center"/>
    </xf>
    <xf numFmtId="0" fontId="7" fillId="0" borderId="0" xfId="115" applyFont="1"/>
    <xf numFmtId="168" fontId="19" fillId="0" borderId="0" xfId="82" applyFont="1" applyProtection="1"/>
    <xf numFmtId="168" fontId="54" fillId="0" borderId="0" xfId="82" applyFont="1" applyProtection="1"/>
    <xf numFmtId="168" fontId="19" fillId="0" borderId="0" xfId="82" applyFont="1" applyAlignment="1" applyProtection="1">
      <alignment horizontal="centerContinuous"/>
    </xf>
    <xf numFmtId="168" fontId="54" fillId="0" borderId="0" xfId="82" applyFont="1" applyAlignment="1" applyProtection="1">
      <alignment horizontal="centerContinuous"/>
    </xf>
    <xf numFmtId="168" fontId="15" fillId="0" borderId="0" xfId="82" applyProtection="1"/>
    <xf numFmtId="168" fontId="7" fillId="0" borderId="0" xfId="82" applyFont="1" applyProtection="1"/>
    <xf numFmtId="1" fontId="7" fillId="0" borderId="1" xfId="82" applyNumberFormat="1" applyFont="1" applyBorder="1" applyAlignment="1" applyProtection="1">
      <alignment horizontal="center" shrinkToFit="1"/>
    </xf>
    <xf numFmtId="168" fontId="7" fillId="0" borderId="2" xfId="82" applyFont="1" applyBorder="1" applyProtection="1"/>
    <xf numFmtId="168" fontId="36" fillId="0" borderId="0" xfId="82" applyFont="1" applyAlignment="1" applyProtection="1">
      <alignment horizontal="center"/>
    </xf>
    <xf numFmtId="168" fontId="36" fillId="0" borderId="5" xfId="82" applyFont="1" applyBorder="1" applyAlignment="1" applyProtection="1">
      <alignment horizontal="center"/>
    </xf>
    <xf numFmtId="168" fontId="36" fillId="0" borderId="0" xfId="82" applyFont="1" applyAlignment="1" applyProtection="1">
      <alignment horizontal="center" wrapText="1"/>
    </xf>
    <xf numFmtId="168" fontId="36" fillId="0" borderId="6" xfId="82" applyFont="1" applyBorder="1" applyAlignment="1" applyProtection="1">
      <alignment horizontal="center"/>
    </xf>
    <xf numFmtId="168" fontId="36" fillId="0" borderId="1" xfId="82" applyFont="1" applyBorder="1" applyAlignment="1" applyProtection="1">
      <alignment horizontal="center"/>
    </xf>
    <xf numFmtId="172" fontId="36" fillId="0" borderId="7" xfId="82" applyNumberFormat="1" applyFont="1" applyBorder="1" applyAlignment="1" applyProtection="1">
      <alignment horizontal="center"/>
    </xf>
    <xf numFmtId="168" fontId="36" fillId="0" borderId="7" xfId="82" applyFont="1" applyBorder="1" applyAlignment="1" applyProtection="1">
      <alignment horizontal="center"/>
    </xf>
    <xf numFmtId="180" fontId="65" fillId="0" borderId="0" xfId="127" applyNumberFormat="1" applyFont="1" applyBorder="1" applyAlignment="1">
      <alignment horizontal="center"/>
    </xf>
    <xf numFmtId="168" fontId="7" fillId="0" borderId="0" xfId="82" applyFont="1" applyAlignment="1" applyProtection="1">
      <alignment horizontal="center" shrinkToFit="1"/>
    </xf>
    <xf numFmtId="168" fontId="4" fillId="0" borderId="0" xfId="82" applyFont="1" applyProtection="1"/>
    <xf numFmtId="0" fontId="25" fillId="0" borderId="0" xfId="86" applyFont="1"/>
    <xf numFmtId="0" fontId="25" fillId="0" borderId="0" xfId="86" applyFont="1" applyAlignment="1">
      <alignment horizontal="centerContinuous"/>
    </xf>
    <xf numFmtId="0" fontId="7" fillId="0" borderId="0" xfId="86" applyFont="1"/>
    <xf numFmtId="0" fontId="4" fillId="0" borderId="0" xfId="86" applyFont="1" applyAlignment="1">
      <alignment horizontal="center"/>
    </xf>
    <xf numFmtId="0" fontId="7" fillId="0" borderId="0" xfId="0" applyFont="1" applyAlignment="1">
      <alignment horizontal="center"/>
    </xf>
    <xf numFmtId="0" fontId="7" fillId="0" borderId="0" xfId="0" applyFont="1" applyAlignment="1">
      <alignment horizontal="left"/>
    </xf>
    <xf numFmtId="170" fontId="7" fillId="0" borderId="0" xfId="29" applyNumberFormat="1" applyFont="1"/>
    <xf numFmtId="0" fontId="7" fillId="0" borderId="0" xfId="0" quotePrefix="1" applyFont="1" applyAlignment="1">
      <alignment horizontal="center"/>
    </xf>
    <xf numFmtId="0" fontId="7" fillId="0" borderId="0" xfId="0" applyFont="1" applyAlignment="1">
      <alignment horizontal="right"/>
    </xf>
    <xf numFmtId="0" fontId="4" fillId="0" borderId="0" xfId="0" applyFont="1" applyAlignment="1">
      <alignment horizontal="left"/>
    </xf>
    <xf numFmtId="171" fontId="7" fillId="0" borderId="0" xfId="0" applyNumberFormat="1" applyFont="1"/>
    <xf numFmtId="170" fontId="7" fillId="0" borderId="14" xfId="29" applyNumberFormat="1" applyFont="1" applyBorder="1"/>
    <xf numFmtId="0" fontId="7" fillId="0" borderId="0" xfId="88" applyFont="1"/>
    <xf numFmtId="0" fontId="7" fillId="0" borderId="0" xfId="88" applyFont="1" applyAlignment="1">
      <alignment horizontal="right"/>
    </xf>
    <xf numFmtId="172" fontId="4" fillId="0" borderId="1" xfId="0" applyNumberFormat="1" applyFont="1" applyBorder="1" applyAlignment="1">
      <alignment horizontal="center"/>
    </xf>
    <xf numFmtId="176" fontId="7" fillId="0" borderId="0" xfId="0" applyNumberFormat="1" applyFont="1"/>
    <xf numFmtId="0" fontId="7" fillId="0" borderId="1" xfId="88" applyFont="1" applyBorder="1" applyAlignment="1">
      <alignment horizontal="center"/>
    </xf>
    <xf numFmtId="0" fontId="7" fillId="0" borderId="2" xfId="88" applyFont="1" applyBorder="1"/>
    <xf numFmtId="0" fontId="7" fillId="0" borderId="2" xfId="86" applyFont="1" applyBorder="1"/>
    <xf numFmtId="0" fontId="5" fillId="0" borderId="0" xfId="0" applyFont="1" applyAlignment="1">
      <alignment horizontal="left"/>
    </xf>
    <xf numFmtId="0" fontId="64" fillId="0" borderId="0" xfId="90" applyFont="1" applyAlignment="1">
      <alignment horizontal="right"/>
    </xf>
    <xf numFmtId="0" fontId="64" fillId="0" borderId="0" xfId="0" applyFont="1"/>
    <xf numFmtId="0" fontId="67" fillId="0" borderId="0" xfId="90" applyFont="1" applyAlignment="1">
      <alignment horizontal="centerContinuous"/>
    </xf>
    <xf numFmtId="0" fontId="0" fillId="0" borderId="0" xfId="0" applyAlignment="1">
      <alignment vertical="top" wrapText="1"/>
    </xf>
    <xf numFmtId="0" fontId="66" fillId="0" borderId="0" xfId="0" applyFont="1"/>
    <xf numFmtId="0" fontId="2" fillId="0" borderId="0" xfId="90" applyFont="1"/>
    <xf numFmtId="0" fontId="68" fillId="0" borderId="0" xfId="0" applyFont="1"/>
    <xf numFmtId="0" fontId="64" fillId="0" borderId="0" xfId="90" applyFont="1" applyAlignment="1">
      <alignment horizontal="center" shrinkToFit="1"/>
    </xf>
    <xf numFmtId="164" fontId="4" fillId="0" borderId="1" xfId="0" applyNumberFormat="1" applyFont="1" applyBorder="1" applyAlignment="1">
      <alignment horizontal="center"/>
    </xf>
    <xf numFmtId="0" fontId="64" fillId="0" borderId="2" xfId="0" applyFont="1" applyBorder="1"/>
    <xf numFmtId="0" fontId="38" fillId="0" borderId="2" xfId="81" applyFont="1" applyBorder="1"/>
    <xf numFmtId="164" fontId="4" fillId="0" borderId="0" xfId="0" applyNumberFormat="1" applyFont="1" applyAlignment="1">
      <alignment horizontal="center"/>
    </xf>
    <xf numFmtId="0" fontId="7" fillId="0" borderId="0" xfId="95" applyFont="1"/>
    <xf numFmtId="0" fontId="7" fillId="0" borderId="0" xfId="95" applyFont="1" applyAlignment="1">
      <alignment horizontal="right"/>
    </xf>
    <xf numFmtId="0" fontId="64" fillId="0" borderId="0" xfId="95" applyFont="1"/>
    <xf numFmtId="0" fontId="7" fillId="0" borderId="0" xfId="95" applyFont="1" applyAlignment="1">
      <alignment horizontal="centerContinuous"/>
    </xf>
    <xf numFmtId="0" fontId="64" fillId="0" borderId="0" xfId="95" applyFont="1" applyAlignment="1">
      <alignment horizontal="centerContinuous"/>
    </xf>
    <xf numFmtId="0" fontId="4" fillId="0" borderId="0" xfId="95" applyFont="1" applyAlignment="1">
      <alignment horizontal="centerContinuous"/>
    </xf>
    <xf numFmtId="0" fontId="64" fillId="0" borderId="0" xfId="95" applyFont="1" applyAlignment="1">
      <alignment horizontal="center"/>
    </xf>
    <xf numFmtId="0" fontId="7" fillId="0" borderId="2" xfId="95" applyFont="1" applyBorder="1"/>
    <xf numFmtId="0" fontId="6" fillId="0" borderId="0" xfId="0" applyFont="1"/>
    <xf numFmtId="0" fontId="7" fillId="0" borderId="1" xfId="89" applyFont="1" applyBorder="1"/>
    <xf numFmtId="0" fontId="7" fillId="0" borderId="0" xfId="89" applyFont="1"/>
    <xf numFmtId="0" fontId="4" fillId="0" borderId="0" xfId="89" applyFont="1" applyAlignment="1">
      <alignment horizontal="center"/>
    </xf>
    <xf numFmtId="0" fontId="7" fillId="0" borderId="0" xfId="89" applyFont="1" applyAlignment="1">
      <alignment horizontal="right"/>
    </xf>
    <xf numFmtId="0" fontId="7" fillId="0" borderId="1" xfId="89" applyFont="1" applyBorder="1" applyAlignment="1">
      <alignment horizontal="center"/>
    </xf>
    <xf numFmtId="0" fontId="7" fillId="0" borderId="2" xfId="89" applyFont="1" applyBorder="1"/>
    <xf numFmtId="0" fontId="7" fillId="0" borderId="0" xfId="89" applyFont="1" applyAlignment="1">
      <alignment horizontal="center"/>
    </xf>
    <xf numFmtId="164" fontId="4" fillId="0" borderId="0" xfId="100" applyNumberFormat="1" applyFont="1"/>
    <xf numFmtId="164" fontId="4" fillId="0" borderId="0" xfId="100" applyNumberFormat="1" applyFont="1" applyAlignment="1">
      <alignment horizontal="centerContinuous"/>
    </xf>
    <xf numFmtId="178" fontId="21" fillId="0" borderId="0" xfId="0" quotePrefix="1" applyNumberFormat="1" applyFont="1" applyAlignment="1">
      <alignment horizontal="center"/>
    </xf>
    <xf numFmtId="0" fontId="68" fillId="0" borderId="0" xfId="90" applyFont="1" applyAlignment="1">
      <alignment horizontal="right"/>
    </xf>
    <xf numFmtId="0" fontId="68" fillId="0" borderId="2" xfId="0" applyFont="1" applyBorder="1"/>
    <xf numFmtId="0" fontId="68" fillId="0" borderId="2" xfId="90" applyFont="1" applyBorder="1" applyAlignment="1">
      <alignment horizontal="right"/>
    </xf>
    <xf numFmtId="0" fontId="68" fillId="0" borderId="2" xfId="90" applyFont="1" applyBorder="1" applyAlignment="1">
      <alignment horizontal="center" shrinkToFit="1"/>
    </xf>
    <xf numFmtId="0" fontId="6" fillId="0" borderId="0" xfId="98" applyFont="1"/>
    <xf numFmtId="0" fontId="2" fillId="0" borderId="0" xfId="98" applyFont="1"/>
    <xf numFmtId="0" fontId="40" fillId="0" borderId="0" xfId="98" applyFont="1"/>
    <xf numFmtId="0" fontId="28" fillId="0" borderId="2" xfId="101" applyFont="1" applyBorder="1"/>
    <xf numFmtId="0" fontId="15" fillId="0" borderId="0" xfId="101" applyFont="1"/>
    <xf numFmtId="1" fontId="72" fillId="0" borderId="0" xfId="101" applyNumberFormat="1" applyFont="1" applyAlignment="1">
      <alignment horizontal="center"/>
    </xf>
    <xf numFmtId="0" fontId="37" fillId="0" borderId="0" xfId="101" applyFont="1" applyAlignment="1">
      <alignment horizontal="center"/>
    </xf>
    <xf numFmtId="0" fontId="18" fillId="0" borderId="0" xfId="107" applyFont="1" applyAlignment="1">
      <alignment horizontal="centerContinuous"/>
    </xf>
    <xf numFmtId="0" fontId="25" fillId="0" borderId="0" xfId="107" applyFont="1" applyAlignment="1">
      <alignment horizontal="centerContinuous"/>
    </xf>
    <xf numFmtId="0" fontId="6" fillId="0" borderId="0" xfId="107" applyFont="1"/>
    <xf numFmtId="0" fontId="2" fillId="0" borderId="0" xfId="107" applyFont="1" applyAlignment="1">
      <alignment horizontal="center" shrinkToFit="1"/>
    </xf>
    <xf numFmtId="0" fontId="7" fillId="0" borderId="0" xfId="108" applyFont="1"/>
    <xf numFmtId="0" fontId="7" fillId="0" borderId="0" xfId="108" applyFont="1" applyAlignment="1">
      <alignment shrinkToFit="1"/>
    </xf>
    <xf numFmtId="0" fontId="4" fillId="0" borderId="0" xfId="108" applyFont="1" applyAlignment="1">
      <alignment horizontal="center"/>
    </xf>
    <xf numFmtId="0" fontId="7" fillId="0" borderId="0" xfId="108" applyFont="1" applyAlignment="1">
      <alignment horizontal="centerContinuous"/>
    </xf>
    <xf numFmtId="0" fontId="4" fillId="0" borderId="2" xfId="108" applyFont="1" applyBorder="1" applyAlignment="1">
      <alignment horizontal="center"/>
    </xf>
    <xf numFmtId="0" fontId="7" fillId="0" borderId="0" xfId="108" applyFont="1" applyAlignment="1">
      <alignment horizontal="center"/>
    </xf>
    <xf numFmtId="0" fontId="21" fillId="0" borderId="0" xfId="108" applyFont="1"/>
    <xf numFmtId="0" fontId="4" fillId="0" borderId="0" xfId="107" applyFont="1" applyAlignment="1">
      <alignment horizontal="center"/>
    </xf>
    <xf numFmtId="0" fontId="7" fillId="0" borderId="0" xfId="107" applyFont="1"/>
    <xf numFmtId="0" fontId="7" fillId="0" borderId="0" xfId="107" applyFont="1" applyAlignment="1">
      <alignment horizontal="center"/>
    </xf>
    <xf numFmtId="176" fontId="7" fillId="0" borderId="2" xfId="107" applyNumberFormat="1" applyFont="1" applyBorder="1"/>
    <xf numFmtId="0" fontId="4" fillId="0" borderId="0" xfId="107" applyFont="1" applyAlignment="1">
      <alignment horizontal="centerContinuous"/>
    </xf>
    <xf numFmtId="0" fontId="4" fillId="0" borderId="0" xfId="107" applyFont="1"/>
    <xf numFmtId="0" fontId="4" fillId="0" borderId="2" xfId="107" applyFont="1" applyBorder="1" applyAlignment="1">
      <alignment horizontal="center"/>
    </xf>
    <xf numFmtId="0" fontId="20" fillId="0" borderId="2" xfId="107" applyFont="1" applyBorder="1" applyAlignment="1">
      <alignment horizontal="center"/>
    </xf>
    <xf numFmtId="0" fontId="6" fillId="0" borderId="0" xfId="110" applyFont="1"/>
    <xf numFmtId="0" fontId="7" fillId="0" borderId="0" xfId="110" applyFont="1" applyAlignment="1">
      <alignment horizontal="left"/>
    </xf>
    <xf numFmtId="0" fontId="7" fillId="0" borderId="0" xfId="110" applyFont="1"/>
    <xf numFmtId="0" fontId="7" fillId="0" borderId="0" xfId="110" applyFont="1" applyAlignment="1">
      <alignment horizontal="right"/>
    </xf>
    <xf numFmtId="0" fontId="7" fillId="0" borderId="2" xfId="110" applyFont="1" applyBorder="1"/>
    <xf numFmtId="0" fontId="7" fillId="0" borderId="2" xfId="110" applyFont="1" applyBorder="1" applyAlignment="1">
      <alignment horizontal="right"/>
    </xf>
    <xf numFmtId="0" fontId="4" fillId="0" borderId="0" xfId="110" applyFont="1" applyAlignment="1">
      <alignment horizontal="center"/>
    </xf>
    <xf numFmtId="176" fontId="7" fillId="0" borderId="2" xfId="110" applyNumberFormat="1" applyFont="1" applyBorder="1"/>
    <xf numFmtId="0" fontId="4" fillId="0" borderId="0" xfId="110" applyFont="1" applyAlignment="1">
      <alignment horizontal="centerContinuous"/>
    </xf>
    <xf numFmtId="0" fontId="7" fillId="0" borderId="0" xfId="110" applyFont="1" applyAlignment="1">
      <alignment horizontal="centerContinuous"/>
    </xf>
    <xf numFmtId="0" fontId="4" fillId="0" borderId="2" xfId="110" applyFont="1" applyBorder="1" applyAlignment="1">
      <alignment horizontal="center"/>
    </xf>
    <xf numFmtId="0" fontId="3" fillId="0" borderId="0" xfId="115" applyFont="1" applyAlignment="1">
      <alignment horizontal="center" vertical="center"/>
    </xf>
    <xf numFmtId="0" fontId="6" fillId="0" borderId="0" xfId="112" applyFont="1"/>
    <xf numFmtId="0" fontId="7" fillId="0" borderId="0" xfId="112" applyFont="1"/>
    <xf numFmtId="0" fontId="6" fillId="0" borderId="0" xfId="113" applyFont="1"/>
    <xf numFmtId="0" fontId="4" fillId="0" borderId="1" xfId="113" applyFont="1" applyBorder="1" applyAlignment="1">
      <alignment horizontal="center"/>
    </xf>
    <xf numFmtId="0" fontId="4" fillId="0" borderId="0" xfId="113" applyFont="1" applyAlignment="1">
      <alignment horizontal="center"/>
    </xf>
    <xf numFmtId="0" fontId="7" fillId="0" borderId="0" xfId="113" applyFont="1"/>
    <xf numFmtId="0" fontId="5" fillId="0" borderId="0" xfId="113" applyFont="1" applyAlignment="1">
      <alignment horizontal="center"/>
    </xf>
    <xf numFmtId="0" fontId="4" fillId="0" borderId="0" xfId="113" applyFont="1"/>
    <xf numFmtId="0" fontId="4" fillId="0" borderId="0" xfId="113" applyFont="1" applyAlignment="1">
      <alignment horizontal="right"/>
    </xf>
    <xf numFmtId="37" fontId="7" fillId="0" borderId="0" xfId="113" applyNumberFormat="1" applyFont="1"/>
    <xf numFmtId="0" fontId="7" fillId="0" borderId="0" xfId="105" applyFont="1"/>
    <xf numFmtId="0" fontId="7" fillId="0" borderId="0" xfId="113" applyFont="1" applyAlignment="1">
      <alignment horizontal="center" shrinkToFit="1"/>
    </xf>
    <xf numFmtId="0" fontId="4" fillId="0" borderId="2" xfId="113" applyFont="1" applyBorder="1"/>
    <xf numFmtId="0" fontId="7" fillId="0" borderId="2" xfId="113" applyFont="1" applyBorder="1" applyAlignment="1">
      <alignment horizontal="center" shrinkToFit="1"/>
    </xf>
    <xf numFmtId="0" fontId="7" fillId="0" borderId="2" xfId="113" applyFont="1" applyBorder="1"/>
    <xf numFmtId="0" fontId="4" fillId="0" borderId="15" xfId="0" applyFont="1" applyBorder="1" applyAlignment="1">
      <alignment horizontal="center"/>
    </xf>
    <xf numFmtId="0" fontId="12" fillId="0" borderId="0" xfId="103" applyFont="1"/>
    <xf numFmtId="0" fontId="2" fillId="0" borderId="0" xfId="114" applyFont="1"/>
    <xf numFmtId="0" fontId="2" fillId="0" borderId="0" xfId="114" applyFont="1" applyAlignment="1">
      <alignment horizontal="center" shrinkToFit="1"/>
    </xf>
    <xf numFmtId="0" fontId="7" fillId="0" borderId="0" xfId="88" applyFont="1" applyAlignment="1">
      <alignment horizontal="center"/>
    </xf>
    <xf numFmtId="0" fontId="69" fillId="0" borderId="0" xfId="0" applyFont="1"/>
    <xf numFmtId="176" fontId="64" fillId="0" borderId="8" xfId="0" applyNumberFormat="1" applyFont="1" applyBorder="1"/>
    <xf numFmtId="176" fontId="64" fillId="0" borderId="0" xfId="0" applyNumberFormat="1" applyFont="1"/>
    <xf numFmtId="0" fontId="64" fillId="0" borderId="8" xfId="0" applyFont="1" applyBorder="1"/>
    <xf numFmtId="172" fontId="36" fillId="0" borderId="6" xfId="82" applyNumberFormat="1" applyFont="1" applyBorder="1" applyAlignment="1" applyProtection="1">
      <alignment horizontal="center"/>
    </xf>
    <xf numFmtId="0" fontId="3" fillId="0" borderId="0" xfId="107" applyFont="1" applyAlignment="1">
      <alignment horizontal="center"/>
    </xf>
    <xf numFmtId="0" fontId="6" fillId="0" borderId="0" xfId="104" applyFont="1"/>
    <xf numFmtId="0" fontId="7" fillId="0" borderId="0" xfId="104" applyFont="1" applyAlignment="1">
      <alignment horizontal="centerContinuous"/>
    </xf>
    <xf numFmtId="0" fontId="7" fillId="0" borderId="0" xfId="104" applyFont="1"/>
    <xf numFmtId="0" fontId="7" fillId="0" borderId="0" xfId="112" applyFont="1" applyAlignment="1">
      <alignment horizontal="left"/>
    </xf>
    <xf numFmtId="0" fontId="7" fillId="0" borderId="1" xfId="111" applyFont="1" applyBorder="1" applyAlignment="1">
      <alignment horizontal="center" shrinkToFit="1"/>
    </xf>
    <xf numFmtId="0" fontId="7" fillId="0" borderId="0" xfId="111" applyFont="1" applyAlignment="1">
      <alignment horizontal="center" shrinkToFit="1"/>
    </xf>
    <xf numFmtId="0" fontId="7" fillId="0" borderId="0" xfId="112" applyFont="1" applyAlignment="1">
      <alignment horizontal="right"/>
    </xf>
    <xf numFmtId="0" fontId="7" fillId="0" borderId="0" xfId="112" applyFont="1" applyAlignment="1">
      <alignment horizontal="center"/>
    </xf>
    <xf numFmtId="0" fontId="7" fillId="0" borderId="2" xfId="104" applyFont="1" applyBorder="1"/>
    <xf numFmtId="0" fontId="7" fillId="0" borderId="2" xfId="104" applyFont="1" applyBorder="1" applyAlignment="1">
      <alignment horizontal="right"/>
    </xf>
    <xf numFmtId="0" fontId="4" fillId="0" borderId="0" xfId="104" applyFont="1" applyAlignment="1">
      <alignment horizontal="center"/>
    </xf>
    <xf numFmtId="0" fontId="4" fillId="0" borderId="0" xfId="104" applyFont="1" applyAlignment="1">
      <alignment horizontal="centerContinuous"/>
    </xf>
    <xf numFmtId="0" fontId="4" fillId="0" borderId="16" xfId="104" applyFont="1" applyBorder="1" applyAlignment="1">
      <alignment horizontal="centerContinuous"/>
    </xf>
    <xf numFmtId="0" fontId="7" fillId="0" borderId="16" xfId="104" applyFont="1" applyBorder="1" applyAlignment="1">
      <alignment horizontal="centerContinuous"/>
    </xf>
    <xf numFmtId="0" fontId="20" fillId="0" borderId="2" xfId="104" applyFont="1" applyBorder="1" applyAlignment="1">
      <alignment horizontal="center"/>
    </xf>
    <xf numFmtId="0" fontId="4" fillId="0" borderId="2" xfId="104" applyFont="1" applyBorder="1" applyAlignment="1">
      <alignment horizontal="center"/>
    </xf>
    <xf numFmtId="176" fontId="7" fillId="0" borderId="17" xfId="104" applyNumberFormat="1" applyFont="1" applyBorder="1"/>
    <xf numFmtId="0" fontId="58" fillId="0" borderId="0" xfId="104" applyFont="1"/>
    <xf numFmtId="164" fontId="2" fillId="0" borderId="0" xfId="106" applyNumberFormat="1" applyFont="1"/>
    <xf numFmtId="164" fontId="7" fillId="0" borderId="1" xfId="106" applyNumberFormat="1" applyFont="1" applyBorder="1" applyAlignment="1">
      <alignment horizontal="center" shrinkToFit="1"/>
    </xf>
    <xf numFmtId="0" fontId="8" fillId="0" borderId="0" xfId="106"/>
    <xf numFmtId="164" fontId="15" fillId="0" borderId="2" xfId="106" applyNumberFormat="1" applyFont="1" applyBorder="1"/>
    <xf numFmtId="164" fontId="13" fillId="0" borderId="2" xfId="106" applyNumberFormat="1" applyFont="1" applyBorder="1"/>
    <xf numFmtId="164" fontId="15" fillId="0" borderId="0" xfId="106" applyNumberFormat="1" applyFont="1"/>
    <xf numFmtId="164" fontId="7" fillId="0" borderId="0" xfId="106" applyNumberFormat="1" applyFont="1"/>
    <xf numFmtId="164" fontId="4" fillId="0" borderId="0" xfId="106" applyNumberFormat="1" applyFont="1"/>
    <xf numFmtId="164" fontId="4" fillId="0" borderId="0" xfId="106" applyNumberFormat="1" applyFont="1" applyAlignment="1">
      <alignment horizontal="right"/>
    </xf>
    <xf numFmtId="164" fontId="12" fillId="0" borderId="0" xfId="106" applyNumberFormat="1" applyFont="1"/>
    <xf numFmtId="0" fontId="76" fillId="0" borderId="0" xfId="112" applyFont="1" applyAlignment="1">
      <alignment horizontal="left"/>
    </xf>
    <xf numFmtId="0" fontId="3" fillId="0" borderId="0" xfId="104" applyFont="1" applyAlignment="1">
      <alignment horizontal="left"/>
    </xf>
    <xf numFmtId="0" fontId="77" fillId="0" borderId="2" xfId="108" applyFont="1" applyBorder="1" applyAlignment="1">
      <alignment horizontal="center"/>
    </xf>
    <xf numFmtId="0" fontId="3" fillId="0" borderId="0" xfId="115" applyFont="1" applyAlignment="1">
      <alignment horizontal="center"/>
    </xf>
    <xf numFmtId="0" fontId="7" fillId="0" borderId="1" xfId="110" applyFont="1" applyBorder="1" applyAlignment="1">
      <alignment horizontal="center"/>
    </xf>
    <xf numFmtId="0" fontId="7" fillId="0" borderId="0" xfId="110" applyFont="1" applyAlignment="1">
      <alignment horizontal="center"/>
    </xf>
    <xf numFmtId="176" fontId="7" fillId="0" borderId="0" xfId="110" applyNumberFormat="1" applyFont="1"/>
    <xf numFmtId="175" fontId="7" fillId="0" borderId="0" xfId="110" applyNumberFormat="1" applyFont="1"/>
    <xf numFmtId="0" fontId="4" fillId="0" borderId="0" xfId="110" applyFont="1"/>
    <xf numFmtId="0" fontId="44" fillId="0" borderId="0" xfId="82" applyNumberFormat="1" applyFont="1" applyProtection="1"/>
    <xf numFmtId="172" fontId="36" fillId="0" borderId="0" xfId="82" applyNumberFormat="1" applyFont="1" applyAlignment="1" applyProtection="1">
      <alignment horizontal="center"/>
    </xf>
    <xf numFmtId="0" fontId="51" fillId="0" borderId="0" xfId="0" applyFont="1"/>
    <xf numFmtId="179" fontId="21" fillId="0" borderId="0" xfId="0" applyNumberFormat="1" applyFont="1"/>
    <xf numFmtId="179" fontId="17" fillId="0" borderId="0" xfId="0" applyNumberFormat="1" applyFont="1"/>
    <xf numFmtId="0" fontId="48" fillId="0" borderId="0" xfId="81" applyFont="1"/>
    <xf numFmtId="0" fontId="48" fillId="0" borderId="0" xfId="81" applyFont="1" applyAlignment="1">
      <alignment horizontal="center"/>
    </xf>
    <xf numFmtId="0" fontId="38" fillId="0" borderId="0" xfId="81" applyFont="1" applyAlignment="1">
      <alignment horizontal="center"/>
    </xf>
    <xf numFmtId="164" fontId="7" fillId="0" borderId="0" xfId="115" applyNumberFormat="1" applyFont="1" applyAlignment="1">
      <alignment horizontal="center"/>
    </xf>
    <xf numFmtId="1" fontId="7" fillId="0" borderId="0" xfId="82" applyNumberFormat="1" applyFont="1" applyAlignment="1" applyProtection="1">
      <alignment horizontal="center"/>
    </xf>
    <xf numFmtId="0" fontId="7" fillId="0" borderId="0" xfId="95" applyFont="1" applyAlignment="1">
      <alignment horizontal="left"/>
    </xf>
    <xf numFmtId="0" fontId="7" fillId="0" borderId="0" xfId="95" applyFont="1" applyAlignment="1">
      <alignment horizontal="center"/>
    </xf>
    <xf numFmtId="0" fontId="7" fillId="0" borderId="0" xfId="98" applyFont="1" applyAlignment="1">
      <alignment horizontal="centerContinuous"/>
    </xf>
    <xf numFmtId="0" fontId="21" fillId="0" borderId="0" xfId="0" applyFont="1" applyAlignment="1">
      <alignment horizontal="center"/>
    </xf>
    <xf numFmtId="176" fontId="38" fillId="0" borderId="0" xfId="81" applyNumberFormat="1" applyFont="1"/>
    <xf numFmtId="164" fontId="17" fillId="0" borderId="0" xfId="106" applyNumberFormat="1" applyFont="1"/>
    <xf numFmtId="164" fontId="80" fillId="0" borderId="0" xfId="106" applyNumberFormat="1" applyFont="1"/>
    <xf numFmtId="0" fontId="73" fillId="0" borderId="0" xfId="108" applyFont="1"/>
    <xf numFmtId="164" fontId="5" fillId="0" borderId="0" xfId="106" applyNumberFormat="1" applyFont="1"/>
    <xf numFmtId="164" fontId="4" fillId="0" borderId="8" xfId="106" applyNumberFormat="1" applyFont="1" applyBorder="1" applyAlignment="1">
      <alignment horizontal="center"/>
    </xf>
    <xf numFmtId="164" fontId="17" fillId="0" borderId="0" xfId="106" applyNumberFormat="1" applyFont="1" applyAlignment="1">
      <alignment horizontal="center"/>
    </xf>
    <xf numFmtId="0" fontId="0" fillId="0" borderId="0" xfId="0" applyAlignment="1">
      <alignment vertical="top"/>
    </xf>
    <xf numFmtId="0" fontId="4" fillId="0" borderId="0" xfId="0" applyFont="1" applyAlignment="1">
      <alignment vertical="top"/>
    </xf>
    <xf numFmtId="0" fontId="12" fillId="0" borderId="0" xfId="0" applyFont="1" applyAlignment="1">
      <alignment vertical="top"/>
    </xf>
    <xf numFmtId="0" fontId="2" fillId="0" borderId="0" xfId="0" applyFont="1" applyAlignment="1">
      <alignment vertical="top"/>
    </xf>
    <xf numFmtId="0" fontId="2" fillId="0" borderId="0" xfId="89" applyFont="1" applyAlignment="1">
      <alignment horizontal="left" indent="1"/>
    </xf>
    <xf numFmtId="0" fontId="2" fillId="0" borderId="0" xfId="0" applyFont="1"/>
    <xf numFmtId="0" fontId="2" fillId="0" borderId="0" xfId="89" applyFont="1"/>
    <xf numFmtId="0" fontId="2" fillId="0" borderId="0" xfId="89" applyFont="1" applyAlignment="1">
      <alignment horizontal="left" indent="3"/>
    </xf>
    <xf numFmtId="0" fontId="64" fillId="0" borderId="0" xfId="89" applyFont="1"/>
    <xf numFmtId="176" fontId="7" fillId="0" borderId="1" xfId="84" applyNumberFormat="1" applyFont="1" applyBorder="1" applyProtection="1">
      <protection locked="0"/>
    </xf>
    <xf numFmtId="176" fontId="7" fillId="0" borderId="4" xfId="84" applyNumberFormat="1" applyFont="1" applyBorder="1" applyProtection="1">
      <protection locked="0"/>
    </xf>
    <xf numFmtId="49" fontId="7" fillId="0" borderId="0" xfId="89" applyNumberFormat="1" applyFont="1"/>
    <xf numFmtId="0" fontId="21" fillId="0" borderId="0" xfId="0" applyFont="1" applyAlignment="1">
      <alignment horizontal="left"/>
    </xf>
    <xf numFmtId="170" fontId="64" fillId="0" borderId="0" xfId="0" applyNumberFormat="1" applyFont="1"/>
    <xf numFmtId="0" fontId="3" fillId="0" borderId="0" xfId="0" applyFont="1" applyAlignment="1">
      <alignment horizontal="center"/>
    </xf>
    <xf numFmtId="0" fontId="2" fillId="0" borderId="2" xfId="98" applyFont="1" applyBorder="1"/>
    <xf numFmtId="0" fontId="12" fillId="0" borderId="0" xfId="98"/>
    <xf numFmtId="0" fontId="32" fillId="0" borderId="0" xfId="98" applyFont="1" applyAlignment="1">
      <alignment horizontal="center"/>
    </xf>
    <xf numFmtId="0" fontId="45" fillId="0" borderId="1" xfId="98" applyFont="1" applyBorder="1" applyAlignment="1">
      <alignment horizontal="center"/>
    </xf>
    <xf numFmtId="0" fontId="22" fillId="0" borderId="0" xfId="98" applyFont="1" applyAlignment="1">
      <alignment horizontal="center"/>
    </xf>
    <xf numFmtId="0" fontId="17" fillId="0" borderId="0" xfId="98" applyFont="1" applyAlignment="1">
      <alignment horizontal="center"/>
    </xf>
    <xf numFmtId="0" fontId="45" fillId="0" borderId="0" xfId="98" applyFont="1" applyAlignment="1">
      <alignment horizontal="center"/>
    </xf>
    <xf numFmtId="0" fontId="33" fillId="0" borderId="0" xfId="98" applyFont="1" applyAlignment="1">
      <alignment horizontal="center"/>
    </xf>
    <xf numFmtId="0" fontId="0" fillId="0" borderId="0" xfId="0" applyAlignment="1">
      <alignment horizontal="center"/>
    </xf>
    <xf numFmtId="0" fontId="34" fillId="0" borderId="0" xfId="98" applyFont="1"/>
    <xf numFmtId="0" fontId="34" fillId="0" borderId="0" xfId="98" applyFont="1" applyAlignment="1">
      <alignment horizontal="center"/>
    </xf>
    <xf numFmtId="0" fontId="16" fillId="0" borderId="0" xfId="98" applyFont="1"/>
    <xf numFmtId="0" fontId="32" fillId="0" borderId="0" xfId="98" applyFont="1"/>
    <xf numFmtId="0" fontId="16" fillId="0" borderId="0" xfId="98" applyFont="1" applyAlignment="1">
      <alignment horizontal="left"/>
    </xf>
    <xf numFmtId="0" fontId="2" fillId="0" borderId="0" xfId="101" applyFont="1"/>
    <xf numFmtId="0" fontId="72" fillId="0" borderId="0" xfId="101" applyFont="1"/>
    <xf numFmtId="0" fontId="82" fillId="0" borderId="0" xfId="101" applyFont="1" applyAlignment="1">
      <alignment horizontal="center"/>
    </xf>
    <xf numFmtId="0" fontId="21" fillId="0" borderId="0" xfId="101" applyFont="1"/>
    <xf numFmtId="0" fontId="82" fillId="0" borderId="0" xfId="101" applyFont="1" applyAlignment="1">
      <alignment horizontal="centerContinuous"/>
    </xf>
    <xf numFmtId="0" fontId="72" fillId="0" borderId="0" xfId="101" applyFont="1" applyAlignment="1">
      <alignment horizontal="centerContinuous"/>
    </xf>
    <xf numFmtId="0" fontId="72" fillId="0" borderId="0" xfId="101" applyFont="1" applyAlignment="1">
      <alignment horizontal="left"/>
    </xf>
    <xf numFmtId="0" fontId="72" fillId="0" borderId="0" xfId="101" applyFont="1" applyAlignment="1">
      <alignment horizontal="center"/>
    </xf>
    <xf numFmtId="0" fontId="82" fillId="0" borderId="1" xfId="101" applyFont="1" applyBorder="1" applyAlignment="1">
      <alignment horizontal="centerContinuous"/>
    </xf>
    <xf numFmtId="0" fontId="72" fillId="0" borderId="1" xfId="101" applyFont="1" applyBorder="1" applyAlignment="1">
      <alignment horizontal="centerContinuous"/>
    </xf>
    <xf numFmtId="0" fontId="72" fillId="0" borderId="1" xfId="101" applyFont="1" applyBorder="1" applyAlignment="1">
      <alignment horizontal="center"/>
    </xf>
    <xf numFmtId="0" fontId="83" fillId="0" borderId="0" xfId="101" applyFont="1" applyAlignment="1">
      <alignment horizontal="left"/>
    </xf>
    <xf numFmtId="1" fontId="21" fillId="0" borderId="0" xfId="101" applyNumberFormat="1" applyFont="1" applyAlignment="1">
      <alignment horizontal="center"/>
    </xf>
    <xf numFmtId="0" fontId="75" fillId="0" borderId="0" xfId="101" applyFont="1"/>
    <xf numFmtId="0" fontId="20" fillId="0" borderId="0" xfId="101" applyFont="1" applyAlignment="1">
      <alignment horizontal="center"/>
    </xf>
    <xf numFmtId="0" fontId="20" fillId="0" borderId="0" xfId="101" applyFont="1"/>
    <xf numFmtId="176" fontId="21" fillId="0" borderId="0" xfId="101" applyNumberFormat="1" applyFont="1"/>
    <xf numFmtId="0" fontId="15" fillId="0" borderId="0" xfId="0" applyFont="1" applyAlignment="1">
      <alignment horizontal="left"/>
    </xf>
    <xf numFmtId="0" fontId="21" fillId="0" borderId="0" xfId="101" applyFont="1" applyAlignment="1">
      <alignment horizontal="left"/>
    </xf>
    <xf numFmtId="1" fontId="20" fillId="0" borderId="0" xfId="101" applyNumberFormat="1" applyFont="1" applyAlignment="1">
      <alignment horizontal="center"/>
    </xf>
    <xf numFmtId="176" fontId="21" fillId="0" borderId="0" xfId="39" applyNumberFormat="1" applyFont="1"/>
    <xf numFmtId="176" fontId="21" fillId="0" borderId="2" xfId="39" applyNumberFormat="1" applyFont="1" applyBorder="1"/>
    <xf numFmtId="40" fontId="21" fillId="0" borderId="0" xfId="39" applyFont="1"/>
    <xf numFmtId="40" fontId="84" fillId="0" borderId="0" xfId="39" applyFont="1" applyAlignment="1">
      <alignment horizontal="center"/>
    </xf>
    <xf numFmtId="176" fontId="20" fillId="0" borderId="0" xfId="39" applyNumberFormat="1" applyFont="1"/>
    <xf numFmtId="40" fontId="20" fillId="0" borderId="0" xfId="39" applyFont="1"/>
    <xf numFmtId="40" fontId="85" fillId="0" borderId="0" xfId="39" applyFont="1" applyAlignment="1">
      <alignment horizontal="left"/>
    </xf>
    <xf numFmtId="0" fontId="82" fillId="0" borderId="0" xfId="101" applyFont="1"/>
    <xf numFmtId="0" fontId="12" fillId="0" borderId="0" xfId="101"/>
    <xf numFmtId="40" fontId="12" fillId="0" borderId="0" xfId="39" applyFont="1"/>
    <xf numFmtId="0" fontId="86" fillId="0" borderId="0" xfId="98" applyFont="1"/>
    <xf numFmtId="0" fontId="44" fillId="0" borderId="0" xfId="98" applyFont="1"/>
    <xf numFmtId="176" fontId="12" fillId="0" borderId="3" xfId="38" applyNumberFormat="1" applyFont="1" applyBorder="1"/>
    <xf numFmtId="0" fontId="44" fillId="0" borderId="0" xfId="98" applyFont="1" applyAlignment="1">
      <alignment horizontal="left"/>
    </xf>
    <xf numFmtId="0" fontId="12" fillId="0" borderId="0" xfId="0" applyFont="1"/>
    <xf numFmtId="0" fontId="31" fillId="0" borderId="2" xfId="101" applyFont="1" applyBorder="1"/>
    <xf numFmtId="0" fontId="35" fillId="0" borderId="2" xfId="101" applyFont="1" applyBorder="1"/>
    <xf numFmtId="0" fontId="12" fillId="0" borderId="2" xfId="0" applyFont="1" applyBorder="1"/>
    <xf numFmtId="0" fontId="28" fillId="0" borderId="2" xfId="101" applyFont="1" applyBorder="1" applyAlignment="1">
      <alignment horizontal="right"/>
    </xf>
    <xf numFmtId="0" fontId="15" fillId="0" borderId="0" xfId="0" applyFont="1"/>
    <xf numFmtId="0" fontId="15" fillId="0" borderId="1" xfId="0" applyFont="1" applyBorder="1" applyAlignment="1">
      <alignment horizontal="center"/>
    </xf>
    <xf numFmtId="0" fontId="15" fillId="0" borderId="0" xfId="0" applyFont="1" applyAlignment="1">
      <alignment horizontal="center"/>
    </xf>
    <xf numFmtId="0" fontId="20" fillId="0" borderId="0" xfId="0" applyFont="1"/>
    <xf numFmtId="0" fontId="15" fillId="0" borderId="0" xfId="0" applyFont="1" applyAlignment="1">
      <alignment horizontal="left" indent="1"/>
    </xf>
    <xf numFmtId="0" fontId="82" fillId="0" borderId="0" xfId="0" applyFont="1"/>
    <xf numFmtId="176" fontId="15" fillId="0" borderId="16" xfId="38" applyNumberFormat="1" applyFont="1" applyBorder="1"/>
    <xf numFmtId="49" fontId="87" fillId="0" borderId="0" xfId="0" applyNumberFormat="1" applyFont="1"/>
    <xf numFmtId="0" fontId="82" fillId="0" borderId="0" xfId="0" applyFont="1" applyAlignment="1">
      <alignment horizontal="left"/>
    </xf>
    <xf numFmtId="0" fontId="87" fillId="0" borderId="0" xfId="0" quotePrefix="1" applyFont="1" applyAlignment="1">
      <alignment horizontal="left"/>
    </xf>
    <xf numFmtId="0" fontId="2" fillId="0" borderId="0" xfId="101" applyFont="1" applyAlignment="1">
      <alignment horizontal="right"/>
    </xf>
    <xf numFmtId="0" fontId="31" fillId="0" borderId="0" xfId="101" applyFont="1"/>
    <xf numFmtId="0" fontId="15" fillId="0" borderId="0" xfId="0" quotePrefix="1" applyFont="1" applyAlignment="1">
      <alignment horizontal="left"/>
    </xf>
    <xf numFmtId="0" fontId="88" fillId="0" borderId="0" xfId="0" applyFont="1" applyAlignment="1">
      <alignment horizontal="center"/>
    </xf>
    <xf numFmtId="0" fontId="89" fillId="0" borderId="0" xfId="0" applyFont="1"/>
    <xf numFmtId="0" fontId="89" fillId="0" borderId="0" xfId="0" quotePrefix="1" applyFont="1" applyAlignment="1">
      <alignment horizontal="left"/>
    </xf>
    <xf numFmtId="0" fontId="15" fillId="0" borderId="0" xfId="0" applyFont="1" applyAlignment="1">
      <alignment horizontal="right"/>
    </xf>
    <xf numFmtId="0" fontId="12" fillId="0" borderId="0" xfId="0" applyFont="1" applyAlignment="1">
      <alignment horizontal="right"/>
    </xf>
    <xf numFmtId="0" fontId="12" fillId="0" borderId="0" xfId="0" applyFont="1" applyAlignment="1">
      <alignment horizontal="center"/>
    </xf>
    <xf numFmtId="0" fontId="21" fillId="0" borderId="1" xfId="0" applyFont="1" applyBorder="1" applyAlignment="1">
      <alignment horizontal="center"/>
    </xf>
    <xf numFmtId="0" fontId="20" fillId="0" borderId="0" xfId="0" applyFont="1" applyAlignment="1">
      <alignment horizontal="center"/>
    </xf>
    <xf numFmtId="0" fontId="0" fillId="0" borderId="0" xfId="0" applyAlignment="1">
      <alignment horizontal="left"/>
    </xf>
    <xf numFmtId="0" fontId="2" fillId="0" borderId="0" xfId="0" applyFont="1" applyAlignment="1">
      <alignment horizontal="center"/>
    </xf>
    <xf numFmtId="176" fontId="21" fillId="0" borderId="14" xfId="39" applyNumberFormat="1" applyFont="1" applyBorder="1"/>
    <xf numFmtId="0" fontId="15" fillId="0" borderId="1" xfId="0" applyFont="1" applyBorder="1"/>
    <xf numFmtId="0" fontId="15" fillId="0" borderId="3" xfId="0" applyFont="1" applyBorder="1"/>
    <xf numFmtId="0" fontId="72" fillId="0" borderId="1" xfId="0" applyFont="1" applyBorder="1"/>
    <xf numFmtId="0" fontId="72" fillId="0" borderId="3" xfId="0" applyFont="1" applyBorder="1"/>
    <xf numFmtId="0" fontId="84" fillId="0" borderId="0" xfId="0" applyFont="1"/>
    <xf numFmtId="0" fontId="23" fillId="0" borderId="0" xfId="0" applyFont="1"/>
    <xf numFmtId="0" fontId="2" fillId="0" borderId="0" xfId="98" applyFont="1" applyAlignment="1">
      <alignment horizontal="right"/>
    </xf>
    <xf numFmtId="0" fontId="17" fillId="0" borderId="1" xfId="98" applyFont="1" applyBorder="1" applyAlignment="1">
      <alignment horizontal="center"/>
    </xf>
    <xf numFmtId="0" fontId="45" fillId="0" borderId="8" xfId="98" applyFont="1" applyBorder="1" applyAlignment="1">
      <alignment horizontal="center"/>
    </xf>
    <xf numFmtId="0" fontId="2" fillId="0" borderId="8" xfId="98" applyFont="1" applyBorder="1" applyAlignment="1">
      <alignment horizontal="center"/>
    </xf>
    <xf numFmtId="0" fontId="2" fillId="0" borderId="0" xfId="98" applyFont="1" applyAlignment="1">
      <alignment horizontal="center"/>
    </xf>
    <xf numFmtId="0" fontId="71" fillId="0" borderId="0" xfId="98" applyFont="1"/>
    <xf numFmtId="0" fontId="15" fillId="0" borderId="0" xfId="98" applyFont="1"/>
    <xf numFmtId="174" fontId="12" fillId="0" borderId="1" xfId="38" applyNumberFormat="1" applyFont="1" applyBorder="1"/>
    <xf numFmtId="174" fontId="12" fillId="0" borderId="0" xfId="38" applyNumberFormat="1" applyFont="1"/>
    <xf numFmtId="174" fontId="12" fillId="0" borderId="2" xfId="38" applyNumberFormat="1" applyFont="1" applyBorder="1"/>
    <xf numFmtId="174" fontId="12" fillId="0" borderId="18" xfId="38" applyNumberFormat="1" applyFont="1" applyBorder="1"/>
    <xf numFmtId="174" fontId="12" fillId="0" borderId="14" xfId="38" applyNumberFormat="1" applyFont="1" applyBorder="1"/>
    <xf numFmtId="174" fontId="0" fillId="0" borderId="19" xfId="0" applyNumberFormat="1" applyBorder="1"/>
    <xf numFmtId="174" fontId="16" fillId="0" borderId="0" xfId="38" applyNumberFormat="1" applyFont="1"/>
    <xf numFmtId="174" fontId="28" fillId="0" borderId="0" xfId="38" applyNumberFormat="1" applyFont="1"/>
    <xf numFmtId="174" fontId="82" fillId="0" borderId="0" xfId="38" applyNumberFormat="1" applyFont="1"/>
    <xf numFmtId="0" fontId="4" fillId="0" borderId="0" xfId="0" applyFont="1" applyAlignment="1">
      <alignment vertical="top" wrapText="1"/>
    </xf>
    <xf numFmtId="0" fontId="0" fillId="0" borderId="2" xfId="0" applyBorder="1" applyAlignment="1">
      <alignment vertical="top" wrapText="1"/>
    </xf>
    <xf numFmtId="0" fontId="5" fillId="0" borderId="0" xfId="89" applyFont="1"/>
    <xf numFmtId="49" fontId="17" fillId="0" borderId="0" xfId="106" applyNumberFormat="1" applyFont="1" applyAlignment="1">
      <alignment horizontal="center"/>
    </xf>
    <xf numFmtId="164" fontId="13" fillId="0" borderId="0" xfId="106" applyNumberFormat="1" applyFont="1"/>
    <xf numFmtId="43" fontId="12" fillId="0" borderId="0" xfId="89" applyNumberFormat="1"/>
    <xf numFmtId="176" fontId="12" fillId="0" borderId="0" xfId="0" applyNumberFormat="1" applyFont="1"/>
    <xf numFmtId="0" fontId="35" fillId="0" borderId="0" xfId="101" applyFont="1"/>
    <xf numFmtId="0" fontId="51" fillId="0" borderId="0" xfId="0" applyFont="1" applyAlignment="1" applyProtection="1">
      <alignment horizontal="center"/>
      <protection hidden="1"/>
    </xf>
    <xf numFmtId="0" fontId="51" fillId="0" borderId="0" xfId="0" applyFont="1" applyProtection="1">
      <protection hidden="1"/>
    </xf>
    <xf numFmtId="49" fontId="51" fillId="0" borderId="0" xfId="0" applyNumberFormat="1" applyFont="1" applyAlignment="1" applyProtection="1">
      <alignment horizontal="center"/>
      <protection hidden="1"/>
    </xf>
    <xf numFmtId="15" fontId="0" fillId="0" borderId="0" xfId="0" quotePrefix="1" applyNumberFormat="1"/>
    <xf numFmtId="180" fontId="2" fillId="0" borderId="0" xfId="0" applyNumberFormat="1" applyFont="1"/>
    <xf numFmtId="0" fontId="14" fillId="0" borderId="0" xfId="0" applyFont="1" applyAlignment="1">
      <alignment horizontal="left"/>
    </xf>
    <xf numFmtId="0" fontId="14" fillId="0" borderId="0" xfId="0" applyFont="1"/>
    <xf numFmtId="185" fontId="2" fillId="0" borderId="0" xfId="40" applyNumberFormat="1" applyProtection="1">
      <protection locked="0"/>
    </xf>
    <xf numFmtId="180" fontId="2" fillId="0" borderId="0" xfId="0" applyNumberFormat="1" applyFont="1" applyProtection="1">
      <protection locked="0"/>
    </xf>
    <xf numFmtId="166" fontId="15" fillId="0" borderId="0" xfId="0" applyNumberFormat="1" applyFont="1"/>
    <xf numFmtId="183" fontId="15" fillId="0" borderId="0" xfId="0" applyNumberFormat="1" applyFont="1"/>
    <xf numFmtId="180" fontId="94" fillId="0" borderId="4" xfId="124" applyNumberFormat="1" applyFont="1" applyBorder="1" applyProtection="1"/>
    <xf numFmtId="173" fontId="20" fillId="0" borderId="0" xfId="0" applyNumberFormat="1" applyFont="1"/>
    <xf numFmtId="180" fontId="94" fillId="0" borderId="4" xfId="0" applyNumberFormat="1" applyFont="1" applyBorder="1"/>
    <xf numFmtId="173" fontId="14" fillId="0" borderId="0" xfId="0" applyNumberFormat="1" applyFont="1"/>
    <xf numFmtId="180" fontId="94" fillId="0" borderId="1" xfId="0" applyNumberFormat="1" applyFont="1" applyBorder="1"/>
    <xf numFmtId="185" fontId="94" fillId="0" borderId="3" xfId="0" applyNumberFormat="1" applyFont="1" applyBorder="1"/>
    <xf numFmtId="180" fontId="95" fillId="0" borderId="0" xfId="127" applyNumberFormat="1" applyFont="1" applyBorder="1" applyAlignment="1">
      <alignment horizontal="center"/>
    </xf>
    <xf numFmtId="165" fontId="14" fillId="0" borderId="0" xfId="0" applyNumberFormat="1" applyFont="1"/>
    <xf numFmtId="180" fontId="96" fillId="2" borderId="1" xfId="126" applyNumberFormat="1" applyFont="1" applyFill="1" applyBorder="1" applyAlignment="1">
      <alignment horizontal="center"/>
    </xf>
    <xf numFmtId="180" fontId="44" fillId="0" borderId="0" xfId="0" applyNumberFormat="1" applyFont="1"/>
    <xf numFmtId="180" fontId="71" fillId="0" borderId="0" xfId="0" applyNumberFormat="1" applyFont="1"/>
    <xf numFmtId="0" fontId="71" fillId="0" borderId="0" xfId="0" applyFont="1"/>
    <xf numFmtId="181" fontId="96" fillId="2" borderId="1" xfId="126" applyFont="1" applyFill="1" applyBorder="1" applyAlignment="1">
      <alignment horizontal="center"/>
    </xf>
    <xf numFmtId="180" fontId="97" fillId="0" borderId="0" xfId="0" applyNumberFormat="1" applyFont="1"/>
    <xf numFmtId="184" fontId="97" fillId="0" borderId="0" xfId="0" applyNumberFormat="1" applyFont="1"/>
    <xf numFmtId="0" fontId="14" fillId="0" borderId="0" xfId="0" applyFont="1" applyAlignment="1">
      <alignment horizontal="center"/>
    </xf>
    <xf numFmtId="0" fontId="25" fillId="0" borderId="0" xfId="92" applyFont="1"/>
    <xf numFmtId="0" fontId="27" fillId="0" borderId="0" xfId="92" applyFont="1"/>
    <xf numFmtId="0" fontId="7" fillId="0" borderId="0" xfId="92" applyFont="1"/>
    <xf numFmtId="0" fontId="4" fillId="0" borderId="0" xfId="92" applyFont="1" applyAlignment="1">
      <alignment horizontal="center"/>
    </xf>
    <xf numFmtId="0" fontId="7" fillId="0" borderId="0" xfId="92" applyFont="1" applyAlignment="1">
      <alignment horizontal="right"/>
    </xf>
    <xf numFmtId="0" fontId="7" fillId="0" borderId="2" xfId="92" applyFont="1" applyBorder="1"/>
    <xf numFmtId="5" fontId="7" fillId="0" borderId="0" xfId="92" applyNumberFormat="1" applyFont="1"/>
    <xf numFmtId="172" fontId="4" fillId="0" borderId="0" xfId="92" applyNumberFormat="1" applyFont="1" applyAlignment="1">
      <alignment horizontal="center"/>
    </xf>
    <xf numFmtId="0" fontId="4" fillId="0" borderId="0" xfId="92" applyFont="1"/>
    <xf numFmtId="176" fontId="7" fillId="0" borderId="0" xfId="92" applyNumberFormat="1" applyFont="1"/>
    <xf numFmtId="0" fontId="12" fillId="0" borderId="0" xfId="92"/>
    <xf numFmtId="0" fontId="15" fillId="0" borderId="0" xfId="92" applyFont="1"/>
    <xf numFmtId="10" fontId="7" fillId="0" borderId="0" xfId="130" applyNumberFormat="1" applyFont="1"/>
    <xf numFmtId="0" fontId="3" fillId="0" borderId="0" xfId="88" applyFont="1" applyAlignment="1">
      <alignment horizontal="center"/>
    </xf>
    <xf numFmtId="0" fontId="4" fillId="0" borderId="0" xfId="88" applyFont="1" applyAlignment="1">
      <alignment horizontal="center"/>
    </xf>
    <xf numFmtId="0" fontId="62" fillId="0" borderId="0" xfId="0" applyFont="1" applyAlignment="1">
      <alignment horizontal="left"/>
    </xf>
    <xf numFmtId="0" fontId="21" fillId="0" borderId="2" xfId="0" applyFont="1" applyBorder="1"/>
    <xf numFmtId="0" fontId="4" fillId="0" borderId="0" xfId="0" applyFont="1" applyAlignment="1">
      <alignment horizontal="right"/>
    </xf>
    <xf numFmtId="176" fontId="7" fillId="0" borderId="1" xfId="0" applyNumberFormat="1" applyFont="1" applyBorder="1" applyProtection="1">
      <protection locked="0"/>
    </xf>
    <xf numFmtId="0" fontId="7" fillId="0" borderId="1" xfId="0" applyFont="1" applyBorder="1" applyProtection="1">
      <protection locked="0"/>
    </xf>
    <xf numFmtId="0" fontId="7" fillId="0" borderId="0" xfId="88" applyFont="1" applyProtection="1">
      <protection hidden="1"/>
    </xf>
    <xf numFmtId="0" fontId="7" fillId="0" borderId="0" xfId="0" applyFont="1" applyAlignment="1" applyProtection="1">
      <alignment horizontal="center"/>
      <protection hidden="1"/>
    </xf>
    <xf numFmtId="0" fontId="7" fillId="0" borderId="0" xfId="0" applyFont="1" applyProtection="1">
      <protection hidden="1"/>
    </xf>
    <xf numFmtId="176" fontId="7" fillId="0" borderId="0" xfId="0" applyNumberFormat="1" applyFont="1" applyProtection="1">
      <protection hidden="1"/>
    </xf>
    <xf numFmtId="0" fontId="66" fillId="0" borderId="0" xfId="88" applyFont="1"/>
    <xf numFmtId="0" fontId="25" fillId="0" borderId="0" xfId="88" applyFont="1" applyProtection="1">
      <protection hidden="1"/>
    </xf>
    <xf numFmtId="0" fontId="15" fillId="0" borderId="0" xfId="88" applyFont="1" applyProtection="1">
      <protection hidden="1"/>
    </xf>
    <xf numFmtId="0" fontId="66" fillId="0" borderId="0" xfId="88" applyFont="1" applyProtection="1">
      <protection hidden="1"/>
    </xf>
    <xf numFmtId="176" fontId="7" fillId="0" borderId="3" xfId="0" applyNumberFormat="1" applyFont="1" applyBorder="1"/>
    <xf numFmtId="164" fontId="3" fillId="0" borderId="0" xfId="99" applyNumberFormat="1" applyFont="1" applyAlignment="1">
      <alignment horizontal="center"/>
    </xf>
    <xf numFmtId="164" fontId="3" fillId="0" borderId="0" xfId="99" applyNumberFormat="1" applyFont="1" applyAlignment="1">
      <alignment horizontal="centerContinuous"/>
    </xf>
    <xf numFmtId="0" fontId="2" fillId="0" borderId="0" xfId="99"/>
    <xf numFmtId="0" fontId="8" fillId="0" borderId="0" xfId="115" applyAlignment="1">
      <alignment horizontal="center"/>
    </xf>
    <xf numFmtId="164" fontId="7" fillId="0" borderId="0" xfId="99" applyNumberFormat="1" applyFont="1"/>
    <xf numFmtId="164" fontId="6" fillId="0" borderId="0" xfId="99" applyNumberFormat="1" applyFont="1" applyAlignment="1">
      <alignment horizontal="center"/>
    </xf>
    <xf numFmtId="164" fontId="4" fillId="0" borderId="0" xfId="99" applyNumberFormat="1" applyFont="1"/>
    <xf numFmtId="164" fontId="7" fillId="0" borderId="0" xfId="99" applyNumberFormat="1" applyFont="1" applyAlignment="1">
      <alignment horizontal="right"/>
    </xf>
    <xf numFmtId="164" fontId="6" fillId="0" borderId="0" xfId="99" applyNumberFormat="1" applyFont="1"/>
    <xf numFmtId="164" fontId="4" fillId="0" borderId="0" xfId="99" applyNumberFormat="1" applyFont="1" applyAlignment="1">
      <alignment horizontal="centerContinuous"/>
    </xf>
    <xf numFmtId="164" fontId="3" fillId="0" borderId="2" xfId="99" applyNumberFormat="1" applyFont="1" applyBorder="1" applyAlignment="1">
      <alignment horizontal="center"/>
    </xf>
    <xf numFmtId="0" fontId="22" fillId="0" borderId="0" xfId="115" applyFont="1"/>
    <xf numFmtId="0" fontId="17" fillId="0" borderId="0" xfId="115" applyFont="1"/>
    <xf numFmtId="0" fontId="8" fillId="0" borderId="0" xfId="115" applyAlignment="1">
      <alignment horizontal="right"/>
    </xf>
    <xf numFmtId="0" fontId="17" fillId="0" borderId="0" xfId="115" applyFont="1" applyAlignment="1">
      <alignment horizontal="right"/>
    </xf>
    <xf numFmtId="0" fontId="22" fillId="0" borderId="0" xfId="99" applyFont="1" applyAlignment="1">
      <alignment horizontal="center"/>
    </xf>
    <xf numFmtId="0" fontId="17" fillId="0" borderId="0" xfId="99" applyFont="1"/>
    <xf numFmtId="0" fontId="23" fillId="0" borderId="0" xfId="115" applyFont="1" applyAlignment="1">
      <alignment horizontal="center"/>
    </xf>
    <xf numFmtId="0" fontId="23" fillId="0" borderId="0" xfId="115" applyFont="1"/>
    <xf numFmtId="0" fontId="7" fillId="0" borderId="1" xfId="82" applyNumberFormat="1" applyFont="1" applyBorder="1" applyAlignment="1">
      <alignment horizontal="center"/>
      <protection locked="0"/>
    </xf>
    <xf numFmtId="168" fontId="25" fillId="0" borderId="0" xfId="85" applyFont="1" applyProtection="1"/>
    <xf numFmtId="168" fontId="25" fillId="0" borderId="0" xfId="85" applyFont="1" applyAlignment="1" applyProtection="1">
      <alignment horizontal="centerContinuous"/>
    </xf>
    <xf numFmtId="168" fontId="7" fillId="0" borderId="0" xfId="85" applyFont="1" applyProtection="1"/>
    <xf numFmtId="1" fontId="7" fillId="0" borderId="0" xfId="85" applyNumberFormat="1" applyFont="1" applyAlignment="1" applyProtection="1">
      <alignment horizontal="center"/>
    </xf>
    <xf numFmtId="168" fontId="36" fillId="0" borderId="0" xfId="85" applyFont="1" applyAlignment="1" applyProtection="1">
      <alignment horizontal="center"/>
    </xf>
    <xf numFmtId="168" fontId="36" fillId="0" borderId="5" xfId="85" applyFont="1" applyBorder="1" applyAlignment="1" applyProtection="1">
      <alignment horizontal="center"/>
    </xf>
    <xf numFmtId="168" fontId="36" fillId="0" borderId="6" xfId="85" applyFont="1" applyBorder="1" applyAlignment="1" applyProtection="1">
      <alignment horizontal="center"/>
    </xf>
    <xf numFmtId="168" fontId="36" fillId="0" borderId="1" xfId="85" applyFont="1" applyBorder="1" applyAlignment="1" applyProtection="1">
      <alignment horizontal="center"/>
    </xf>
    <xf numFmtId="172" fontId="36" fillId="0" borderId="7" xfId="85" applyNumberFormat="1" applyFont="1" applyBorder="1" applyAlignment="1" applyProtection="1">
      <alignment horizontal="center"/>
    </xf>
    <xf numFmtId="168" fontId="36" fillId="0" borderId="7" xfId="85" applyFont="1" applyBorder="1" applyAlignment="1" applyProtection="1">
      <alignment horizontal="center"/>
    </xf>
    <xf numFmtId="168" fontId="55" fillId="0" borderId="0" xfId="85" applyFont="1" applyAlignment="1" applyProtection="1">
      <alignment horizontal="center"/>
    </xf>
    <xf numFmtId="172" fontId="36" fillId="0" borderId="0" xfId="85" applyNumberFormat="1" applyFont="1" applyAlignment="1" applyProtection="1">
      <alignment horizontal="center"/>
    </xf>
    <xf numFmtId="168" fontId="44" fillId="0" borderId="0" xfId="82" applyFont="1" applyProtection="1"/>
    <xf numFmtId="168" fontId="7" fillId="0" borderId="0" xfId="85" applyFont="1" applyAlignment="1" applyProtection="1">
      <alignment horizontal="left"/>
    </xf>
    <xf numFmtId="168" fontId="15" fillId="0" borderId="0" xfId="85" applyProtection="1"/>
    <xf numFmtId="170" fontId="7" fillId="0" borderId="1" xfId="29" applyNumberFormat="1" applyFont="1" applyBorder="1" applyProtection="1">
      <protection locked="0"/>
    </xf>
    <xf numFmtId="0" fontId="25" fillId="0" borderId="0" xfId="88" applyFont="1" applyAlignment="1">
      <alignment horizontal="center"/>
    </xf>
    <xf numFmtId="0" fontId="7" fillId="0" borderId="0" xfId="87" applyFont="1" applyAlignment="1">
      <alignment horizontal="center" shrinkToFit="1"/>
    </xf>
    <xf numFmtId="0" fontId="7" fillId="0" borderId="0" xfId="84" applyFont="1"/>
    <xf numFmtId="0" fontId="4" fillId="0" borderId="0" xfId="84" applyFont="1" applyAlignment="1">
      <alignment horizontal="center"/>
    </xf>
    <xf numFmtId="172" fontId="4" fillId="0" borderId="1" xfId="84" applyNumberFormat="1" applyFont="1" applyBorder="1" applyAlignment="1">
      <alignment horizontal="center"/>
    </xf>
    <xf numFmtId="0" fontId="4" fillId="0" borderId="1" xfId="84" applyFont="1" applyBorder="1" applyAlignment="1">
      <alignment horizontal="center"/>
    </xf>
    <xf numFmtId="0" fontId="42" fillId="0" borderId="0" xfId="84" applyFont="1"/>
    <xf numFmtId="0" fontId="7" fillId="0" borderId="0" xfId="84" applyFont="1" applyAlignment="1">
      <alignment horizontal="center"/>
    </xf>
    <xf numFmtId="176" fontId="7" fillId="0" borderId="0" xfId="84" applyNumberFormat="1" applyFont="1"/>
    <xf numFmtId="0" fontId="7" fillId="0" borderId="0" xfId="84" applyFont="1" applyAlignment="1">
      <alignment horizontal="left" indent="1"/>
    </xf>
    <xf numFmtId="176" fontId="7" fillId="0" borderId="1" xfId="84" applyNumberFormat="1" applyFont="1" applyBorder="1"/>
    <xf numFmtId="1" fontId="7" fillId="0" borderId="0" xfId="84" applyNumberFormat="1" applyFont="1" applyAlignment="1">
      <alignment horizontal="center"/>
    </xf>
    <xf numFmtId="0" fontId="2" fillId="0" borderId="0" xfId="88" applyFont="1" applyAlignment="1">
      <alignment horizontal="center"/>
    </xf>
    <xf numFmtId="0" fontId="2" fillId="0" borderId="0" xfId="88" applyFont="1"/>
    <xf numFmtId="0" fontId="17" fillId="0" borderId="0" xfId="88" applyFont="1"/>
    <xf numFmtId="0" fontId="22" fillId="0" borderId="0" xfId="0" applyFont="1" applyAlignment="1">
      <alignment horizontal="left"/>
    </xf>
    <xf numFmtId="0" fontId="17" fillId="0" borderId="0" xfId="88" applyFont="1" applyAlignment="1">
      <alignment horizontal="right"/>
    </xf>
    <xf numFmtId="0" fontId="17" fillId="0" borderId="0" xfId="0" applyFont="1" applyAlignment="1">
      <alignment horizontal="right"/>
    </xf>
    <xf numFmtId="0" fontId="7" fillId="0" borderId="1" xfId="88" applyFont="1" applyBorder="1" applyAlignment="1" applyProtection="1">
      <alignment horizontal="center"/>
      <protection locked="0"/>
    </xf>
    <xf numFmtId="0" fontId="17" fillId="0" borderId="1" xfId="0" applyFont="1" applyBorder="1" applyAlignment="1" applyProtection="1">
      <alignment horizontal="center"/>
      <protection locked="0"/>
    </xf>
    <xf numFmtId="176" fontId="7" fillId="0" borderId="0" xfId="88" applyNumberFormat="1" applyFont="1"/>
    <xf numFmtId="0" fontId="19" fillId="0" borderId="0" xfId="94" applyFont="1"/>
    <xf numFmtId="0" fontId="27" fillId="0" borderId="0" xfId="94" applyFont="1"/>
    <xf numFmtId="0" fontId="7" fillId="0" borderId="0" xfId="94" applyFont="1"/>
    <xf numFmtId="0" fontId="4" fillId="0" borderId="0" xfId="94" applyFont="1"/>
    <xf numFmtId="0" fontId="4" fillId="0" borderId="0" xfId="94" applyFont="1" applyAlignment="1">
      <alignment horizontal="center"/>
    </xf>
    <xf numFmtId="0" fontId="4" fillId="0" borderId="1" xfId="94" applyFont="1" applyBorder="1" applyAlignment="1">
      <alignment horizontal="center"/>
    </xf>
    <xf numFmtId="176" fontId="7" fillId="0" borderId="0" xfId="94" applyNumberFormat="1" applyFont="1"/>
    <xf numFmtId="0" fontId="7" fillId="0" borderId="1" xfId="94" applyFont="1" applyBorder="1"/>
    <xf numFmtId="176" fontId="7" fillId="0" borderId="1" xfId="94" applyNumberFormat="1" applyFont="1" applyBorder="1"/>
    <xf numFmtId="0" fontId="7" fillId="0" borderId="4" xfId="94" applyFont="1" applyBorder="1"/>
    <xf numFmtId="0" fontId="7" fillId="0" borderId="0" xfId="94" applyFont="1" applyAlignment="1">
      <alignment horizontal="center"/>
    </xf>
    <xf numFmtId="0" fontId="4" fillId="0" borderId="0" xfId="94" applyFont="1" applyAlignment="1">
      <alignment horizontal="left"/>
    </xf>
    <xf numFmtId="0" fontId="28" fillId="0" borderId="0" xfId="94" applyFont="1"/>
    <xf numFmtId="176" fontId="7" fillId="0" borderId="1" xfId="94" applyNumberFormat="1" applyFont="1" applyBorder="1" applyProtection="1">
      <protection locked="0"/>
    </xf>
    <xf numFmtId="0" fontId="7" fillId="0" borderId="4" xfId="94" applyFont="1" applyBorder="1" applyProtection="1">
      <protection locked="0"/>
    </xf>
    <xf numFmtId="176" fontId="12" fillId="0" borderId="1" xfId="0" applyNumberFormat="1" applyFont="1" applyBorder="1" applyProtection="1">
      <protection locked="0"/>
    </xf>
    <xf numFmtId="176" fontId="12" fillId="0" borderId="4" xfId="0" applyNumberFormat="1" applyFont="1" applyBorder="1" applyProtection="1">
      <protection locked="0"/>
    </xf>
    <xf numFmtId="170" fontId="64" fillId="0" borderId="1" xfId="95" applyNumberFormat="1" applyFont="1" applyBorder="1" applyProtection="1">
      <protection locked="0"/>
    </xf>
    <xf numFmtId="164" fontId="7" fillId="0" borderId="0" xfId="0" applyNumberFormat="1" applyFont="1" applyAlignment="1">
      <alignment horizontal="center"/>
    </xf>
    <xf numFmtId="164" fontId="4" fillId="0" borderId="2" xfId="0" applyNumberFormat="1" applyFont="1" applyBorder="1" applyAlignment="1">
      <alignment horizontal="center"/>
    </xf>
    <xf numFmtId="0" fontId="7" fillId="0" borderId="2" xfId="0" applyFont="1" applyBorder="1"/>
    <xf numFmtId="0" fontId="0" fillId="0" borderId="0" xfId="0" applyProtection="1">
      <protection hidden="1"/>
    </xf>
    <xf numFmtId="0" fontId="64" fillId="0" borderId="1" xfId="0" applyFont="1" applyBorder="1" applyAlignment="1" applyProtection="1">
      <alignment horizontal="center"/>
      <protection locked="0"/>
    </xf>
    <xf numFmtId="0" fontId="2" fillId="0" borderId="0" xfId="107" applyFont="1"/>
    <xf numFmtId="0" fontId="2" fillId="0" borderId="0" xfId="107" applyFont="1" applyAlignment="1">
      <alignment horizontal="center"/>
    </xf>
    <xf numFmtId="0" fontId="8" fillId="0" borderId="0" xfId="107"/>
    <xf numFmtId="0" fontId="61" fillId="0" borderId="0" xfId="107" applyFont="1" applyProtection="1">
      <protection hidden="1"/>
    </xf>
    <xf numFmtId="176" fontId="7" fillId="0" borderId="0" xfId="107" applyNumberFormat="1" applyFont="1" applyProtection="1">
      <protection hidden="1"/>
    </xf>
    <xf numFmtId="0" fontId="7" fillId="0" borderId="1" xfId="107" applyFont="1" applyBorder="1" applyAlignment="1" applyProtection="1">
      <alignment horizontal="center"/>
      <protection locked="0"/>
    </xf>
    <xf numFmtId="176" fontId="7" fillId="0" borderId="1" xfId="107" applyNumberFormat="1" applyFont="1" applyBorder="1" applyProtection="1">
      <protection locked="0"/>
    </xf>
    <xf numFmtId="186" fontId="7" fillId="0" borderId="1" xfId="107" applyNumberFormat="1" applyFont="1" applyBorder="1" applyAlignment="1">
      <alignment horizontal="center"/>
    </xf>
    <xf numFmtId="176" fontId="7" fillId="0" borderId="1" xfId="107" applyNumberFormat="1" applyFont="1" applyBorder="1"/>
    <xf numFmtId="0" fontId="4" fillId="0" borderId="0" xfId="89" applyFont="1"/>
    <xf numFmtId="49" fontId="5" fillId="0" borderId="0" xfId="0" applyNumberFormat="1" applyFont="1" applyAlignment="1">
      <alignment horizontal="left"/>
    </xf>
    <xf numFmtId="49" fontId="7" fillId="0" borderId="0" xfId="0" quotePrefix="1" applyNumberFormat="1" applyFont="1" applyAlignment="1">
      <alignment horizontal="left"/>
    </xf>
    <xf numFmtId="49" fontId="7" fillId="0" borderId="0" xfId="0" applyNumberFormat="1" applyFont="1"/>
    <xf numFmtId="0" fontId="4" fillId="0" borderId="0" xfId="0" applyFont="1" applyAlignment="1">
      <alignment horizontal="left" indent="5"/>
    </xf>
    <xf numFmtId="49" fontId="4" fillId="0" borderId="0" xfId="0" applyNumberFormat="1" applyFont="1" applyAlignment="1">
      <alignment horizontal="left"/>
    </xf>
    <xf numFmtId="49" fontId="7" fillId="0" borderId="0" xfId="0" applyNumberFormat="1" applyFont="1" applyAlignment="1">
      <alignment horizontal="left"/>
    </xf>
    <xf numFmtId="39" fontId="7" fillId="0" borderId="0" xfId="89" applyNumberFormat="1" applyFont="1"/>
    <xf numFmtId="49" fontId="29" fillId="0" borderId="0" xfId="0" applyNumberFormat="1" applyFont="1" applyAlignment="1">
      <alignment horizontal="left" indent="3"/>
    </xf>
    <xf numFmtId="49" fontId="7" fillId="0" borderId="0" xfId="0" applyNumberFormat="1" applyFont="1" applyAlignment="1">
      <alignment horizontal="left" indent="1"/>
    </xf>
    <xf numFmtId="49" fontId="5" fillId="0" borderId="0" xfId="0" applyNumberFormat="1" applyFont="1"/>
    <xf numFmtId="49" fontId="42" fillId="0" borderId="0" xfId="0" applyNumberFormat="1" applyFont="1" applyAlignment="1">
      <alignment horizontal="left"/>
    </xf>
    <xf numFmtId="0" fontId="63" fillId="0" borderId="0" xfId="115" applyFont="1" applyAlignment="1">
      <alignment horizontal="center" vertical="center"/>
    </xf>
    <xf numFmtId="0" fontId="3" fillId="0" borderId="0" xfId="86" applyFont="1" applyAlignment="1">
      <alignment horizontal="center"/>
    </xf>
    <xf numFmtId="0" fontId="4" fillId="0" borderId="0" xfId="108" applyFont="1" applyAlignment="1">
      <alignment horizontal="centerContinuous"/>
    </xf>
    <xf numFmtId="0" fontId="7" fillId="0" borderId="0" xfId="108" applyFont="1" applyAlignment="1">
      <alignment horizontal="left"/>
    </xf>
    <xf numFmtId="0" fontId="7" fillId="0" borderId="0" xfId="108" applyFont="1" applyAlignment="1">
      <alignment horizontal="right"/>
    </xf>
    <xf numFmtId="0" fontId="4" fillId="0" borderId="0" xfId="108" applyFont="1"/>
    <xf numFmtId="0" fontId="100" fillId="0" borderId="0" xfId="107" applyFont="1" applyAlignment="1" applyProtection="1">
      <alignment vertical="top"/>
      <protection hidden="1"/>
    </xf>
    <xf numFmtId="0" fontId="7" fillId="0" borderId="0" xfId="107" applyFont="1" applyProtection="1">
      <protection hidden="1"/>
    </xf>
    <xf numFmtId="0" fontId="7" fillId="0" borderId="1" xfId="108" applyFont="1" applyBorder="1" applyAlignment="1" applyProtection="1">
      <alignment horizontal="center"/>
      <protection locked="0"/>
    </xf>
    <xf numFmtId="0" fontId="7" fillId="0" borderId="0" xfId="108" applyFont="1" applyAlignment="1" applyProtection="1">
      <alignment horizontal="center"/>
      <protection locked="0"/>
    </xf>
    <xf numFmtId="176" fontId="7" fillId="0" borderId="1" xfId="108" applyNumberFormat="1" applyFont="1" applyBorder="1" applyProtection="1">
      <protection locked="0"/>
    </xf>
    <xf numFmtId="0" fontId="7" fillId="0" borderId="1" xfId="108" applyFont="1" applyBorder="1" applyProtection="1">
      <protection locked="0"/>
    </xf>
    <xf numFmtId="175" fontId="7" fillId="0" borderId="1" xfId="108" applyNumberFormat="1" applyFont="1" applyBorder="1" applyProtection="1">
      <protection locked="0"/>
    </xf>
    <xf numFmtId="0" fontId="7" fillId="0" borderId="0" xfId="108" applyFont="1" applyProtection="1">
      <protection hidden="1"/>
    </xf>
    <xf numFmtId="0" fontId="7" fillId="0" borderId="1" xfId="110" applyFont="1" applyBorder="1" applyProtection="1">
      <protection locked="0"/>
    </xf>
    <xf numFmtId="0" fontId="7" fillId="0" borderId="1" xfId="110" applyFont="1" applyBorder="1" applyAlignment="1" applyProtection="1">
      <alignment horizontal="center"/>
      <protection locked="0"/>
    </xf>
    <xf numFmtId="176" fontId="7" fillId="0" borderId="1" xfId="110" applyNumberFormat="1" applyFont="1" applyBorder="1" applyProtection="1">
      <protection locked="0"/>
    </xf>
    <xf numFmtId="175" fontId="7" fillId="0" borderId="1" xfId="110" applyNumberFormat="1" applyFont="1" applyBorder="1" applyProtection="1">
      <protection locked="0"/>
    </xf>
    <xf numFmtId="0" fontId="7" fillId="0" borderId="0" xfId="110" applyFont="1" applyProtection="1">
      <protection hidden="1"/>
    </xf>
    <xf numFmtId="3" fontId="21" fillId="0" borderId="0" xfId="0" applyNumberFormat="1" applyFont="1"/>
    <xf numFmtId="0" fontId="39" fillId="0" borderId="0" xfId="95" applyFont="1"/>
    <xf numFmtId="173" fontId="21" fillId="0" borderId="0" xfId="118" applyNumberFormat="1" applyFont="1" applyProtection="1"/>
    <xf numFmtId="43" fontId="0" fillId="0" borderId="0" xfId="0" applyNumberFormat="1"/>
    <xf numFmtId="0" fontId="4" fillId="0" borderId="0" xfId="110" applyFont="1" applyAlignment="1" applyProtection="1">
      <alignment horizontal="center"/>
      <protection hidden="1"/>
    </xf>
    <xf numFmtId="0" fontId="7" fillId="0" borderId="1" xfId="104" applyFont="1" applyBorder="1" applyProtection="1">
      <protection locked="0"/>
    </xf>
    <xf numFmtId="176" fontId="7" fillId="0" borderId="1" xfId="104" applyNumberFormat="1" applyFont="1" applyBorder="1" applyProtection="1">
      <protection locked="0"/>
    </xf>
    <xf numFmtId="0" fontId="7" fillId="0" borderId="1" xfId="104" applyFont="1" applyBorder="1" applyAlignment="1" applyProtection="1">
      <alignment horizontal="center"/>
      <protection locked="0"/>
    </xf>
    <xf numFmtId="0" fontId="7" fillId="0" borderId="0" xfId="104" applyFont="1" applyAlignment="1">
      <alignment horizontal="center"/>
    </xf>
    <xf numFmtId="0" fontId="7" fillId="0" borderId="4" xfId="104" applyFont="1" applyBorder="1" applyAlignment="1" applyProtection="1">
      <alignment horizontal="center"/>
      <protection locked="0"/>
    </xf>
    <xf numFmtId="0" fontId="7" fillId="0" borderId="0" xfId="104" applyFont="1" applyAlignment="1" applyProtection="1">
      <alignment horizontal="center"/>
      <protection locked="0"/>
    </xf>
    <xf numFmtId="168" fontId="6" fillId="0" borderId="0" xfId="83" applyFont="1" applyProtection="1"/>
    <xf numFmtId="168" fontId="2" fillId="0" borderId="0" xfId="83" applyFont="1" applyProtection="1"/>
    <xf numFmtId="168" fontId="4" fillId="0" borderId="0" xfId="83" applyFont="1" applyProtection="1"/>
    <xf numFmtId="168" fontId="64" fillId="0" borderId="0" xfId="83" applyFont="1" applyProtection="1"/>
    <xf numFmtId="168" fontId="7" fillId="0" borderId="0" xfId="83" applyFont="1" applyProtection="1"/>
    <xf numFmtId="168" fontId="4" fillId="0" borderId="0" xfId="83" applyFont="1" applyAlignment="1" applyProtection="1">
      <alignment horizontal="right"/>
    </xf>
    <xf numFmtId="1" fontId="4" fillId="0" borderId="0" xfId="83" applyNumberFormat="1" applyFont="1" applyAlignment="1" applyProtection="1">
      <alignment horizontal="center"/>
    </xf>
    <xf numFmtId="168" fontId="7" fillId="0" borderId="0" xfId="83" applyFont="1" applyAlignment="1" applyProtection="1">
      <alignment horizontal="right"/>
    </xf>
    <xf numFmtId="168" fontId="4" fillId="0" borderId="0" xfId="83" applyFont="1" applyAlignment="1" applyProtection="1">
      <alignment horizontal="center"/>
    </xf>
    <xf numFmtId="168" fontId="64" fillId="0" borderId="2" xfId="83" applyFont="1" applyBorder="1" applyProtection="1"/>
    <xf numFmtId="168" fontId="36" fillId="0" borderId="0" xfId="83" applyFont="1" applyAlignment="1" applyProtection="1">
      <alignment horizontal="center"/>
    </xf>
    <xf numFmtId="168" fontId="36" fillId="0" borderId="21" xfId="83" applyFont="1" applyBorder="1" applyAlignment="1" applyProtection="1">
      <alignment horizontal="center"/>
    </xf>
    <xf numFmtId="168" fontId="36" fillId="0" borderId="8" xfId="83" applyFont="1" applyBorder="1" applyAlignment="1" applyProtection="1">
      <alignment horizontal="center"/>
    </xf>
    <xf numFmtId="168" fontId="36" fillId="0" borderId="9" xfId="83" applyFont="1" applyBorder="1" applyAlignment="1" applyProtection="1">
      <alignment horizontal="center"/>
    </xf>
    <xf numFmtId="168" fontId="36" fillId="0" borderId="5" xfId="83" applyFont="1" applyBorder="1" applyAlignment="1" applyProtection="1">
      <alignment horizontal="center"/>
    </xf>
    <xf numFmtId="168" fontId="36" fillId="0" borderId="10" xfId="83" applyFont="1" applyBorder="1" applyAlignment="1" applyProtection="1">
      <alignment horizontal="center"/>
    </xf>
    <xf numFmtId="168" fontId="36" fillId="0" borderId="11" xfId="83" applyFont="1" applyBorder="1" applyAlignment="1" applyProtection="1">
      <alignment horizontal="center"/>
    </xf>
    <xf numFmtId="168" fontId="36" fillId="0" borderId="6" xfId="83" applyFont="1" applyBorder="1" applyAlignment="1" applyProtection="1">
      <alignment horizontal="center"/>
    </xf>
    <xf numFmtId="168" fontId="36" fillId="0" borderId="7" xfId="83" applyFont="1" applyBorder="1" applyAlignment="1" applyProtection="1">
      <alignment horizontal="center"/>
    </xf>
    <xf numFmtId="176" fontId="64" fillId="0" borderId="1" xfId="122" applyNumberFormat="1" applyFont="1" applyBorder="1" applyProtection="1"/>
    <xf numFmtId="176" fontId="64" fillId="0" borderId="0" xfId="83" applyNumberFormat="1" applyFont="1" applyProtection="1"/>
    <xf numFmtId="176" fontId="64" fillId="0" borderId="14" xfId="122" applyNumberFormat="1" applyFont="1" applyBorder="1" applyProtection="1"/>
    <xf numFmtId="168" fontId="7" fillId="0" borderId="0" xfId="83" applyFont="1" applyAlignment="1" applyProtection="1">
      <alignment horizontal="left"/>
    </xf>
    <xf numFmtId="168" fontId="61" fillId="0" borderId="0" xfId="83" applyFont="1" applyProtection="1"/>
    <xf numFmtId="168" fontId="15" fillId="0" borderId="0" xfId="83" applyProtection="1"/>
    <xf numFmtId="0" fontId="64" fillId="0" borderId="4" xfId="0" applyFont="1" applyBorder="1" applyAlignment="1" applyProtection="1">
      <alignment horizontal="center"/>
      <protection locked="0"/>
    </xf>
    <xf numFmtId="176" fontId="64" fillId="0" borderId="1" xfId="122" applyNumberFormat="1" applyFont="1" applyBorder="1">
      <protection locked="0"/>
    </xf>
    <xf numFmtId="0" fontId="7" fillId="0" borderId="1" xfId="113" applyFont="1" applyBorder="1" applyProtection="1">
      <protection locked="0"/>
    </xf>
    <xf numFmtId="176" fontId="7" fillId="0" borderId="4" xfId="113" applyNumberFormat="1" applyFont="1" applyBorder="1" applyProtection="1">
      <protection locked="0"/>
    </xf>
    <xf numFmtId="174" fontId="12" fillId="0" borderId="1" xfId="38" applyNumberFormat="1" applyFont="1" applyBorder="1" applyProtection="1">
      <protection locked="0"/>
    </xf>
    <xf numFmtId="174" fontId="12" fillId="0" borderId="4" xfId="38" applyNumberFormat="1" applyFont="1" applyBorder="1" applyProtection="1">
      <protection locked="0"/>
    </xf>
    <xf numFmtId="174" fontId="12" fillId="0" borderId="2" xfId="38" applyNumberFormat="1" applyFont="1" applyBorder="1" applyProtection="1">
      <protection locked="0"/>
    </xf>
    <xf numFmtId="174" fontId="12" fillId="0" borderId="18" xfId="38" applyNumberFormat="1" applyFont="1" applyBorder="1" applyProtection="1">
      <protection locked="0"/>
    </xf>
    <xf numFmtId="0" fontId="102" fillId="0" borderId="0" xfId="98" applyFont="1" applyAlignment="1" applyProtection="1">
      <alignment vertical="top"/>
      <protection hidden="1"/>
    </xf>
    <xf numFmtId="0" fontId="2" fillId="0" borderId="0" xfId="98" applyFont="1" applyProtection="1">
      <protection hidden="1"/>
    </xf>
    <xf numFmtId="0" fontId="21" fillId="0" borderId="0" xfId="101" applyFont="1" applyProtection="1">
      <protection hidden="1"/>
    </xf>
    <xf numFmtId="0" fontId="12" fillId="0" borderId="0" xfId="98" applyProtection="1">
      <protection hidden="1"/>
    </xf>
    <xf numFmtId="176" fontId="21" fillId="0" borderId="1" xfId="39" applyNumberFormat="1" applyFont="1" applyBorder="1" applyProtection="1">
      <protection locked="0"/>
    </xf>
    <xf numFmtId="176" fontId="21" fillId="0" borderId="4" xfId="39" applyNumberFormat="1" applyFont="1" applyBorder="1" applyProtection="1">
      <protection locked="0"/>
    </xf>
    <xf numFmtId="176" fontId="15" fillId="0" borderId="1" xfId="38" applyNumberFormat="1" applyFont="1" applyBorder="1" applyProtection="1">
      <protection locked="0"/>
    </xf>
    <xf numFmtId="176" fontId="15" fillId="0" borderId="0" xfId="38" applyNumberFormat="1" applyFont="1" applyProtection="1">
      <protection locked="0"/>
    </xf>
    <xf numFmtId="49" fontId="15" fillId="0" borderId="1" xfId="0" applyNumberFormat="1" applyFont="1" applyBorder="1" applyAlignment="1" applyProtection="1">
      <alignment horizontal="center"/>
      <protection locked="0"/>
    </xf>
    <xf numFmtId="0" fontId="15" fillId="0" borderId="1" xfId="0" applyFont="1" applyBorder="1" applyProtection="1">
      <protection locked="0"/>
    </xf>
    <xf numFmtId="49" fontId="15" fillId="0" borderId="4" xfId="0" applyNumberFormat="1" applyFont="1" applyBorder="1" applyAlignment="1" applyProtection="1">
      <alignment horizontal="center"/>
      <protection locked="0"/>
    </xf>
    <xf numFmtId="49" fontId="15" fillId="0" borderId="0" xfId="0" applyNumberFormat="1" applyFont="1" applyAlignment="1" applyProtection="1">
      <alignment horizontal="center"/>
      <protection locked="0"/>
    </xf>
    <xf numFmtId="0" fontId="22" fillId="0" borderId="1" xfId="0" applyFont="1" applyBorder="1" applyAlignment="1">
      <alignment horizontal="center"/>
    </xf>
    <xf numFmtId="0" fontId="81" fillId="0" borderId="0" xfId="57" applyFont="1" applyAlignment="1" applyProtection="1">
      <alignment horizontal="center"/>
    </xf>
    <xf numFmtId="0" fontId="18" fillId="0" borderId="0" xfId="114" applyFont="1" applyAlignment="1">
      <alignment horizontal="center"/>
    </xf>
    <xf numFmtId="49" fontId="12" fillId="0" borderId="1" xfId="0" applyNumberFormat="1" applyFont="1" applyBorder="1" applyAlignment="1" applyProtection="1">
      <alignment horizontal="center"/>
      <protection locked="0"/>
    </xf>
    <xf numFmtId="176" fontId="12" fillId="0" borderId="1" xfId="38" applyNumberFormat="1" applyFont="1" applyBorder="1" applyProtection="1">
      <protection locked="0"/>
    </xf>
    <xf numFmtId="0" fontId="12" fillId="0" borderId="0" xfId="0" applyFont="1" applyAlignment="1">
      <alignment horizontal="left"/>
    </xf>
    <xf numFmtId="0" fontId="12" fillId="0" borderId="0" xfId="0" quotePrefix="1" applyFont="1" applyAlignment="1">
      <alignment horizontal="left"/>
    </xf>
    <xf numFmtId="0" fontId="12" fillId="0" borderId="0" xfId="0" quotePrefix="1" applyFont="1"/>
    <xf numFmtId="0" fontId="17" fillId="0" borderId="0" xfId="0" applyFont="1" applyAlignment="1">
      <alignment horizontal="left"/>
    </xf>
    <xf numFmtId="0" fontId="93" fillId="0" borderId="0" xfId="0" quotePrefix="1" applyFont="1" applyAlignment="1">
      <alignment horizontal="left"/>
    </xf>
    <xf numFmtId="49" fontId="12" fillId="0" borderId="4" xfId="0" applyNumberFormat="1" applyFont="1" applyBorder="1" applyAlignment="1" applyProtection="1">
      <alignment horizontal="center"/>
      <protection locked="0"/>
    </xf>
    <xf numFmtId="0" fontId="18" fillId="0" borderId="0" xfId="114" applyFont="1"/>
    <xf numFmtId="0" fontId="2" fillId="0" borderId="0" xfId="114" applyFont="1" applyAlignment="1">
      <alignment horizontal="center"/>
    </xf>
    <xf numFmtId="0" fontId="2" fillId="0" borderId="0" xfId="114" applyFont="1" applyAlignment="1">
      <alignment shrinkToFit="1"/>
    </xf>
    <xf numFmtId="49" fontId="2" fillId="0" borderId="0" xfId="114" applyNumberFormat="1" applyFont="1" applyAlignment="1">
      <alignment horizontal="center"/>
    </xf>
    <xf numFmtId="49" fontId="2" fillId="0" borderId="1" xfId="114" applyNumberFormat="1" applyFont="1" applyBorder="1" applyAlignment="1">
      <alignment horizontal="center" shrinkToFit="1"/>
    </xf>
    <xf numFmtId="0" fontId="3" fillId="0" borderId="0" xfId="0" applyFont="1" applyAlignment="1">
      <alignment horizontal="center" wrapText="1"/>
    </xf>
    <xf numFmtId="0" fontId="4" fillId="0" borderId="1" xfId="0" applyFont="1" applyBorder="1" applyAlignment="1">
      <alignment horizontal="center" wrapText="1"/>
    </xf>
    <xf numFmtId="49" fontId="2" fillId="0" borderId="1" xfId="114" applyNumberFormat="1" applyFont="1" applyBorder="1" applyAlignment="1">
      <alignment horizontal="center"/>
    </xf>
    <xf numFmtId="0" fontId="2" fillId="0" borderId="1" xfId="114" applyFont="1" applyBorder="1" applyAlignment="1" applyProtection="1">
      <alignment horizontal="center"/>
      <protection locked="0"/>
    </xf>
    <xf numFmtId="43" fontId="2" fillId="0" borderId="0" xfId="29" applyAlignment="1" applyProtection="1">
      <alignment horizontal="center"/>
      <protection locked="0"/>
    </xf>
    <xf numFmtId="43" fontId="2" fillId="0" borderId="1" xfId="29" applyBorder="1" applyAlignment="1" applyProtection="1">
      <alignment horizontal="center"/>
      <protection locked="0"/>
    </xf>
    <xf numFmtId="166" fontId="21" fillId="0" borderId="0" xfId="0" applyNumberFormat="1" applyFont="1"/>
    <xf numFmtId="180" fontId="2" fillId="0" borderId="1" xfId="0" applyNumberFormat="1" applyFont="1" applyBorder="1" applyProtection="1">
      <protection locked="0"/>
    </xf>
    <xf numFmtId="180" fontId="96" fillId="0" borderId="0" xfId="126" applyNumberFormat="1" applyFont="1" applyAlignment="1">
      <alignment horizontal="center"/>
    </xf>
    <xf numFmtId="181" fontId="96" fillId="0" borderId="0" xfId="126" applyFont="1" applyAlignment="1">
      <alignment horizontal="center"/>
    </xf>
    <xf numFmtId="165" fontId="21" fillId="0" borderId="0" xfId="0" applyNumberFormat="1" applyFont="1"/>
    <xf numFmtId="0" fontId="103" fillId="0" borderId="0" xfId="0" applyFont="1" applyAlignment="1">
      <alignment horizontal="left"/>
    </xf>
    <xf numFmtId="180" fontId="0" fillId="0" borderId="0" xfId="0" applyNumberFormat="1"/>
    <xf numFmtId="185" fontId="0" fillId="0" borderId="0" xfId="0" applyNumberFormat="1"/>
    <xf numFmtId="180" fontId="0" fillId="0" borderId="1" xfId="0" applyNumberFormat="1" applyBorder="1"/>
    <xf numFmtId="180" fontId="104" fillId="0" borderId="4" xfId="0" applyNumberFormat="1" applyFont="1" applyBorder="1"/>
    <xf numFmtId="0" fontId="94" fillId="0" borderId="0" xfId="0" applyFont="1"/>
    <xf numFmtId="0" fontId="94" fillId="0" borderId="0" xfId="0" applyFont="1" applyAlignment="1">
      <alignment horizontal="center"/>
    </xf>
    <xf numFmtId="180" fontId="104" fillId="0" borderId="0" xfId="0" applyNumberFormat="1" applyFont="1"/>
    <xf numFmtId="180" fontId="94" fillId="0" borderId="0" xfId="0" applyNumberFormat="1" applyFont="1"/>
    <xf numFmtId="0" fontId="98" fillId="0" borderId="0" xfId="0" applyFont="1"/>
    <xf numFmtId="185" fontId="0" fillId="0" borderId="0" xfId="0" applyNumberFormat="1" applyProtection="1">
      <protection locked="0"/>
    </xf>
    <xf numFmtId="180" fontId="0" fillId="0" borderId="0" xfId="0" applyNumberFormat="1" applyProtection="1">
      <protection locked="0"/>
    </xf>
    <xf numFmtId="180" fontId="0" fillId="0" borderId="1" xfId="0" applyNumberFormat="1" applyBorder="1" applyProtection="1">
      <protection locked="0"/>
    </xf>
    <xf numFmtId="180" fontId="0" fillId="0" borderId="4" xfId="0" applyNumberFormat="1" applyBorder="1"/>
    <xf numFmtId="180" fontId="0" fillId="0" borderId="8" xfId="0" applyNumberFormat="1" applyBorder="1"/>
    <xf numFmtId="0" fontId="105" fillId="0" borderId="0" xfId="0" applyFont="1"/>
    <xf numFmtId="0" fontId="106" fillId="0" borderId="0" xfId="0" applyFont="1"/>
    <xf numFmtId="0" fontId="11" fillId="0" borderId="0" xfId="0" applyFont="1"/>
    <xf numFmtId="0" fontId="24" fillId="0" borderId="0" xfId="0" applyFont="1"/>
    <xf numFmtId="10" fontId="21" fillId="0" borderId="0" xfId="130" applyNumberFormat="1" applyFont="1"/>
    <xf numFmtId="0" fontId="4" fillId="0" borderId="0" xfId="95" applyFont="1"/>
    <xf numFmtId="179" fontId="12" fillId="0" borderId="1" xfId="0" applyNumberFormat="1" applyFont="1" applyBorder="1" applyProtection="1">
      <protection locked="0"/>
    </xf>
    <xf numFmtId="179" fontId="21" fillId="0" borderId="1" xfId="0" applyNumberFormat="1" applyFont="1" applyBorder="1" applyProtection="1">
      <protection locked="0"/>
    </xf>
    <xf numFmtId="10" fontId="21" fillId="0" borderId="4" xfId="130" applyNumberFormat="1" applyFont="1" applyBorder="1" applyProtection="1">
      <protection locked="0"/>
    </xf>
    <xf numFmtId="0" fontId="21" fillId="0" borderId="0" xfId="0" applyFont="1" applyProtection="1">
      <protection locked="0"/>
    </xf>
    <xf numFmtId="176" fontId="7" fillId="0" borderId="3" xfId="89" applyNumberFormat="1" applyFont="1" applyBorder="1"/>
    <xf numFmtId="0" fontId="81" fillId="0" borderId="0" xfId="57" applyFont="1" applyAlignment="1">
      <alignment horizontal="center"/>
      <protection locked="0"/>
    </xf>
    <xf numFmtId="0" fontId="0" fillId="0" borderId="0" xfId="0" applyProtection="1">
      <protection locked="0"/>
    </xf>
    <xf numFmtId="0" fontId="18" fillId="0" borderId="0" xfId="114" applyFont="1" applyAlignment="1" applyProtection="1">
      <alignment horizontal="center"/>
      <protection locked="0"/>
    </xf>
    <xf numFmtId="0" fontId="18" fillId="0" borderId="0" xfId="114" applyFont="1" applyProtection="1">
      <protection locked="0"/>
    </xf>
    <xf numFmtId="0" fontId="2" fillId="0" borderId="0" xfId="114" applyFont="1" applyProtection="1">
      <protection locked="0"/>
    </xf>
    <xf numFmtId="0" fontId="2" fillId="0" borderId="0" xfId="114" applyFont="1" applyAlignment="1" applyProtection="1">
      <alignment horizontal="center"/>
      <protection locked="0"/>
    </xf>
    <xf numFmtId="0" fontId="12" fillId="0" borderId="0" xfId="103" applyFont="1" applyProtection="1">
      <protection locked="0"/>
    </xf>
    <xf numFmtId="0" fontId="2" fillId="0" borderId="0" xfId="114" applyFont="1" applyAlignment="1" applyProtection="1">
      <alignment shrinkToFit="1"/>
      <protection locked="0"/>
    </xf>
    <xf numFmtId="0" fontId="2" fillId="0" borderId="0" xfId="114" applyFont="1" applyAlignment="1" applyProtection="1">
      <alignment horizontal="center" shrinkToFit="1"/>
      <protection locked="0"/>
    </xf>
    <xf numFmtId="0" fontId="7" fillId="0" borderId="2" xfId="95" applyFont="1" applyBorder="1" applyProtection="1">
      <protection locked="0"/>
    </xf>
    <xf numFmtId="0" fontId="2" fillId="0" borderId="0" xfId="95" applyFont="1" applyProtection="1">
      <protection locked="0"/>
    </xf>
    <xf numFmtId="0" fontId="101" fillId="0" borderId="0" xfId="118" applyFont="1" applyAlignment="1">
      <alignment horizontal="left"/>
      <protection locked="0"/>
    </xf>
    <xf numFmtId="0" fontId="21" fillId="0" borderId="0" xfId="118" applyFont="1">
      <protection locked="0"/>
    </xf>
    <xf numFmtId="0" fontId="14" fillId="0" borderId="0" xfId="0" applyFont="1" applyAlignment="1" applyProtection="1">
      <alignment horizontal="left"/>
      <protection locked="0"/>
    </xf>
    <xf numFmtId="0" fontId="14" fillId="0" borderId="0" xfId="0" applyFont="1" applyProtection="1">
      <protection locked="0"/>
    </xf>
    <xf numFmtId="188" fontId="21" fillId="0" borderId="0" xfId="123" applyNumberFormat="1" applyFont="1">
      <protection locked="0"/>
    </xf>
    <xf numFmtId="166" fontId="21" fillId="0" borderId="0" xfId="0" applyNumberFormat="1" applyFont="1" applyProtection="1">
      <protection locked="0"/>
    </xf>
    <xf numFmtId="166" fontId="15" fillId="0" borderId="0" xfId="0" applyNumberFormat="1" applyFont="1" applyProtection="1">
      <protection locked="0"/>
    </xf>
    <xf numFmtId="0" fontId="15" fillId="0" borderId="0" xfId="0" applyFont="1" applyProtection="1">
      <protection locked="0"/>
    </xf>
    <xf numFmtId="183" fontId="15" fillId="0" borderId="0" xfId="0" applyNumberFormat="1" applyFont="1" applyProtection="1">
      <protection locked="0"/>
    </xf>
    <xf numFmtId="0" fontId="75" fillId="0" borderId="0" xfId="118" applyFont="1" applyAlignment="1">
      <alignment horizontal="left"/>
      <protection locked="0"/>
    </xf>
    <xf numFmtId="188" fontId="21" fillId="0" borderId="0" xfId="118" applyNumberFormat="1" applyFont="1">
      <protection locked="0"/>
    </xf>
    <xf numFmtId="173" fontId="21" fillId="0" borderId="0" xfId="0" applyNumberFormat="1" applyFont="1" applyProtection="1">
      <protection locked="0"/>
    </xf>
    <xf numFmtId="0" fontId="15" fillId="0" borderId="0" xfId="118">
      <protection locked="0"/>
    </xf>
    <xf numFmtId="188" fontId="15" fillId="0" borderId="0" xfId="118" applyNumberFormat="1">
      <protection locked="0"/>
    </xf>
    <xf numFmtId="0" fontId="101" fillId="0" borderId="0" xfId="0" applyFont="1" applyAlignment="1" applyProtection="1">
      <alignment horizontal="left"/>
      <protection locked="0"/>
    </xf>
    <xf numFmtId="187" fontId="21" fillId="0" borderId="0" xfId="27" applyFont="1" applyAlignment="1" applyProtection="1">
      <alignment horizontal="center"/>
      <protection locked="0"/>
    </xf>
    <xf numFmtId="180" fontId="4" fillId="0" borderId="0" xfId="0" applyNumberFormat="1" applyFont="1" applyAlignment="1" applyProtection="1">
      <alignment horizontal="center"/>
      <protection locked="0"/>
    </xf>
    <xf numFmtId="0" fontId="101" fillId="0" borderId="0" xfId="0" applyFont="1" applyProtection="1">
      <protection locked="0"/>
    </xf>
    <xf numFmtId="15" fontId="0" fillId="0" borderId="0" xfId="0" quotePrefix="1" applyNumberFormat="1" applyProtection="1">
      <protection locked="0"/>
    </xf>
    <xf numFmtId="173" fontId="14" fillId="0" borderId="0" xfId="0" applyNumberFormat="1" applyFont="1" applyProtection="1">
      <protection locked="0"/>
    </xf>
    <xf numFmtId="165" fontId="14" fillId="0" borderId="0" xfId="0" applyNumberFormat="1" applyFont="1" applyProtection="1">
      <protection locked="0"/>
    </xf>
    <xf numFmtId="180" fontId="2" fillId="0" borderId="4" xfId="0" applyNumberFormat="1" applyFont="1" applyBorder="1"/>
    <xf numFmtId="185" fontId="2" fillId="0" borderId="3" xfId="0" applyNumberFormat="1" applyFont="1" applyBorder="1"/>
    <xf numFmtId="180" fontId="2" fillId="0" borderId="3" xfId="0" applyNumberFormat="1" applyFont="1" applyBorder="1"/>
    <xf numFmtId="0" fontId="8" fillId="0" borderId="1" xfId="115" applyBorder="1" applyAlignment="1" applyProtection="1">
      <alignment horizontal="center"/>
      <protection locked="0"/>
    </xf>
    <xf numFmtId="0" fontId="17" fillId="0" borderId="4" xfId="115" applyFont="1" applyBorder="1" applyAlignment="1" applyProtection="1">
      <alignment horizontal="center"/>
      <protection locked="0"/>
    </xf>
    <xf numFmtId="0" fontId="52" fillId="0" borderId="0" xfId="0" applyFont="1" applyProtection="1">
      <protection hidden="1"/>
    </xf>
    <xf numFmtId="15" fontId="51" fillId="0" borderId="0" xfId="0" applyNumberFormat="1" applyFont="1" applyAlignment="1" applyProtection="1">
      <alignment horizontal="center"/>
      <protection hidden="1"/>
    </xf>
    <xf numFmtId="0" fontId="25" fillId="0" borderId="0" xfId="95" applyFont="1" applyAlignment="1">
      <alignment horizontal="centerContinuous"/>
    </xf>
    <xf numFmtId="0" fontId="66" fillId="0" borderId="0" xfId="95" applyFont="1"/>
    <xf numFmtId="0" fontId="25" fillId="0" borderId="0" xfId="95" applyFont="1"/>
    <xf numFmtId="0" fontId="70" fillId="0" borderId="0" xfId="95" applyFont="1" applyAlignment="1">
      <alignment horizontal="center"/>
    </xf>
    <xf numFmtId="0" fontId="26" fillId="0" borderId="0" xfId="95" applyFont="1" applyAlignment="1">
      <alignment horizontal="centerContinuous"/>
    </xf>
    <xf numFmtId="0" fontId="26" fillId="0" borderId="0" xfId="95" applyFont="1"/>
    <xf numFmtId="0" fontId="7" fillId="0" borderId="1" xfId="95" applyFont="1" applyBorder="1" applyAlignment="1">
      <alignment horizontal="center"/>
    </xf>
    <xf numFmtId="0" fontId="44" fillId="0" borderId="0" xfId="95" applyFont="1"/>
    <xf numFmtId="0" fontId="13" fillId="0" borderId="3" xfId="95" applyFont="1" applyBorder="1"/>
    <xf numFmtId="0" fontId="13" fillId="0" borderId="0" xfId="95" applyFont="1"/>
    <xf numFmtId="0" fontId="13" fillId="0" borderId="0" xfId="95" applyFont="1" applyAlignment="1">
      <alignment horizontal="center"/>
    </xf>
    <xf numFmtId="0" fontId="4" fillId="0" borderId="15" xfId="95" applyFont="1" applyBorder="1" applyAlignment="1">
      <alignment horizontal="center" wrapText="1"/>
    </xf>
    <xf numFmtId="0" fontId="12" fillId="0" borderId="0" xfId="95"/>
    <xf numFmtId="0" fontId="15" fillId="0" borderId="0" xfId="95" applyFont="1"/>
    <xf numFmtId="0" fontId="6" fillId="0" borderId="4" xfId="89" applyFont="1" applyBorder="1" applyAlignment="1" applyProtection="1">
      <alignment horizontal="center"/>
      <protection locked="0"/>
    </xf>
    <xf numFmtId="9" fontId="21" fillId="0" borderId="1" xfId="130" applyFont="1" applyBorder="1" applyProtection="1">
      <protection locked="0"/>
    </xf>
    <xf numFmtId="176" fontId="7" fillId="0" borderId="1" xfId="89" applyNumberFormat="1" applyFont="1" applyBorder="1" applyProtection="1">
      <protection locked="0"/>
    </xf>
    <xf numFmtId="176" fontId="7" fillId="0" borderId="4" xfId="89" applyNumberFormat="1" applyFont="1" applyBorder="1" applyProtection="1">
      <protection locked="0"/>
    </xf>
    <xf numFmtId="176" fontId="7" fillId="3" borderId="1" xfId="84" applyNumberFormat="1" applyFont="1" applyFill="1" applyBorder="1"/>
    <xf numFmtId="176" fontId="7" fillId="3" borderId="4" xfId="84" applyNumberFormat="1" applyFont="1" applyFill="1" applyBorder="1"/>
    <xf numFmtId="0" fontId="51" fillId="0" borderId="15" xfId="0" applyFont="1" applyBorder="1" applyAlignment="1" applyProtection="1">
      <alignment horizontal="center"/>
      <protection hidden="1"/>
    </xf>
    <xf numFmtId="0" fontId="7" fillId="0" borderId="0" xfId="94" applyFont="1" applyAlignment="1">
      <alignment horizontal="right"/>
    </xf>
    <xf numFmtId="0" fontId="7" fillId="0" borderId="2" xfId="94" applyFont="1" applyBorder="1"/>
    <xf numFmtId="176" fontId="38" fillId="0" borderId="0" xfId="81" applyNumberFormat="1" applyFont="1" applyProtection="1">
      <protection locked="0"/>
    </xf>
    <xf numFmtId="0" fontId="7" fillId="0" borderId="0" xfId="89" quotePrefix="1" applyFont="1"/>
    <xf numFmtId="0" fontId="6" fillId="0" borderId="0" xfId="89" applyFont="1"/>
    <xf numFmtId="0" fontId="3" fillId="0" borderId="1" xfId="89" applyFont="1" applyBorder="1"/>
    <xf numFmtId="0" fontId="7" fillId="0" borderId="0" xfId="0" applyFont="1" applyAlignment="1">
      <alignment wrapText="1"/>
    </xf>
    <xf numFmtId="0" fontId="29" fillId="0" borderId="0" xfId="0" applyFont="1" applyAlignment="1">
      <alignment horizontal="left" vertical="top"/>
    </xf>
    <xf numFmtId="170" fontId="7" fillId="0" borderId="0" xfId="86" applyNumberFormat="1" applyFont="1"/>
    <xf numFmtId="186" fontId="7" fillId="0" borderId="0" xfId="107" applyNumberFormat="1" applyFont="1"/>
    <xf numFmtId="176" fontId="7" fillId="0" borderId="0" xfId="107" applyNumberFormat="1" applyFont="1"/>
    <xf numFmtId="179" fontId="0" fillId="0" borderId="0" xfId="0" applyNumberFormat="1"/>
    <xf numFmtId="9" fontId="0" fillId="0" borderId="0" xfId="130" applyFont="1"/>
    <xf numFmtId="10" fontId="0" fillId="0" borderId="0" xfId="130" applyNumberFormat="1" applyFont="1"/>
    <xf numFmtId="0" fontId="4" fillId="0" borderId="0" xfId="88" applyFont="1"/>
    <xf numFmtId="176" fontId="7" fillId="0" borderId="0" xfId="84" applyNumberFormat="1" applyFont="1" applyProtection="1">
      <protection locked="0"/>
    </xf>
    <xf numFmtId="0" fontId="107" fillId="0" borderId="0" xfId="0" applyFont="1"/>
    <xf numFmtId="49" fontId="12" fillId="0" borderId="0" xfId="0" applyNumberFormat="1" applyFont="1" applyAlignment="1" applyProtection="1">
      <alignment horizontal="center"/>
      <protection locked="0"/>
    </xf>
    <xf numFmtId="176" fontId="7" fillId="0" borderId="18" xfId="84" applyNumberFormat="1" applyFont="1" applyBorder="1" applyProtection="1">
      <protection locked="0"/>
    </xf>
    <xf numFmtId="176" fontId="7" fillId="3" borderId="18" xfId="84" applyNumberFormat="1" applyFont="1" applyFill="1" applyBorder="1"/>
    <xf numFmtId="0" fontId="44" fillId="0" borderId="0" xfId="0" applyFont="1"/>
    <xf numFmtId="176" fontId="7" fillId="0" borderId="18" xfId="84" applyNumberFormat="1" applyFont="1" applyBorder="1"/>
    <xf numFmtId="0" fontId="80" fillId="0" borderId="0" xfId="0" applyFont="1"/>
    <xf numFmtId="176" fontId="7" fillId="0" borderId="22" xfId="84" applyNumberFormat="1" applyFont="1" applyBorder="1" applyProtection="1">
      <protection locked="0"/>
    </xf>
    <xf numFmtId="0" fontId="42" fillId="0" borderId="0" xfId="88" applyFont="1"/>
    <xf numFmtId="0" fontId="29" fillId="0" borderId="0" xfId="88" applyFont="1"/>
    <xf numFmtId="168" fontId="4" fillId="0" borderId="0" xfId="82" applyFont="1" applyAlignment="1" applyProtection="1">
      <alignment horizontal="centerContinuous"/>
    </xf>
    <xf numFmtId="0" fontId="52" fillId="0" borderId="0" xfId="0" applyFont="1" applyAlignment="1">
      <alignment horizontal="center"/>
    </xf>
    <xf numFmtId="0" fontId="52" fillId="0" borderId="0" xfId="0" applyFont="1"/>
    <xf numFmtId="186" fontId="7" fillId="0" borderId="1" xfId="107" applyNumberFormat="1" applyFont="1" applyBorder="1" applyAlignment="1" applyProtection="1">
      <alignment horizontal="center"/>
      <protection locked="0"/>
    </xf>
    <xf numFmtId="0" fontId="51" fillId="0" borderId="0" xfId="0" applyFont="1" applyAlignment="1" applyProtection="1">
      <alignment horizontal="left"/>
      <protection hidden="1"/>
    </xf>
    <xf numFmtId="0" fontId="108" fillId="0" borderId="0" xfId="0" applyFont="1" applyAlignment="1" applyProtection="1">
      <alignment horizontal="left" wrapText="1"/>
      <protection hidden="1"/>
    </xf>
    <xf numFmtId="0" fontId="22" fillId="0" borderId="0" xfId="84" applyFont="1" applyAlignment="1">
      <alignment horizontal="center"/>
    </xf>
    <xf numFmtId="0" fontId="17" fillId="0" borderId="0" xfId="84" applyFont="1"/>
    <xf numFmtId="0" fontId="108" fillId="0" borderId="0" xfId="0" applyFont="1" applyAlignment="1" applyProtection="1">
      <alignment wrapText="1"/>
      <protection hidden="1"/>
    </xf>
    <xf numFmtId="0" fontId="21" fillId="0" borderId="0" xfId="88" applyFont="1" applyAlignment="1">
      <alignment horizontal="center" wrapText="1" shrinkToFit="1"/>
    </xf>
    <xf numFmtId="164" fontId="7" fillId="0" borderId="0" xfId="96" applyNumberFormat="1" applyFont="1" applyAlignment="1">
      <alignment shrinkToFit="1"/>
    </xf>
    <xf numFmtId="0" fontId="7" fillId="0" borderId="1" xfId="95" applyFont="1" applyBorder="1" applyAlignment="1" applyProtection="1">
      <alignment horizontal="center" shrinkToFit="1"/>
      <protection locked="0"/>
    </xf>
    <xf numFmtId="0" fontId="2" fillId="0" borderId="0" xfId="85" applyNumberFormat="1" applyFont="1" applyAlignment="1">
      <alignment horizontal="center"/>
      <protection locked="0"/>
    </xf>
    <xf numFmtId="0" fontId="7" fillId="0" borderId="1" xfId="107" applyFont="1" applyBorder="1" applyAlignment="1" applyProtection="1">
      <alignment horizontal="center" shrinkToFit="1"/>
      <protection locked="0"/>
    </xf>
    <xf numFmtId="0" fontId="7" fillId="0" borderId="1" xfId="108" applyFont="1" applyBorder="1" applyAlignment="1">
      <alignment shrinkToFit="1"/>
    </xf>
    <xf numFmtId="0" fontId="7" fillId="0" borderId="1" xfId="108" applyFont="1" applyBorder="1" applyAlignment="1" applyProtection="1">
      <alignment horizontal="center" shrinkToFit="1"/>
      <protection locked="0"/>
    </xf>
    <xf numFmtId="0" fontId="28" fillId="0" borderId="0" xfId="101" applyFont="1" applyAlignment="1">
      <alignment horizontal="center"/>
    </xf>
    <xf numFmtId="0" fontId="8" fillId="0" borderId="0" xfId="0" applyFont="1" applyAlignment="1">
      <alignment horizontal="center"/>
    </xf>
    <xf numFmtId="0" fontId="8" fillId="0" borderId="0" xfId="0" applyFont="1"/>
    <xf numFmtId="0" fontId="8" fillId="0" borderId="15" xfId="0" quotePrefix="1" applyFont="1" applyBorder="1"/>
    <xf numFmtId="0" fontId="8" fillId="0" borderId="15" xfId="0" quotePrefix="1" applyFont="1" applyBorder="1" applyAlignment="1">
      <alignment horizontal="center"/>
    </xf>
    <xf numFmtId="0" fontId="59" fillId="0" borderId="15" xfId="0" applyFont="1" applyBorder="1"/>
    <xf numFmtId="0" fontId="59" fillId="0" borderId="15" xfId="0" applyFont="1" applyBorder="1" applyAlignment="1">
      <alignment horizontal="center" wrapText="1"/>
    </xf>
    <xf numFmtId="0" fontId="112" fillId="0" borderId="0" xfId="0" applyFont="1" applyAlignment="1">
      <alignment horizontal="left"/>
    </xf>
    <xf numFmtId="0" fontId="112" fillId="0" borderId="0" xfId="0" applyFont="1"/>
    <xf numFmtId="0" fontId="111" fillId="0" borderId="0" xfId="0" applyFont="1"/>
    <xf numFmtId="0" fontId="7" fillId="0" borderId="0" xfId="92" applyFont="1" applyAlignment="1">
      <alignment horizontal="left"/>
    </xf>
    <xf numFmtId="0" fontId="74" fillId="0" borderId="0" xfId="106" applyFont="1" applyAlignment="1">
      <alignment horizontal="right" shrinkToFit="1"/>
    </xf>
    <xf numFmtId="164" fontId="2" fillId="0" borderId="0" xfId="106" applyNumberFormat="1" applyFont="1" applyAlignment="1">
      <alignment horizontal="right"/>
    </xf>
    <xf numFmtId="164" fontId="7" fillId="0" borderId="0" xfId="100" applyNumberFormat="1" applyFont="1" applyAlignment="1">
      <alignment horizontal="left"/>
    </xf>
    <xf numFmtId="0" fontId="2" fillId="0" borderId="0" xfId="101" applyFont="1" applyAlignment="1">
      <alignment horizontal="left"/>
    </xf>
    <xf numFmtId="0" fontId="28" fillId="0" borderId="0" xfId="101" applyFont="1" applyAlignment="1">
      <alignment horizontal="left"/>
    </xf>
    <xf numFmtId="0" fontId="12" fillId="0" borderId="1" xfId="0" applyFont="1" applyBorder="1" applyAlignment="1">
      <alignment horizontal="center"/>
    </xf>
    <xf numFmtId="0" fontId="38" fillId="0" borderId="0" xfId="81" applyFont="1" applyAlignment="1" applyProtection="1">
      <alignment horizontal="center"/>
      <protection locked="0"/>
    </xf>
    <xf numFmtId="0" fontId="6" fillId="0" borderId="0" xfId="88" applyFont="1" applyProtection="1">
      <protection hidden="1"/>
    </xf>
    <xf numFmtId="0" fontId="48" fillId="0" borderId="0" xfId="81" applyFont="1" applyAlignment="1">
      <alignment horizontal="left"/>
    </xf>
    <xf numFmtId="0" fontId="38" fillId="0" borderId="0" xfId="81" applyFont="1" applyAlignment="1">
      <alignment horizontal="left"/>
    </xf>
    <xf numFmtId="0" fontId="38" fillId="0" borderId="1" xfId="81" applyFont="1" applyBorder="1" applyAlignment="1">
      <alignment horizontal="center"/>
    </xf>
    <xf numFmtId="189" fontId="4" fillId="0" borderId="1" xfId="0" applyNumberFormat="1" applyFont="1" applyBorder="1" applyAlignment="1">
      <alignment horizontal="center"/>
    </xf>
    <xf numFmtId="180" fontId="2" fillId="0" borderId="0" xfId="114" applyNumberFormat="1" applyFont="1" applyAlignment="1">
      <alignment horizontal="right"/>
    </xf>
    <xf numFmtId="180" fontId="2" fillId="0" borderId="0" xfId="114" applyNumberFormat="1" applyFont="1" applyAlignment="1">
      <alignment horizontal="right" shrinkToFit="1"/>
    </xf>
    <xf numFmtId="180" fontId="2" fillId="0" borderId="0" xfId="114" applyNumberFormat="1" applyFont="1"/>
    <xf numFmtId="1" fontId="0" fillId="0" borderId="0" xfId="0" applyNumberFormat="1" applyAlignment="1">
      <alignment horizontal="center"/>
    </xf>
    <xf numFmtId="1" fontId="4" fillId="0" borderId="0" xfId="0" applyNumberFormat="1" applyFont="1" applyAlignment="1">
      <alignment horizontal="center"/>
    </xf>
    <xf numFmtId="185" fontId="0" fillId="0" borderId="3" xfId="0" applyNumberFormat="1" applyBorder="1"/>
    <xf numFmtId="180" fontId="116" fillId="0" borderId="0" xfId="0" applyNumberFormat="1" applyFont="1" applyAlignment="1">
      <alignment horizontal="center"/>
    </xf>
    <xf numFmtId="0" fontId="2" fillId="0" borderId="0" xfId="114" applyFont="1" applyAlignment="1">
      <alignment horizontal="right"/>
    </xf>
    <xf numFmtId="0" fontId="11" fillId="0" borderId="0" xfId="0" applyFont="1" applyAlignment="1">
      <alignment horizontal="left"/>
    </xf>
    <xf numFmtId="180" fontId="94" fillId="0" borderId="0" xfId="124" applyNumberFormat="1" applyFont="1" applyBorder="1" applyProtection="1"/>
    <xf numFmtId="176" fontId="7" fillId="0" borderId="1" xfId="113" applyNumberFormat="1" applyFont="1" applyBorder="1" applyProtection="1">
      <protection locked="0"/>
    </xf>
    <xf numFmtId="176" fontId="7" fillId="0" borderId="1" xfId="105" applyNumberFormat="1" applyFont="1" applyBorder="1"/>
    <xf numFmtId="9" fontId="7" fillId="0" borderId="1" xfId="130" applyFont="1" applyBorder="1" applyAlignment="1">
      <alignment horizontal="right"/>
    </xf>
    <xf numFmtId="0" fontId="117" fillId="0" borderId="0" xfId="88" applyFont="1" applyProtection="1">
      <protection hidden="1"/>
    </xf>
    <xf numFmtId="0" fontId="2" fillId="0" borderId="0" xfId="114" applyFont="1" applyAlignment="1" applyProtection="1">
      <alignment horizontal="right"/>
      <protection locked="0"/>
    </xf>
    <xf numFmtId="0" fontId="3" fillId="0" borderId="0" xfId="90" applyFont="1" applyAlignment="1">
      <alignment horizontal="center"/>
    </xf>
    <xf numFmtId="0" fontId="118" fillId="0" borderId="0" xfId="0" applyFont="1" applyProtection="1">
      <protection hidden="1"/>
    </xf>
    <xf numFmtId="164" fontId="7" fillId="0" borderId="1" xfId="95" applyNumberFormat="1" applyFont="1" applyBorder="1" applyAlignment="1" applyProtection="1">
      <alignment horizontal="center" shrinkToFit="1"/>
      <protection locked="0"/>
    </xf>
    <xf numFmtId="0" fontId="5" fillId="0" borderId="0" xfId="94" applyFont="1"/>
    <xf numFmtId="0" fontId="81" fillId="0" borderId="0" xfId="57" applyFont="1" applyAlignment="1" applyProtection="1"/>
    <xf numFmtId="0" fontId="21" fillId="0" borderId="0" xfId="118" applyFont="1" applyProtection="1"/>
    <xf numFmtId="0" fontId="181" fillId="0" borderId="0" xfId="0" applyFont="1"/>
    <xf numFmtId="0" fontId="182" fillId="0" borderId="0" xfId="0" applyFont="1"/>
    <xf numFmtId="0" fontId="183" fillId="0" borderId="0" xfId="0" applyFont="1"/>
    <xf numFmtId="0" fontId="183" fillId="0" borderId="0" xfId="0" quotePrefix="1" applyFont="1" applyAlignment="1">
      <alignment horizontal="center"/>
    </xf>
    <xf numFmtId="0" fontId="184" fillId="0" borderId="0" xfId="0" applyFont="1" applyAlignment="1">
      <alignment horizontal="left"/>
    </xf>
    <xf numFmtId="0" fontId="183" fillId="0" borderId="0" xfId="0" applyFont="1" applyAlignment="1">
      <alignment horizontal="left" indent="1"/>
    </xf>
    <xf numFmtId="0" fontId="183" fillId="0" borderId="0" xfId="0" applyFont="1" applyAlignment="1">
      <alignment horizontal="center"/>
    </xf>
    <xf numFmtId="0" fontId="183" fillId="0" borderId="0" xfId="0" applyFont="1" applyAlignment="1">
      <alignment horizontal="left"/>
    </xf>
    <xf numFmtId="0" fontId="185" fillId="0" borderId="0" xfId="0" applyFont="1"/>
    <xf numFmtId="0" fontId="44" fillId="0" borderId="0" xfId="89" applyFont="1"/>
    <xf numFmtId="44" fontId="7" fillId="0" borderId="0" xfId="89" applyNumberFormat="1" applyFont="1"/>
    <xf numFmtId="0" fontId="12" fillId="0" borderId="0" xfId="89"/>
    <xf numFmtId="0" fontId="32" fillId="0" borderId="0" xfId="89" quotePrefix="1" applyFont="1" applyAlignment="1">
      <alignment horizontal="center"/>
    </xf>
    <xf numFmtId="0" fontId="183" fillId="0" borderId="0" xfId="0" applyFont="1" applyAlignment="1">
      <alignment horizontal="left" indent="2"/>
    </xf>
    <xf numFmtId="49" fontId="183" fillId="0" borderId="0" xfId="0" applyNumberFormat="1" applyFont="1"/>
    <xf numFmtId="0" fontId="3" fillId="0" borderId="0" xfId="88" applyFont="1" applyProtection="1">
      <protection hidden="1"/>
    </xf>
    <xf numFmtId="0" fontId="31" fillId="0" borderId="0" xfId="94" applyFont="1"/>
    <xf numFmtId="0" fontId="29" fillId="0" borderId="2" xfId="0" applyFont="1" applyBorder="1"/>
    <xf numFmtId="0" fontId="0" fillId="0" borderId="2" xfId="0" applyBorder="1"/>
    <xf numFmtId="0" fontId="120" fillId="0" borderId="0" xfId="0" applyFont="1"/>
    <xf numFmtId="164" fontId="18" fillId="0" borderId="0" xfId="106" applyNumberFormat="1" applyFont="1" applyAlignment="1">
      <alignment horizontal="center"/>
    </xf>
    <xf numFmtId="0" fontId="10" fillId="0" borderId="0" xfId="0" applyFont="1" applyProtection="1">
      <protection hidden="1"/>
    </xf>
    <xf numFmtId="185" fontId="2" fillId="0" borderId="0" xfId="40" applyNumberFormat="1"/>
    <xf numFmtId="180" fontId="2" fillId="0" borderId="1" xfId="0" applyNumberFormat="1" applyFont="1" applyBorder="1"/>
    <xf numFmtId="180" fontId="7" fillId="0" borderId="0" xfId="0" applyNumberFormat="1" applyFont="1" applyProtection="1">
      <protection locked="0"/>
    </xf>
    <xf numFmtId="0" fontId="125" fillId="0" borderId="0" xfId="116" applyFont="1" applyProtection="1">
      <protection locked="0"/>
    </xf>
    <xf numFmtId="0" fontId="123" fillId="0" borderId="0" xfId="116" applyProtection="1">
      <protection locked="0"/>
    </xf>
    <xf numFmtId="0" fontId="127" fillId="0" borderId="2" xfId="116" applyFont="1" applyBorder="1" applyAlignment="1" applyProtection="1">
      <alignment horizontal="centerContinuous"/>
      <protection locked="0"/>
    </xf>
    <xf numFmtId="0" fontId="123" fillId="0" borderId="2" xfId="116" applyBorder="1" applyAlignment="1" applyProtection="1">
      <alignment horizontal="centerContinuous"/>
      <protection locked="0"/>
    </xf>
    <xf numFmtId="0" fontId="127" fillId="0" borderId="0" xfId="116" applyFont="1" applyAlignment="1" applyProtection="1">
      <alignment horizontal="centerContinuous"/>
      <protection locked="0"/>
    </xf>
    <xf numFmtId="0" fontId="130" fillId="0" borderId="0" xfId="116" applyFont="1" applyAlignment="1" applyProtection="1">
      <alignment horizontal="center"/>
      <protection locked="0"/>
    </xf>
    <xf numFmtId="0" fontId="127" fillId="0" borderId="0" xfId="116" applyFont="1" applyAlignment="1">
      <alignment horizontal="center"/>
    </xf>
    <xf numFmtId="176" fontId="123" fillId="0" borderId="1" xfId="116" applyNumberFormat="1" applyBorder="1" applyProtection="1">
      <protection locked="0"/>
    </xf>
    <xf numFmtId="0" fontId="123" fillId="0" borderId="1" xfId="116" applyBorder="1" applyAlignment="1" applyProtection="1">
      <alignment horizontal="center"/>
      <protection locked="0"/>
    </xf>
    <xf numFmtId="0" fontId="123" fillId="0" borderId="1" xfId="116" applyBorder="1" applyProtection="1">
      <protection locked="0"/>
    </xf>
    <xf numFmtId="0" fontId="123" fillId="0" borderId="0" xfId="116"/>
    <xf numFmtId="0" fontId="127" fillId="0" borderId="0" xfId="116" applyFont="1" applyProtection="1">
      <protection locked="0"/>
    </xf>
    <xf numFmtId="0" fontId="130" fillId="0" borderId="0" xfId="116" applyFont="1" applyProtection="1">
      <protection locked="0"/>
    </xf>
    <xf numFmtId="0" fontId="126" fillId="0" borderId="0" xfId="116" applyFont="1" applyProtection="1">
      <protection locked="0"/>
    </xf>
    <xf numFmtId="0" fontId="127" fillId="0" borderId="2" xfId="116" applyFont="1" applyBorder="1" applyAlignment="1" applyProtection="1">
      <alignment horizontal="center"/>
      <protection locked="0"/>
    </xf>
    <xf numFmtId="0" fontId="123" fillId="0" borderId="2" xfId="116" applyBorder="1" applyProtection="1">
      <protection locked="0"/>
    </xf>
    <xf numFmtId="39" fontId="0" fillId="0" borderId="1" xfId="0" applyNumberFormat="1" applyBorder="1" applyProtection="1">
      <protection locked="0"/>
    </xf>
    <xf numFmtId="0" fontId="0" fillId="0" borderId="1" xfId="0" applyBorder="1" applyProtection="1">
      <protection locked="0"/>
    </xf>
    <xf numFmtId="180" fontId="186" fillId="0" borderId="0" xfId="0" applyNumberFormat="1" applyFont="1" applyProtection="1">
      <protection locked="0"/>
    </xf>
    <xf numFmtId="168" fontId="115" fillId="0" borderId="0" xfId="0" applyNumberFormat="1" applyFont="1"/>
    <xf numFmtId="180" fontId="181" fillId="0" borderId="0" xfId="0" applyNumberFormat="1" applyFont="1" applyProtection="1">
      <protection locked="0"/>
    </xf>
    <xf numFmtId="0" fontId="79" fillId="0" borderId="0" xfId="81" applyFont="1"/>
    <xf numFmtId="0" fontId="247" fillId="0" borderId="0" xfId="69"/>
    <xf numFmtId="0" fontId="5" fillId="0" borderId="0" xfId="69" applyFont="1"/>
    <xf numFmtId="0" fontId="7" fillId="0" borderId="0" xfId="69" applyFont="1"/>
    <xf numFmtId="0" fontId="11" fillId="0" borderId="0" xfId="88" applyFont="1" applyAlignment="1">
      <alignment horizontal="center"/>
    </xf>
    <xf numFmtId="0" fontId="12" fillId="0" borderId="0" xfId="69" applyFont="1" applyAlignment="1">
      <alignment horizontal="left"/>
    </xf>
    <xf numFmtId="0" fontId="11" fillId="0" borderId="1" xfId="88" applyFont="1" applyBorder="1" applyAlignment="1">
      <alignment horizontal="center"/>
    </xf>
    <xf numFmtId="176" fontId="12" fillId="0" borderId="0" xfId="84" applyNumberFormat="1" applyFont="1" applyAlignment="1">
      <alignment horizontal="center"/>
    </xf>
    <xf numFmtId="176" fontId="12" fillId="0" borderId="0" xfId="84" applyNumberFormat="1" applyFont="1"/>
    <xf numFmtId="176" fontId="12" fillId="0" borderId="1" xfId="84" applyNumberFormat="1" applyFont="1" applyBorder="1" applyProtection="1">
      <protection locked="0"/>
    </xf>
    <xf numFmtId="176" fontId="12" fillId="0" borderId="1" xfId="84" applyNumberFormat="1" applyFont="1" applyBorder="1"/>
    <xf numFmtId="176" fontId="12" fillId="0" borderId="4" xfId="84" applyNumberFormat="1" applyFont="1" applyBorder="1" applyProtection="1">
      <protection locked="0"/>
    </xf>
    <xf numFmtId="176" fontId="12" fillId="0" borderId="0" xfId="84" applyNumberFormat="1" applyFont="1" applyProtection="1">
      <protection locked="0"/>
    </xf>
    <xf numFmtId="0" fontId="44" fillId="0" borderId="0" xfId="69" applyFont="1"/>
    <xf numFmtId="0" fontId="12" fillId="0" borderId="0" xfId="69" applyFont="1"/>
    <xf numFmtId="0" fontId="12" fillId="0" borderId="0" xfId="88"/>
    <xf numFmtId="0" fontId="12" fillId="0" borderId="0" xfId="88" applyAlignment="1">
      <alignment horizontal="right"/>
    </xf>
    <xf numFmtId="0" fontId="12" fillId="0" borderId="1" xfId="69" applyFont="1" applyBorder="1" applyAlignment="1" applyProtection="1">
      <alignment horizontal="center"/>
      <protection locked="0"/>
    </xf>
    <xf numFmtId="0" fontId="12" fillId="0" borderId="0" xfId="84" applyFont="1"/>
    <xf numFmtId="176" fontId="12" fillId="0" borderId="4" xfId="84" applyNumberFormat="1" applyFont="1" applyBorder="1"/>
    <xf numFmtId="44" fontId="7" fillId="0" borderId="1" xfId="89" applyNumberFormat="1" applyFont="1" applyBorder="1" applyProtection="1">
      <protection locked="0"/>
    </xf>
    <xf numFmtId="43" fontId="7" fillId="0" borderId="4" xfId="89" applyNumberFormat="1" applyFont="1" applyBorder="1" applyProtection="1">
      <protection locked="0"/>
    </xf>
    <xf numFmtId="44" fontId="7" fillId="0" borderId="3" xfId="89" applyNumberFormat="1" applyFont="1" applyBorder="1"/>
    <xf numFmtId="0" fontId="132" fillId="0" borderId="0" xfId="0" applyFont="1"/>
    <xf numFmtId="0" fontId="7" fillId="0" borderId="0" xfId="93" applyFont="1" applyAlignment="1">
      <alignment horizontal="center" shrinkToFit="1"/>
    </xf>
    <xf numFmtId="164" fontId="7" fillId="0" borderId="0" xfId="0" applyNumberFormat="1" applyFont="1" applyAlignment="1" applyProtection="1">
      <alignment horizontal="center" shrinkToFit="1"/>
      <protection locked="0"/>
    </xf>
    <xf numFmtId="164" fontId="7" fillId="0" borderId="0" xfId="93" applyNumberFormat="1" applyFont="1" applyAlignment="1" applyProtection="1">
      <alignment horizontal="center" shrinkToFit="1"/>
      <protection locked="0"/>
    </xf>
    <xf numFmtId="164" fontId="80" fillId="0" borderId="0" xfId="115" applyNumberFormat="1" applyFont="1" applyAlignment="1">
      <alignment horizontal="center"/>
    </xf>
    <xf numFmtId="0" fontId="4" fillId="0" borderId="0" xfId="115" applyFont="1" applyAlignment="1">
      <alignment horizontal="right"/>
    </xf>
    <xf numFmtId="164" fontId="134" fillId="0" borderId="0" xfId="115" applyNumberFormat="1" applyFont="1" applyAlignment="1">
      <alignment horizontal="center"/>
    </xf>
    <xf numFmtId="164" fontId="24" fillId="0" borderId="0" xfId="115" applyNumberFormat="1" applyFont="1" applyAlignment="1">
      <alignment horizontal="left"/>
    </xf>
    <xf numFmtId="0" fontId="4" fillId="0" borderId="0" xfId="88" applyFont="1" applyProtection="1">
      <protection locked="0"/>
    </xf>
    <xf numFmtId="0" fontId="7" fillId="0" borderId="0" xfId="0" applyFont="1" applyProtection="1">
      <protection locked="0"/>
    </xf>
    <xf numFmtId="14" fontId="7" fillId="0" borderId="1" xfId="0" applyNumberFormat="1" applyFont="1" applyBorder="1" applyAlignment="1" applyProtection="1">
      <alignment horizontal="center"/>
      <protection locked="0"/>
    </xf>
    <xf numFmtId="0" fontId="71" fillId="0" borderId="0" xfId="0" applyFont="1" applyAlignment="1">
      <alignment horizontal="left"/>
    </xf>
    <xf numFmtId="0" fontId="7" fillId="0" borderId="0" xfId="0" applyFont="1" applyAlignment="1">
      <alignment vertical="top" wrapText="1"/>
    </xf>
    <xf numFmtId="0" fontId="7" fillId="0" borderId="0" xfId="0" applyFont="1" applyAlignment="1" applyProtection="1">
      <alignment horizontal="center"/>
      <protection locked="0"/>
    </xf>
    <xf numFmtId="0" fontId="3" fillId="0" borderId="0" xfId="81" applyFont="1"/>
    <xf numFmtId="0" fontId="4" fillId="0" borderId="0" xfId="0" applyFont="1" applyAlignment="1" applyProtection="1">
      <alignment horizontal="center"/>
      <protection locked="0"/>
    </xf>
    <xf numFmtId="176" fontId="7" fillId="0" borderId="0" xfId="0" applyNumberFormat="1" applyFont="1" applyProtection="1">
      <protection locked="0"/>
    </xf>
    <xf numFmtId="0" fontId="32" fillId="0" borderId="0" xfId="0" applyFont="1" applyAlignment="1">
      <alignment horizontal="left"/>
    </xf>
    <xf numFmtId="164" fontId="7" fillId="0" borderId="4" xfId="0" applyNumberFormat="1" applyFont="1" applyBorder="1" applyAlignment="1" applyProtection="1">
      <alignment horizontal="center" shrinkToFit="1"/>
      <protection locked="0"/>
    </xf>
    <xf numFmtId="0" fontId="3" fillId="0" borderId="0" xfId="115" applyFont="1"/>
    <xf numFmtId="0" fontId="4" fillId="0" borderId="0" xfId="0" applyFont="1" applyAlignment="1" applyProtection="1">
      <alignment horizontal="right"/>
      <protection locked="0"/>
    </xf>
    <xf numFmtId="0" fontId="60" fillId="0" borderId="0" xfId="115" applyFont="1" applyAlignment="1">
      <alignment horizontal="center" vertical="center"/>
    </xf>
    <xf numFmtId="168" fontId="136" fillId="0" borderId="0" xfId="82" applyFont="1" applyProtection="1"/>
    <xf numFmtId="168" fontId="36" fillId="0" borderId="0" xfId="82" applyFont="1" applyProtection="1"/>
    <xf numFmtId="176" fontId="136" fillId="0" borderId="0" xfId="82" applyNumberFormat="1" applyFont="1" applyProtection="1"/>
    <xf numFmtId="176" fontId="136" fillId="0" borderId="1" xfId="122" applyNumberFormat="1" applyFont="1" applyBorder="1">
      <protection locked="0"/>
    </xf>
    <xf numFmtId="176" fontId="136" fillId="0" borderId="1" xfId="122" applyNumberFormat="1" applyFont="1" applyBorder="1" applyProtection="1"/>
    <xf numFmtId="176" fontId="136" fillId="0" borderId="0" xfId="122" applyNumberFormat="1" applyFont="1" applyProtection="1"/>
    <xf numFmtId="0" fontId="36" fillId="0" borderId="0" xfId="82" applyNumberFormat="1" applyFont="1" applyProtection="1"/>
    <xf numFmtId="176" fontId="136" fillId="0" borderId="3" xfId="122" applyNumberFormat="1" applyFont="1" applyBorder="1" applyProtection="1"/>
    <xf numFmtId="169" fontId="36" fillId="0" borderId="0" xfId="82" applyNumberFormat="1" applyFont="1" applyProtection="1"/>
    <xf numFmtId="0" fontId="136" fillId="0" borderId="0" xfId="88" applyFont="1"/>
    <xf numFmtId="168" fontId="136" fillId="0" borderId="0" xfId="82" applyFont="1">
      <protection locked="0"/>
    </xf>
    <xf numFmtId="0" fontId="39" fillId="0" borderId="0" xfId="88" applyFont="1"/>
    <xf numFmtId="0" fontId="6" fillId="0" borderId="0" xfId="88" applyFont="1" applyProtection="1">
      <protection locked="0"/>
    </xf>
    <xf numFmtId="168" fontId="6" fillId="0" borderId="0" xfId="85" applyFont="1" applyProtection="1"/>
    <xf numFmtId="168" fontId="18" fillId="0" borderId="0" xfId="85" applyFont="1" applyAlignment="1" applyProtection="1">
      <alignment horizontal="centerContinuous"/>
    </xf>
    <xf numFmtId="168" fontId="6" fillId="0" borderId="0" xfId="85" applyFont="1" applyAlignment="1" applyProtection="1">
      <alignment horizontal="centerContinuous"/>
    </xf>
    <xf numFmtId="168" fontId="136" fillId="0" borderId="0" xfId="85" applyFont="1" applyProtection="1"/>
    <xf numFmtId="168" fontId="136" fillId="0" borderId="0" xfId="82" applyFont="1" applyAlignment="1" applyProtection="1">
      <alignment horizontal="center"/>
    </xf>
    <xf numFmtId="168" fontId="136" fillId="0" borderId="0" xfId="82" applyFont="1" applyAlignment="1" applyProtection="1">
      <alignment horizontal="center" shrinkToFit="1"/>
    </xf>
    <xf numFmtId="0" fontId="136" fillId="0" borderId="1" xfId="85" applyNumberFormat="1" applyFont="1" applyBorder="1" applyAlignment="1">
      <alignment horizontal="center"/>
      <protection locked="0"/>
    </xf>
    <xf numFmtId="0" fontId="136" fillId="0" borderId="0" xfId="85" applyNumberFormat="1" applyFont="1" applyAlignment="1">
      <alignment horizontal="center"/>
      <protection locked="0"/>
    </xf>
    <xf numFmtId="168" fontId="136" fillId="0" borderId="2" xfId="85" applyFont="1" applyBorder="1" applyProtection="1"/>
    <xf numFmtId="176" fontId="136" fillId="0" borderId="0" xfId="85" applyNumberFormat="1" applyFont="1" applyProtection="1"/>
    <xf numFmtId="168" fontId="136" fillId="0" borderId="0" xfId="85" applyFont="1" applyAlignment="1" applyProtection="1">
      <alignment horizontal="center"/>
    </xf>
    <xf numFmtId="176" fontId="136" fillId="0" borderId="4" xfId="122" applyNumberFormat="1" applyFont="1" applyBorder="1">
      <protection locked="0"/>
    </xf>
    <xf numFmtId="168" fontId="49" fillId="0" borderId="0" xfId="57" applyNumberFormat="1" applyAlignment="1" applyProtection="1"/>
    <xf numFmtId="0" fontId="188" fillId="0" borderId="0" xfId="0" applyFont="1"/>
    <xf numFmtId="0" fontId="189" fillId="0" borderId="0" xfId="0" applyFont="1"/>
    <xf numFmtId="168" fontId="44" fillId="0" borderId="0" xfId="85" applyFont="1" applyProtection="1"/>
    <xf numFmtId="0" fontId="137" fillId="0" borderId="0" xfId="88" applyFont="1" applyProtection="1">
      <protection hidden="1"/>
    </xf>
    <xf numFmtId="0" fontId="44" fillId="0" borderId="0" xfId="88" applyFont="1" applyProtection="1">
      <protection hidden="1"/>
    </xf>
    <xf numFmtId="0" fontId="29" fillId="0" borderId="0" xfId="90" applyFont="1" applyAlignment="1">
      <alignment horizontal="right"/>
    </xf>
    <xf numFmtId="0" fontId="17" fillId="0" borderId="0" xfId="99" applyFont="1" applyAlignment="1" applyProtection="1">
      <alignment horizontal="center"/>
      <protection locked="0"/>
    </xf>
    <xf numFmtId="0" fontId="11" fillId="0" borderId="0" xfId="115" applyFont="1" applyAlignment="1">
      <alignment horizontal="center"/>
    </xf>
    <xf numFmtId="168" fontId="12" fillId="0" borderId="0" xfId="85" applyFont="1" applyProtection="1"/>
    <xf numFmtId="0" fontId="8" fillId="0" borderId="0" xfId="115" applyAlignment="1" applyProtection="1">
      <alignment horizontal="center"/>
      <protection locked="0"/>
    </xf>
    <xf numFmtId="0" fontId="12" fillId="0" borderId="1" xfId="99" applyFont="1" applyBorder="1" applyAlignment="1" applyProtection="1">
      <alignment horizontal="center"/>
      <protection locked="0"/>
    </xf>
    <xf numFmtId="168" fontId="136" fillId="0" borderId="0" xfId="85" applyFont="1">
      <protection locked="0"/>
    </xf>
    <xf numFmtId="0" fontId="12" fillId="0" borderId="0" xfId="115" applyFont="1"/>
    <xf numFmtId="0" fontId="7" fillId="0" borderId="0" xfId="93" applyFont="1" applyAlignment="1">
      <alignment horizontal="center"/>
    </xf>
    <xf numFmtId="164" fontId="7" fillId="0" borderId="0" xfId="0" applyNumberFormat="1" applyFont="1" applyAlignment="1" applyProtection="1">
      <alignment horizontal="center"/>
      <protection locked="0"/>
    </xf>
    <xf numFmtId="164" fontId="7" fillId="0" borderId="0" xfId="93" applyNumberFormat="1" applyFont="1" applyAlignment="1" applyProtection="1">
      <alignment horizontal="center"/>
      <protection locked="0"/>
    </xf>
    <xf numFmtId="189" fontId="7" fillId="0" borderId="1" xfId="89" applyNumberFormat="1" applyFont="1" applyBorder="1" applyAlignment="1">
      <alignment horizontal="center"/>
    </xf>
    <xf numFmtId="0" fontId="12" fillId="0" borderId="0" xfId="89" applyAlignment="1">
      <alignment horizontal="center"/>
    </xf>
    <xf numFmtId="0" fontId="191" fillId="0" borderId="0" xfId="0" applyFont="1" applyAlignment="1">
      <alignment horizontal="left"/>
    </xf>
    <xf numFmtId="49" fontId="183" fillId="0" borderId="0" xfId="0" applyNumberFormat="1" applyFont="1" applyAlignment="1">
      <alignment horizontal="center"/>
    </xf>
    <xf numFmtId="0" fontId="192" fillId="0" borderId="0" xfId="0" applyFont="1"/>
    <xf numFmtId="0" fontId="183" fillId="0" borderId="0" xfId="0" applyFont="1" applyAlignment="1" applyProtection="1">
      <alignment horizontal="center"/>
      <protection locked="0"/>
    </xf>
    <xf numFmtId="49" fontId="44" fillId="0" borderId="4" xfId="89" applyNumberFormat="1" applyFont="1" applyBorder="1" applyAlignment="1" applyProtection="1">
      <alignment horizontal="center"/>
      <protection locked="0"/>
    </xf>
    <xf numFmtId="49" fontId="44" fillId="0" borderId="1" xfId="89" applyNumberFormat="1" applyFont="1" applyBorder="1" applyAlignment="1" applyProtection="1">
      <alignment horizontal="center"/>
      <protection locked="0"/>
    </xf>
    <xf numFmtId="49" fontId="193" fillId="0" borderId="1" xfId="0" applyNumberFormat="1" applyFont="1" applyBorder="1" applyAlignment="1" applyProtection="1">
      <alignment horizontal="center"/>
      <protection locked="0"/>
    </xf>
    <xf numFmtId="49" fontId="193" fillId="0" borderId="4" xfId="0" applyNumberFormat="1" applyFont="1" applyBorder="1" applyAlignment="1" applyProtection="1">
      <alignment horizontal="center"/>
      <protection locked="0"/>
    </xf>
    <xf numFmtId="49" fontId="32" fillId="0" borderId="1" xfId="84" applyNumberFormat="1" applyFont="1" applyBorder="1" applyAlignment="1" applyProtection="1">
      <alignment horizontal="center"/>
      <protection locked="0"/>
    </xf>
    <xf numFmtId="49" fontId="32" fillId="0" borderId="4" xfId="84" applyNumberFormat="1" applyFont="1" applyBorder="1" applyAlignment="1" applyProtection="1">
      <alignment horizontal="center"/>
      <protection locked="0"/>
    </xf>
    <xf numFmtId="0" fontId="44" fillId="0" borderId="0" xfId="89" applyFont="1" applyAlignment="1">
      <alignment horizontal="left"/>
    </xf>
    <xf numFmtId="49" fontId="7" fillId="0" borderId="0" xfId="84" applyNumberFormat="1" applyFont="1" applyProtection="1">
      <protection locked="0"/>
    </xf>
    <xf numFmtId="49" fontId="32" fillId="0" borderId="0" xfId="84" applyNumberFormat="1" applyFont="1" applyAlignment="1" applyProtection="1">
      <alignment horizontal="center"/>
      <protection locked="0"/>
    </xf>
    <xf numFmtId="49" fontId="12" fillId="0" borderId="0" xfId="89" applyNumberFormat="1"/>
    <xf numFmtId="49" fontId="44" fillId="0" borderId="0" xfId="89" applyNumberFormat="1" applyFont="1"/>
    <xf numFmtId="176" fontId="7" fillId="4" borderId="1" xfId="84" applyNumberFormat="1" applyFont="1" applyFill="1" applyBorder="1"/>
    <xf numFmtId="0" fontId="7" fillId="0" borderId="0" xfId="102" applyFont="1"/>
    <xf numFmtId="0" fontId="12" fillId="0" borderId="0" xfId="89" quotePrefix="1"/>
    <xf numFmtId="0" fontId="185" fillId="0" borderId="0" xfId="0" applyFont="1" applyAlignment="1">
      <alignment horizontal="center"/>
    </xf>
    <xf numFmtId="190" fontId="12" fillId="0" borderId="1" xfId="89" applyNumberFormat="1" applyBorder="1" applyAlignment="1" applyProtection="1">
      <alignment horizontal="right"/>
      <protection locked="0"/>
    </xf>
    <xf numFmtId="190" fontId="12" fillId="0" borderId="4" xfId="89" applyNumberFormat="1" applyBorder="1" applyAlignment="1" applyProtection="1">
      <alignment horizontal="right"/>
      <protection locked="0"/>
    </xf>
    <xf numFmtId="0" fontId="78" fillId="0" borderId="0" xfId="0" applyFont="1" applyProtection="1">
      <protection hidden="1"/>
    </xf>
    <xf numFmtId="49" fontId="12" fillId="0" borderId="4" xfId="89" applyNumberFormat="1" applyBorder="1" applyAlignment="1" applyProtection="1">
      <alignment horizontal="center"/>
      <protection locked="0"/>
    </xf>
    <xf numFmtId="0" fontId="32" fillId="0" borderId="1" xfId="89" applyFont="1" applyBorder="1" applyAlignment="1" applyProtection="1">
      <alignment horizontal="center"/>
      <protection locked="0"/>
    </xf>
    <xf numFmtId="0" fontId="32" fillId="0" borderId="4" xfId="89" applyFont="1" applyBorder="1" applyAlignment="1" applyProtection="1">
      <alignment horizontal="center"/>
      <protection locked="0"/>
    </xf>
    <xf numFmtId="0" fontId="191" fillId="0" borderId="0" xfId="0" applyFont="1" applyAlignment="1" applyProtection="1">
      <alignment horizontal="left"/>
      <protection locked="0"/>
    </xf>
    <xf numFmtId="0" fontId="7" fillId="0" borderId="0" xfId="89" applyFont="1" applyProtection="1">
      <protection locked="0"/>
    </xf>
    <xf numFmtId="0" fontId="194" fillId="0" borderId="0" xfId="0" applyFont="1"/>
    <xf numFmtId="1" fontId="5" fillId="0" borderId="0" xfId="0" applyNumberFormat="1" applyFont="1" applyAlignment="1">
      <alignment horizontal="center"/>
    </xf>
    <xf numFmtId="0" fontId="3" fillId="0" borderId="0" xfId="91" applyFont="1" applyAlignment="1">
      <alignment horizontal="center"/>
    </xf>
    <xf numFmtId="0" fontId="7" fillId="0" borderId="0" xfId="91" applyFont="1"/>
    <xf numFmtId="0" fontId="4" fillId="0" borderId="0" xfId="91" applyFont="1"/>
    <xf numFmtId="0" fontId="7" fillId="0" borderId="0" xfId="91" applyFont="1" applyAlignment="1">
      <alignment horizontal="center"/>
    </xf>
    <xf numFmtId="0" fontId="7" fillId="0" borderId="0" xfId="91" applyFont="1" applyAlignment="1">
      <alignment horizontal="right"/>
    </xf>
    <xf numFmtId="0" fontId="7" fillId="0" borderId="1" xfId="91" applyFont="1" applyBorder="1" applyAlignment="1">
      <alignment horizontal="center"/>
    </xf>
    <xf numFmtId="0" fontId="7" fillId="0" borderId="2" xfId="91" applyFont="1" applyBorder="1"/>
    <xf numFmtId="0" fontId="7" fillId="0" borderId="0" xfId="69" applyFont="1" applyAlignment="1">
      <alignment vertical="top" wrapText="1"/>
    </xf>
    <xf numFmtId="0" fontId="247" fillId="0" borderId="0" xfId="69" applyAlignment="1">
      <alignment vertical="top" wrapText="1"/>
    </xf>
    <xf numFmtId="0" fontId="69" fillId="0" borderId="5" xfId="91" applyFont="1" applyBorder="1" applyAlignment="1">
      <alignment horizontal="center"/>
    </xf>
    <xf numFmtId="0" fontId="69" fillId="0" borderId="9" xfId="91" applyFont="1" applyBorder="1" applyAlignment="1">
      <alignment horizontal="center"/>
    </xf>
    <xf numFmtId="0" fontId="7" fillId="0" borderId="7" xfId="91" applyFont="1" applyBorder="1" applyAlignment="1" applyProtection="1">
      <alignment horizontal="center"/>
      <protection locked="0"/>
    </xf>
    <xf numFmtId="0" fontId="7" fillId="0" borderId="6" xfId="91" applyFont="1" applyBorder="1" applyAlignment="1" applyProtection="1">
      <alignment horizontal="center"/>
      <protection locked="0"/>
    </xf>
    <xf numFmtId="0" fontId="7" fillId="0" borderId="13" xfId="91" applyFont="1" applyBorder="1" applyAlignment="1" applyProtection="1">
      <alignment horizontal="center"/>
      <protection locked="0"/>
    </xf>
    <xf numFmtId="0" fontId="4" fillId="0" borderId="0" xfId="69" applyFont="1"/>
    <xf numFmtId="176" fontId="7" fillId="0" borderId="12" xfId="91" applyNumberFormat="1" applyFont="1" applyBorder="1" applyProtection="1">
      <protection locked="0"/>
    </xf>
    <xf numFmtId="176" fontId="7" fillId="0" borderId="15" xfId="91" applyNumberFormat="1" applyFont="1" applyBorder="1" applyProtection="1">
      <protection locked="0"/>
    </xf>
    <xf numFmtId="0" fontId="32" fillId="0" borderId="0" xfId="91" applyFont="1"/>
    <xf numFmtId="176" fontId="7" fillId="5" borderId="23" xfId="69" applyNumberFormat="1" applyFont="1" applyFill="1" applyBorder="1"/>
    <xf numFmtId="176" fontId="7" fillId="5" borderId="15" xfId="69" applyNumberFormat="1" applyFont="1" applyFill="1" applyBorder="1"/>
    <xf numFmtId="0" fontId="7" fillId="0" borderId="0" xfId="69" applyFont="1" applyProtection="1">
      <protection locked="0"/>
    </xf>
    <xf numFmtId="176" fontId="7" fillId="0" borderId="24" xfId="69" applyNumberFormat="1" applyFont="1" applyBorder="1"/>
    <xf numFmtId="0" fontId="67" fillId="0" borderId="0" xfId="91" applyFont="1" applyAlignment="1">
      <alignment horizontal="centerContinuous"/>
    </xf>
    <xf numFmtId="0" fontId="7" fillId="0" borderId="0" xfId="69" applyFont="1" applyAlignment="1">
      <alignment horizontal="left" indent="1"/>
    </xf>
    <xf numFmtId="170" fontId="7" fillId="6" borderId="25" xfId="91" applyNumberFormat="1" applyFont="1" applyFill="1" applyBorder="1"/>
    <xf numFmtId="170" fontId="7" fillId="6" borderId="26" xfId="91" applyNumberFormat="1" applyFont="1" applyFill="1" applyBorder="1"/>
    <xf numFmtId="0" fontId="99" fillId="0" borderId="0" xfId="69" applyFont="1" applyAlignment="1" applyProtection="1">
      <alignment horizontal="center"/>
      <protection hidden="1"/>
    </xf>
    <xf numFmtId="0" fontId="69" fillId="0" borderId="0" xfId="91" applyFont="1" applyAlignment="1">
      <alignment horizontal="center"/>
    </xf>
    <xf numFmtId="0" fontId="7" fillId="0" borderId="0" xfId="91" applyFont="1" applyAlignment="1" applyProtection="1">
      <alignment horizontal="center"/>
      <protection locked="0"/>
    </xf>
    <xf numFmtId="176" fontId="7" fillId="0" borderId="0" xfId="91" applyNumberFormat="1" applyFont="1" applyProtection="1">
      <protection locked="0"/>
    </xf>
    <xf numFmtId="176" fontId="7" fillId="0" borderId="0" xfId="69" applyNumberFormat="1" applyFont="1"/>
    <xf numFmtId="0" fontId="187" fillId="0" borderId="0" xfId="69" applyFont="1"/>
    <xf numFmtId="0" fontId="247" fillId="0" borderId="0" xfId="69" applyAlignment="1">
      <alignment vertical="top"/>
    </xf>
    <xf numFmtId="0" fontId="4" fillId="0" borderId="0" xfId="69" applyFont="1" applyAlignment="1">
      <alignment horizontal="center"/>
    </xf>
    <xf numFmtId="170" fontId="109" fillId="6" borderId="0" xfId="91" applyNumberFormat="1" applyFont="1" applyFill="1"/>
    <xf numFmtId="170" fontId="7" fillId="6" borderId="0" xfId="91" applyNumberFormat="1" applyFont="1" applyFill="1"/>
    <xf numFmtId="0" fontId="0" fillId="7" borderId="27" xfId="0" applyFill="1" applyBorder="1"/>
    <xf numFmtId="180" fontId="0" fillId="7" borderId="27" xfId="0" applyNumberFormat="1" applyFill="1" applyBorder="1"/>
    <xf numFmtId="0" fontId="0" fillId="7" borderId="28" xfId="0" applyFill="1" applyBorder="1"/>
    <xf numFmtId="0" fontId="0" fillId="7" borderId="29" xfId="0" applyFill="1" applyBorder="1"/>
    <xf numFmtId="0" fontId="0" fillId="7" borderId="0" xfId="0" applyFill="1"/>
    <xf numFmtId="180" fontId="0" fillId="7" borderId="0" xfId="0" applyNumberFormat="1" applyFill="1"/>
    <xf numFmtId="0" fontId="0" fillId="7" borderId="30" xfId="0" applyFill="1" applyBorder="1"/>
    <xf numFmtId="180" fontId="0" fillId="7" borderId="30" xfId="0" applyNumberFormat="1" applyFill="1" applyBorder="1"/>
    <xf numFmtId="0" fontId="0" fillId="7" borderId="31" xfId="0" applyFill="1" applyBorder="1"/>
    <xf numFmtId="0" fontId="0" fillId="7" borderId="2" xfId="0" applyFill="1" applyBorder="1"/>
    <xf numFmtId="180" fontId="0" fillId="7" borderId="2" xfId="0" applyNumberFormat="1" applyFill="1" applyBorder="1"/>
    <xf numFmtId="0" fontId="0" fillId="7" borderId="32" xfId="0" applyFill="1" applyBorder="1"/>
    <xf numFmtId="0" fontId="0" fillId="6" borderId="0" xfId="0" applyFill="1"/>
    <xf numFmtId="0" fontId="7" fillId="6" borderId="0" xfId="0" applyFont="1" applyFill="1"/>
    <xf numFmtId="168" fontId="44" fillId="0" borderId="0" xfId="85" applyFont="1">
      <protection locked="0"/>
    </xf>
    <xf numFmtId="0" fontId="138" fillId="0" borderId="0" xfId="82" applyNumberFormat="1" applyFont="1" applyProtection="1"/>
    <xf numFmtId="180" fontId="195" fillId="8" borderId="0" xfId="0" applyNumberFormat="1" applyFont="1" applyFill="1"/>
    <xf numFmtId="0" fontId="69" fillId="0" borderId="0" xfId="74" applyFont="1"/>
    <xf numFmtId="0" fontId="69" fillId="7" borderId="0" xfId="74" applyFont="1" applyFill="1" applyAlignment="1">
      <alignment wrapText="1"/>
    </xf>
    <xf numFmtId="0" fontId="69" fillId="0" borderId="0" xfId="74" applyFont="1" applyAlignment="1">
      <alignment wrapText="1"/>
    </xf>
    <xf numFmtId="0" fontId="7" fillId="0" borderId="0" xfId="74"/>
    <xf numFmtId="49" fontId="10" fillId="0" borderId="0" xfId="74" applyNumberFormat="1" applyFont="1" applyAlignment="1" applyProtection="1">
      <alignment horizontal="center"/>
      <protection hidden="1"/>
    </xf>
    <xf numFmtId="0" fontId="78" fillId="0" borderId="0" xfId="74" applyFont="1" applyProtection="1">
      <protection hidden="1"/>
    </xf>
    <xf numFmtId="39" fontId="10" fillId="0" borderId="0" xfId="74" applyNumberFormat="1" applyFont="1" applyProtection="1">
      <protection hidden="1"/>
    </xf>
    <xf numFmtId="0" fontId="10" fillId="0" borderId="0" xfId="74" applyFont="1" applyProtection="1">
      <protection hidden="1"/>
    </xf>
    <xf numFmtId="0" fontId="10" fillId="0" borderId="0" xfId="74" applyFont="1" applyAlignment="1" applyProtection="1">
      <alignment horizontal="left"/>
      <protection hidden="1"/>
    </xf>
    <xf numFmtId="39" fontId="7" fillId="0" borderId="0" xfId="74" applyNumberFormat="1"/>
    <xf numFmtId="49" fontId="195" fillId="8" borderId="0" xfId="0" applyNumberFormat="1" applyFont="1" applyFill="1"/>
    <xf numFmtId="180" fontId="195" fillId="8" borderId="1" xfId="0" applyNumberFormat="1" applyFont="1" applyFill="1" applyBorder="1"/>
    <xf numFmtId="39" fontId="10" fillId="0" borderId="0" xfId="74" applyNumberFormat="1" applyFont="1"/>
    <xf numFmtId="49" fontId="10" fillId="9" borderId="0" xfId="74" applyNumberFormat="1" applyFont="1" applyFill="1" applyAlignment="1" applyProtection="1">
      <alignment horizontal="center"/>
      <protection hidden="1"/>
    </xf>
    <xf numFmtId="49" fontId="10" fillId="10" borderId="0" xfId="74" applyNumberFormat="1" applyFont="1" applyFill="1" applyAlignment="1" applyProtection="1">
      <alignment horizontal="center"/>
      <protection hidden="1"/>
    </xf>
    <xf numFmtId="49" fontId="108" fillId="10" borderId="0" xfId="74" applyNumberFormat="1" applyFont="1" applyFill="1" applyAlignment="1" applyProtection="1">
      <alignment horizontal="center"/>
      <protection hidden="1"/>
    </xf>
    <xf numFmtId="0" fontId="140" fillId="0" borderId="0" xfId="0" applyFont="1" applyProtection="1">
      <protection hidden="1"/>
    </xf>
    <xf numFmtId="0" fontId="9" fillId="0" borderId="0" xfId="0" applyFont="1" applyAlignment="1" applyProtection="1">
      <alignment horizontal="center"/>
      <protection hidden="1"/>
    </xf>
    <xf numFmtId="0" fontId="9" fillId="7" borderId="0" xfId="0" applyFont="1" applyFill="1" applyAlignment="1" applyProtection="1">
      <alignment horizontal="center"/>
      <protection hidden="1"/>
    </xf>
    <xf numFmtId="0" fontId="53" fillId="7" borderId="0" xfId="0" applyFont="1" applyFill="1" applyAlignment="1" applyProtection="1">
      <alignment horizontal="center" wrapText="1"/>
      <protection hidden="1"/>
    </xf>
    <xf numFmtId="0" fontId="53" fillId="7" borderId="0" xfId="0" applyFont="1" applyFill="1" applyAlignment="1" applyProtection="1">
      <alignment horizontal="center"/>
      <protection hidden="1"/>
    </xf>
    <xf numFmtId="0" fontId="53" fillId="0" borderId="0" xfId="0" applyFont="1" applyAlignment="1" applyProtection="1">
      <alignment horizontal="center" wrapText="1"/>
      <protection hidden="1"/>
    </xf>
    <xf numFmtId="0" fontId="9" fillId="0" borderId="0" xfId="0" applyFont="1" applyProtection="1">
      <protection hidden="1"/>
    </xf>
    <xf numFmtId="0" fontId="53" fillId="0" borderId="0" xfId="0" applyFont="1" applyAlignment="1" applyProtection="1">
      <alignment wrapText="1"/>
      <protection hidden="1"/>
    </xf>
    <xf numFmtId="0" fontId="2" fillId="0" borderId="0" xfId="74" applyFont="1"/>
    <xf numFmtId="49" fontId="10" fillId="10" borderId="0" xfId="74" quotePrefix="1" applyNumberFormat="1" applyFont="1" applyFill="1" applyAlignment="1">
      <alignment horizontal="center"/>
    </xf>
    <xf numFmtId="49" fontId="10" fillId="10" borderId="0" xfId="74" quotePrefix="1" applyNumberFormat="1" applyFont="1" applyFill="1" applyAlignment="1" applyProtection="1">
      <alignment horizontal="center"/>
      <protection hidden="1"/>
    </xf>
    <xf numFmtId="180" fontId="2" fillId="0" borderId="8" xfId="0" applyNumberFormat="1" applyFont="1" applyBorder="1"/>
    <xf numFmtId="180" fontId="2" fillId="8" borderId="0" xfId="0" applyNumberFormat="1" applyFont="1" applyFill="1"/>
    <xf numFmtId="49" fontId="2" fillId="8" borderId="0" xfId="0" applyNumberFormat="1" applyFont="1" applyFill="1"/>
    <xf numFmtId="180" fontId="4" fillId="0" borderId="2" xfId="95" applyNumberFormat="1" applyFont="1" applyBorder="1" applyAlignment="1">
      <alignment horizontal="center"/>
    </xf>
    <xf numFmtId="0" fontId="4" fillId="0" borderId="2" xfId="95" applyFont="1" applyBorder="1" applyAlignment="1">
      <alignment horizontal="center"/>
    </xf>
    <xf numFmtId="49" fontId="195" fillId="8" borderId="4" xfId="0" applyNumberFormat="1" applyFont="1" applyFill="1" applyBorder="1"/>
    <xf numFmtId="0" fontId="196" fillId="0" borderId="0" xfId="0" applyFont="1"/>
    <xf numFmtId="180" fontId="181" fillId="0" borderId="0" xfId="0" applyNumberFormat="1" applyFont="1"/>
    <xf numFmtId="180" fontId="0" fillId="11" borderId="0" xfId="0" applyNumberFormat="1" applyFill="1"/>
    <xf numFmtId="0" fontId="4" fillId="0" borderId="2" xfId="95" quotePrefix="1" applyFont="1" applyBorder="1" applyAlignment="1">
      <alignment horizontal="center"/>
    </xf>
    <xf numFmtId="0" fontId="3" fillId="0" borderId="0" xfId="0" applyFont="1" applyAlignment="1">
      <alignment wrapText="1"/>
    </xf>
    <xf numFmtId="0" fontId="81" fillId="8" borderId="0" xfId="57" applyFont="1" applyFill="1" applyAlignment="1" applyProtection="1">
      <alignment horizontal="center"/>
    </xf>
    <xf numFmtId="180" fontId="12" fillId="0" borderId="0" xfId="114" applyNumberFormat="1" applyAlignment="1">
      <alignment horizontal="right"/>
    </xf>
    <xf numFmtId="180" fontId="116" fillId="0" borderId="0" xfId="0" applyNumberFormat="1" applyFont="1" applyAlignment="1">
      <alignment horizontal="left"/>
    </xf>
    <xf numFmtId="0" fontId="121" fillId="0" borderId="0" xfId="0" applyFont="1"/>
    <xf numFmtId="180" fontId="0" fillId="8" borderId="0" xfId="0" applyNumberFormat="1" applyFill="1" applyProtection="1">
      <protection locked="0"/>
    </xf>
    <xf numFmtId="0" fontId="84" fillId="8" borderId="0" xfId="110" applyFont="1" applyFill="1" applyAlignment="1">
      <alignment horizontal="left"/>
    </xf>
    <xf numFmtId="0" fontId="7" fillId="8" borderId="0" xfId="110" applyFont="1" applyFill="1"/>
    <xf numFmtId="0" fontId="84" fillId="8" borderId="0" xfId="110" applyFont="1" applyFill="1" applyAlignment="1">
      <alignment horizontal="center"/>
    </xf>
    <xf numFmtId="0" fontId="141" fillId="8" borderId="0" xfId="110" applyFont="1" applyFill="1"/>
    <xf numFmtId="0" fontId="69" fillId="8" borderId="0" xfId="110" applyFont="1" applyFill="1"/>
    <xf numFmtId="0" fontId="4" fillId="8" borderId="0" xfId="110" applyFont="1" applyFill="1" applyAlignment="1">
      <alignment horizontal="center"/>
    </xf>
    <xf numFmtId="0" fontId="142" fillId="8" borderId="0" xfId="110" applyFont="1" applyFill="1" applyAlignment="1">
      <alignment horizontal="left"/>
    </xf>
    <xf numFmtId="15" fontId="12" fillId="0" borderId="1" xfId="0" applyNumberFormat="1" applyFont="1" applyBorder="1" applyAlignment="1">
      <alignment horizontal="center"/>
    </xf>
    <xf numFmtId="0" fontId="4" fillId="0" borderId="0" xfId="115" applyFont="1"/>
    <xf numFmtId="0" fontId="2" fillId="0" borderId="0" xfId="115" applyFont="1"/>
    <xf numFmtId="0" fontId="4" fillId="0" borderId="0" xfId="115" applyFont="1" applyAlignment="1">
      <alignment horizontal="center"/>
    </xf>
    <xf numFmtId="0" fontId="4" fillId="0" borderId="0" xfId="115" applyFont="1" applyAlignment="1">
      <alignment horizontal="left"/>
    </xf>
    <xf numFmtId="168" fontId="4" fillId="0" borderId="0" xfId="82" applyFont="1" applyAlignment="1" applyProtection="1">
      <alignment horizontal="left"/>
    </xf>
    <xf numFmtId="0" fontId="143" fillId="0" borderId="0" xfId="0" applyFont="1"/>
    <xf numFmtId="0" fontId="2" fillId="6" borderId="0" xfId="0" applyFont="1" applyFill="1"/>
    <xf numFmtId="0" fontId="2" fillId="0" borderId="0" xfId="0" applyFont="1" applyAlignment="1">
      <alignment horizontal="left"/>
    </xf>
    <xf numFmtId="0" fontId="2" fillId="0" borderId="4" xfId="107" applyFont="1" applyBorder="1"/>
    <xf numFmtId="176" fontId="12" fillId="0" borderId="2" xfId="0" applyNumberFormat="1" applyFont="1" applyBorder="1"/>
    <xf numFmtId="0" fontId="4" fillId="0" borderId="0" xfId="0" quotePrefix="1" applyFont="1" applyAlignment="1">
      <alignment horizontal="center"/>
    </xf>
    <xf numFmtId="0" fontId="144" fillId="0" borderId="0" xfId="0" quotePrefix="1" applyFont="1"/>
    <xf numFmtId="0" fontId="197" fillId="0" borderId="0" xfId="0" applyFont="1"/>
    <xf numFmtId="0" fontId="198" fillId="0" borderId="0" xfId="0" applyFont="1" applyProtection="1">
      <protection locked="0"/>
    </xf>
    <xf numFmtId="0" fontId="198" fillId="0" borderId="0" xfId="0" applyFont="1"/>
    <xf numFmtId="0" fontId="199" fillId="0" borderId="0" xfId="0" applyFont="1"/>
    <xf numFmtId="0" fontId="197" fillId="0" borderId="0" xfId="0" applyFont="1" applyProtection="1">
      <protection hidden="1"/>
    </xf>
    <xf numFmtId="0" fontId="200" fillId="0" borderId="0" xfId="0" applyFont="1"/>
    <xf numFmtId="0" fontId="201" fillId="0" borderId="0" xfId="0" applyFont="1"/>
    <xf numFmtId="0" fontId="198" fillId="0" borderId="0" xfId="0" applyFont="1" applyAlignment="1">
      <alignment horizontal="center"/>
    </xf>
    <xf numFmtId="0" fontId="202" fillId="0" borderId="0" xfId="0" applyFont="1" applyAlignment="1">
      <alignment horizontal="center"/>
    </xf>
    <xf numFmtId="0" fontId="202" fillId="0" borderId="0" xfId="0" applyFont="1" applyAlignment="1" applyProtection="1">
      <alignment horizontal="center"/>
      <protection hidden="1"/>
    </xf>
    <xf numFmtId="0" fontId="201" fillId="0" borderId="0" xfId="0" applyFont="1" applyProtection="1">
      <protection hidden="1"/>
    </xf>
    <xf numFmtId="0" fontId="198" fillId="0" borderId="0" xfId="0" applyFont="1" applyProtection="1">
      <protection hidden="1"/>
    </xf>
    <xf numFmtId="0" fontId="198" fillId="0" borderId="4" xfId="0" applyFont="1" applyBorder="1"/>
    <xf numFmtId="175" fontId="202" fillId="0" borderId="0" xfId="0" applyNumberFormat="1" applyFont="1" applyAlignment="1" applyProtection="1">
      <alignment horizontal="center"/>
      <protection hidden="1"/>
    </xf>
    <xf numFmtId="0" fontId="203" fillId="0" borderId="0" xfId="0" applyFont="1" applyProtection="1">
      <protection hidden="1"/>
    </xf>
    <xf numFmtId="175" fontId="198" fillId="0" borderId="0" xfId="0" applyNumberFormat="1" applyFont="1"/>
    <xf numFmtId="0" fontId="204" fillId="0" borderId="0" xfId="0" applyFont="1"/>
    <xf numFmtId="0" fontId="198" fillId="0" borderId="0" xfId="119" applyFont="1" applyProtection="1">
      <protection locked="0"/>
    </xf>
    <xf numFmtId="0" fontId="205" fillId="0" borderId="23" xfId="0" applyFont="1" applyBorder="1" applyAlignment="1">
      <alignment horizontal="center" wrapText="1"/>
    </xf>
    <xf numFmtId="0" fontId="202" fillId="0" borderId="15" xfId="57" applyFont="1" applyBorder="1" applyAlignment="1" applyProtection="1">
      <alignment horizontal="center"/>
    </xf>
    <xf numFmtId="0" fontId="198" fillId="3" borderId="15" xfId="119" applyFont="1" applyFill="1" applyBorder="1" applyAlignment="1">
      <alignment horizontal="center" vertical="center" wrapText="1"/>
    </xf>
    <xf numFmtId="0" fontId="201" fillId="0" borderId="23" xfId="119" applyFont="1" applyBorder="1" applyAlignment="1">
      <alignment horizontal="center"/>
    </xf>
    <xf numFmtId="0" fontId="198" fillId="0" borderId="15" xfId="119" applyFont="1" applyBorder="1" applyAlignment="1" applyProtection="1">
      <alignment horizontal="center"/>
      <protection locked="0"/>
    </xf>
    <xf numFmtId="0" fontId="202" fillId="0" borderId="15" xfId="57" applyFont="1" applyBorder="1" applyAlignment="1" applyProtection="1">
      <alignment horizontal="center" wrapText="1"/>
    </xf>
    <xf numFmtId="0" fontId="202" fillId="0" borderId="15" xfId="57" applyFont="1" applyBorder="1" applyAlignment="1" applyProtection="1">
      <alignment horizontal="center" shrinkToFit="1"/>
    </xf>
    <xf numFmtId="0" fontId="202" fillId="0" borderId="15" xfId="57" applyFont="1" applyBorder="1" applyAlignment="1" applyProtection="1"/>
    <xf numFmtId="182" fontId="198" fillId="0" borderId="0" xfId="0" applyNumberFormat="1" applyFont="1"/>
    <xf numFmtId="49" fontId="198" fillId="0" borderId="0" xfId="0" applyNumberFormat="1" applyFont="1"/>
    <xf numFmtId="49" fontId="198" fillId="0" borderId="0" xfId="0" applyNumberFormat="1" applyFont="1" applyProtection="1">
      <protection locked="0"/>
    </xf>
    <xf numFmtId="0" fontId="15" fillId="8" borderId="0" xfId="0" applyFont="1" applyFill="1"/>
    <xf numFmtId="0" fontId="15" fillId="0" borderId="0" xfId="98" applyFont="1" applyAlignment="1">
      <alignment horizontal="center"/>
    </xf>
    <xf numFmtId="0" fontId="14" fillId="0" borderId="0" xfId="98" applyFont="1" applyAlignment="1">
      <alignment horizontal="center"/>
    </xf>
    <xf numFmtId="0" fontId="14" fillId="0" borderId="0" xfId="98" applyFont="1"/>
    <xf numFmtId="0" fontId="15" fillId="0" borderId="0" xfId="101" applyFont="1" applyAlignment="1">
      <alignment horizontal="right"/>
    </xf>
    <xf numFmtId="40" fontId="15" fillId="0" borderId="0" xfId="39" applyFont="1"/>
    <xf numFmtId="1" fontId="72" fillId="0" borderId="0" xfId="101" applyNumberFormat="1" applyFont="1" applyAlignment="1">
      <alignment horizontal="right"/>
    </xf>
    <xf numFmtId="0" fontId="21" fillId="0" borderId="0" xfId="101" applyFont="1" applyAlignment="1">
      <alignment horizontal="right"/>
    </xf>
    <xf numFmtId="39" fontId="28" fillId="0" borderId="0" xfId="101" applyNumberFormat="1" applyFont="1"/>
    <xf numFmtId="0" fontId="31" fillId="0" borderId="0" xfId="101" applyFont="1" applyAlignment="1">
      <alignment horizontal="center"/>
    </xf>
    <xf numFmtId="0" fontId="31" fillId="0" borderId="1" xfId="101" applyFont="1" applyBorder="1" applyAlignment="1">
      <alignment horizontal="center"/>
    </xf>
    <xf numFmtId="0" fontId="12" fillId="0" borderId="0" xfId="98" applyAlignment="1">
      <alignment horizontal="center"/>
    </xf>
    <xf numFmtId="0" fontId="12" fillId="0" borderId="1" xfId="98" applyBorder="1" applyAlignment="1">
      <alignment horizontal="center"/>
    </xf>
    <xf numFmtId="0" fontId="24" fillId="0" borderId="0" xfId="98" applyFont="1"/>
    <xf numFmtId="39" fontId="12" fillId="0" borderId="0" xfId="98" applyNumberFormat="1"/>
    <xf numFmtId="0" fontId="15" fillId="0" borderId="8" xfId="0" applyFont="1" applyBorder="1" applyAlignment="1">
      <alignment horizontal="center"/>
    </xf>
    <xf numFmtId="176" fontId="15" fillId="0" borderId="1" xfId="38" applyNumberFormat="1" applyFont="1" applyBorder="1"/>
    <xf numFmtId="176" fontId="15" fillId="0" borderId="14" xfId="38" applyNumberFormat="1" applyFont="1" applyBorder="1"/>
    <xf numFmtId="0" fontId="2" fillId="0" borderId="1" xfId="0" applyFont="1" applyBorder="1" applyAlignment="1">
      <alignment horizontal="center"/>
    </xf>
    <xf numFmtId="0" fontId="206" fillId="0" borderId="0" xfId="0" applyFont="1" applyAlignment="1">
      <alignment horizontal="center"/>
    </xf>
    <xf numFmtId="0" fontId="12" fillId="0" borderId="0" xfId="0" applyFont="1" applyAlignment="1">
      <alignment wrapText="1"/>
    </xf>
    <xf numFmtId="0" fontId="11" fillId="0" borderId="1" xfId="0" applyFont="1" applyBorder="1" applyAlignment="1">
      <alignment horizontal="center" wrapText="1"/>
    </xf>
    <xf numFmtId="0" fontId="11" fillId="0" borderId="0" xfId="0" applyFont="1" applyAlignment="1">
      <alignment horizontal="center" wrapText="1"/>
    </xf>
    <xf numFmtId="0" fontId="207" fillId="0" borderId="0" xfId="0" applyFont="1"/>
    <xf numFmtId="39" fontId="15" fillId="0" borderId="1" xfId="38" applyNumberFormat="1" applyFont="1" applyBorder="1" applyProtection="1">
      <protection locked="0"/>
    </xf>
    <xf numFmtId="39" fontId="15" fillId="0" borderId="0" xfId="38" applyNumberFormat="1" applyFont="1" applyProtection="1">
      <protection locked="0"/>
    </xf>
    <xf numFmtId="39" fontId="15" fillId="0" borderId="0" xfId="0" applyNumberFormat="1" applyFont="1"/>
    <xf numFmtId="39" fontId="15" fillId="0" borderId="3" xfId="0" applyNumberFormat="1" applyFont="1" applyBorder="1"/>
    <xf numFmtId="0" fontId="208" fillId="0" borderId="0" xfId="0" applyFont="1"/>
    <xf numFmtId="0" fontId="84" fillId="0" borderId="0" xfId="0" applyFont="1" applyAlignment="1">
      <alignment horizontal="center"/>
    </xf>
    <xf numFmtId="0" fontId="209" fillId="12" borderId="0" xfId="0" applyFont="1" applyFill="1" applyAlignment="1">
      <alignment horizontal="center"/>
    </xf>
    <xf numFmtId="0" fontId="210" fillId="0" borderId="0" xfId="0" applyFont="1"/>
    <xf numFmtId="0" fontId="49" fillId="0" borderId="0" xfId="57" applyAlignment="1" applyProtection="1"/>
    <xf numFmtId="0" fontId="10" fillId="0" borderId="0" xfId="0" applyFont="1" applyAlignment="1" applyProtection="1">
      <alignment horizontal="left"/>
      <protection hidden="1"/>
    </xf>
    <xf numFmtId="0" fontId="108" fillId="0" borderId="0" xfId="0" applyFont="1" applyProtection="1">
      <protection hidden="1"/>
    </xf>
    <xf numFmtId="0" fontId="211" fillId="0" borderId="0" xfId="119" applyFont="1" applyProtection="1">
      <protection locked="0"/>
    </xf>
    <xf numFmtId="0" fontId="8" fillId="0" borderId="1" xfId="116" applyFont="1" applyBorder="1" applyAlignment="1" applyProtection="1">
      <alignment horizontal="center"/>
      <protection locked="0"/>
    </xf>
    <xf numFmtId="0" fontId="8" fillId="0" borderId="1" xfId="116" quotePrefix="1" applyFont="1" applyBorder="1" applyAlignment="1" applyProtection="1">
      <alignment horizontal="center"/>
      <protection locked="0"/>
    </xf>
    <xf numFmtId="0" fontId="124" fillId="0" borderId="0" xfId="116" applyFont="1" applyAlignment="1">
      <alignment vertical="center"/>
    </xf>
    <xf numFmtId="0" fontId="123" fillId="0" borderId="0" xfId="116" applyAlignment="1">
      <alignment horizontal="center"/>
    </xf>
    <xf numFmtId="0" fontId="212" fillId="0" borderId="0" xfId="0" applyFont="1" applyAlignment="1">
      <alignment horizontal="left" indent="1"/>
    </xf>
    <xf numFmtId="0" fontId="212" fillId="0" borderId="0" xfId="0" applyFont="1"/>
    <xf numFmtId="0" fontId="205" fillId="0" borderId="0" xfId="0" applyFont="1" applyAlignment="1">
      <alignment horizontal="center"/>
    </xf>
    <xf numFmtId="0" fontId="198" fillId="0" borderId="23" xfId="119" applyFont="1" applyBorder="1" applyAlignment="1" applyProtection="1">
      <alignment horizontal="center"/>
      <protection locked="0"/>
    </xf>
    <xf numFmtId="49" fontId="213" fillId="0" borderId="0" xfId="0" applyNumberFormat="1" applyFont="1"/>
    <xf numFmtId="0" fontId="214" fillId="0" borderId="0" xfId="0" applyFont="1" applyAlignment="1">
      <alignment horizontal="center"/>
    </xf>
    <xf numFmtId="0" fontId="146" fillId="0" borderId="0" xfId="0" applyFont="1" applyAlignment="1">
      <alignment horizontal="center"/>
    </xf>
    <xf numFmtId="49" fontId="146" fillId="0" borderId="0" xfId="0" applyNumberFormat="1" applyFont="1"/>
    <xf numFmtId="0" fontId="146" fillId="0" borderId="0" xfId="0" applyFont="1"/>
    <xf numFmtId="0" fontId="145" fillId="0" borderId="0" xfId="0" applyFont="1"/>
    <xf numFmtId="0" fontId="148" fillId="0" borderId="0" xfId="0" applyFont="1"/>
    <xf numFmtId="0" fontId="213" fillId="0" borderId="0" xfId="0" applyFont="1"/>
    <xf numFmtId="0" fontId="146" fillId="0" borderId="0" xfId="119" applyFont="1"/>
    <xf numFmtId="0" fontId="215" fillId="0" borderId="0" xfId="0" applyFont="1"/>
    <xf numFmtId="0" fontId="213" fillId="0" borderId="23" xfId="0" applyFont="1" applyBorder="1"/>
    <xf numFmtId="0" fontId="216" fillId="0" borderId="15" xfId="0" applyFont="1" applyBorder="1" applyAlignment="1">
      <alignment horizontal="center"/>
    </xf>
    <xf numFmtId="0" fontId="216" fillId="0" borderId="23" xfId="0" applyFont="1" applyBorder="1" applyAlignment="1">
      <alignment horizontal="center" wrapText="1"/>
    </xf>
    <xf numFmtId="0" fontId="217" fillId="0" borderId="15" xfId="57" applyFont="1" applyBorder="1" applyAlignment="1" applyProtection="1">
      <alignment horizontal="center"/>
    </xf>
    <xf numFmtId="0" fontId="213" fillId="3" borderId="15" xfId="119" applyFont="1" applyFill="1" applyBorder="1" applyAlignment="1">
      <alignment horizontal="center" vertical="center" wrapText="1"/>
    </xf>
    <xf numFmtId="0" fontId="213" fillId="0" borderId="15" xfId="119" applyFont="1" applyBorder="1" applyAlignment="1" applyProtection="1">
      <alignment horizontal="center"/>
      <protection locked="0"/>
    </xf>
    <xf numFmtId="0" fontId="8" fillId="0" borderId="0" xfId="115" applyProtection="1">
      <protection locked="0"/>
    </xf>
    <xf numFmtId="0" fontId="11" fillId="0" borderId="0" xfId="115" applyFont="1"/>
    <xf numFmtId="176" fontId="7" fillId="0" borderId="8" xfId="84" applyNumberFormat="1" applyFont="1" applyBorder="1" applyProtection="1">
      <protection locked="0"/>
    </xf>
    <xf numFmtId="0" fontId="2" fillId="0" borderId="0" xfId="84" applyFont="1"/>
    <xf numFmtId="49" fontId="44" fillId="0" borderId="0" xfId="89" quotePrefix="1" applyNumberFormat="1" applyFont="1" applyAlignment="1">
      <alignment horizontal="right"/>
    </xf>
    <xf numFmtId="176" fontId="2" fillId="0" borderId="1" xfId="39" applyNumberFormat="1" applyFont="1" applyBorder="1" applyProtection="1">
      <protection locked="0"/>
    </xf>
    <xf numFmtId="170" fontId="7" fillId="0" borderId="0" xfId="29" applyNumberFormat="1" applyFont="1" applyProtection="1">
      <protection locked="0"/>
    </xf>
    <xf numFmtId="0" fontId="2" fillId="0" borderId="0" xfId="86" applyFont="1"/>
    <xf numFmtId="170" fontId="7" fillId="0" borderId="2" xfId="29" applyNumberFormat="1" applyFont="1" applyBorder="1" applyProtection="1">
      <protection locked="0"/>
    </xf>
    <xf numFmtId="170" fontId="7" fillId="0" borderId="4" xfId="29" applyNumberFormat="1" applyFont="1" applyBorder="1" applyProtection="1">
      <protection locked="0"/>
    </xf>
    <xf numFmtId="0" fontId="2" fillId="6" borderId="0" xfId="0" applyFont="1" applyFill="1" applyAlignment="1">
      <alignment horizontal="center"/>
    </xf>
    <xf numFmtId="0" fontId="114" fillId="0" borderId="0" xfId="0" applyFont="1"/>
    <xf numFmtId="0" fontId="2" fillId="0" borderId="0" xfId="0" applyFont="1" applyProtection="1">
      <protection locked="0"/>
    </xf>
    <xf numFmtId="0" fontId="4" fillId="0" borderId="0" xfId="0" applyFont="1" applyAlignment="1">
      <alignment horizontal="left" indent="4"/>
    </xf>
    <xf numFmtId="0" fontId="29" fillId="0" borderId="0" xfId="86" applyFont="1" applyAlignment="1">
      <alignment horizontal="left" indent="1"/>
    </xf>
    <xf numFmtId="0" fontId="2" fillId="0" borderId="0" xfId="0" applyFont="1" applyAlignment="1">
      <alignment vertical="center"/>
    </xf>
    <xf numFmtId="0" fontId="2" fillId="0" borderId="7" xfId="91" applyFont="1" applyBorder="1" applyAlignment="1" applyProtection="1">
      <alignment horizontal="center"/>
      <protection locked="0"/>
    </xf>
    <xf numFmtId="176" fontId="7" fillId="0" borderId="0" xfId="69" applyNumberFormat="1" applyFont="1" applyProtection="1">
      <protection locked="0"/>
    </xf>
    <xf numFmtId="176" fontId="7" fillId="0" borderId="7" xfId="91" applyNumberFormat="1" applyFont="1" applyBorder="1" applyProtection="1">
      <protection locked="0"/>
    </xf>
    <xf numFmtId="176" fontId="7" fillId="0" borderId="6" xfId="69" applyNumberFormat="1" applyFont="1" applyBorder="1" applyProtection="1">
      <protection locked="0"/>
    </xf>
    <xf numFmtId="0" fontId="81" fillId="7" borderId="0" xfId="57" applyFont="1" applyFill="1" applyAlignment="1" applyProtection="1">
      <alignment horizontal="center"/>
      <protection hidden="1"/>
    </xf>
    <xf numFmtId="39" fontId="10" fillId="9" borderId="0" xfId="74" applyNumberFormat="1" applyFont="1" applyFill="1" applyProtection="1">
      <protection hidden="1"/>
    </xf>
    <xf numFmtId="39" fontId="10" fillId="13" borderId="0" xfId="74" applyNumberFormat="1" applyFont="1" applyFill="1" applyProtection="1">
      <protection hidden="1"/>
    </xf>
    <xf numFmtId="0" fontId="53" fillId="13" borderId="0" xfId="0" applyFont="1" applyFill="1" applyProtection="1">
      <protection hidden="1"/>
    </xf>
    <xf numFmtId="0" fontId="10" fillId="13" borderId="0" xfId="0" applyFont="1" applyFill="1" applyProtection="1">
      <protection hidden="1"/>
    </xf>
    <xf numFmtId="49" fontId="2" fillId="0" borderId="18" xfId="0" applyNumberFormat="1" applyFont="1" applyBorder="1"/>
    <xf numFmtId="49" fontId="10" fillId="13" borderId="0" xfId="74" quotePrefix="1" applyNumberFormat="1" applyFont="1" applyFill="1" applyAlignment="1" applyProtection="1">
      <alignment horizontal="center"/>
      <protection hidden="1"/>
    </xf>
    <xf numFmtId="0" fontId="7" fillId="0" borderId="0" xfId="107" applyFont="1" applyAlignment="1" applyProtection="1">
      <alignment horizontal="center"/>
      <protection locked="0"/>
    </xf>
    <xf numFmtId="49" fontId="2" fillId="0" borderId="1" xfId="114" applyNumberFormat="1" applyFont="1" applyBorder="1" applyAlignment="1">
      <alignment horizontal="left" shrinkToFit="1"/>
    </xf>
    <xf numFmtId="0" fontId="2" fillId="0" borderId="2" xfId="114" applyFont="1" applyBorder="1"/>
    <xf numFmtId="180" fontId="2" fillId="0" borderId="2" xfId="114" applyNumberFormat="1" applyFont="1" applyBorder="1"/>
    <xf numFmtId="0" fontId="212" fillId="0" borderId="0" xfId="95" applyFont="1"/>
    <xf numFmtId="0" fontId="0" fillId="10" borderId="0" xfId="0" applyFill="1" applyAlignment="1">
      <alignment horizontal="center"/>
    </xf>
    <xf numFmtId="180" fontId="0" fillId="10" borderId="0" xfId="0" applyNumberFormat="1" applyFill="1" applyAlignment="1">
      <alignment horizontal="center"/>
    </xf>
    <xf numFmtId="180" fontId="2" fillId="10" borderId="0" xfId="0" applyNumberFormat="1" applyFont="1" applyFill="1" applyAlignment="1">
      <alignment horizontal="center"/>
    </xf>
    <xf numFmtId="0" fontId="141" fillId="0" borderId="0" xfId="74" applyFont="1" applyAlignment="1">
      <alignment wrapText="1"/>
    </xf>
    <xf numFmtId="0" fontId="218" fillId="0" borderId="0" xfId="69" applyFont="1"/>
    <xf numFmtId="0" fontId="198" fillId="8" borderId="15" xfId="119" applyFont="1" applyFill="1" applyBorder="1" applyAlignment="1">
      <alignment horizontal="center"/>
    </xf>
    <xf numFmtId="0" fontId="198" fillId="8" borderId="23" xfId="119" applyFont="1" applyFill="1" applyBorder="1" applyAlignment="1">
      <alignment horizontal="center" vertical="center" wrapText="1"/>
    </xf>
    <xf numFmtId="0" fontId="198" fillId="8" borderId="23" xfId="119" applyFont="1" applyFill="1" applyBorder="1" applyAlignment="1">
      <alignment horizontal="center"/>
    </xf>
    <xf numFmtId="0" fontId="141" fillId="8" borderId="0" xfId="95" applyFont="1" applyFill="1" applyAlignment="1">
      <alignment horizontal="center"/>
    </xf>
    <xf numFmtId="180" fontId="94" fillId="8" borderId="0" xfId="0" applyNumberFormat="1" applyFont="1" applyFill="1"/>
    <xf numFmtId="0" fontId="2" fillId="8" borderId="0" xfId="0" applyFont="1" applyFill="1" applyAlignment="1">
      <alignment horizontal="center"/>
    </xf>
    <xf numFmtId="168" fontId="115" fillId="10" borderId="0" xfId="0" applyNumberFormat="1" applyFont="1" applyFill="1"/>
    <xf numFmtId="0" fontId="0" fillId="10" borderId="0" xfId="0" quotePrefix="1" applyFill="1" applyAlignment="1">
      <alignment horizontal="center"/>
    </xf>
    <xf numFmtId="0" fontId="0" fillId="8" borderId="0" xfId="0" quotePrefix="1" applyFill="1" applyAlignment="1">
      <alignment horizontal="center"/>
    </xf>
    <xf numFmtId="0" fontId="0" fillId="10" borderId="0" xfId="0" applyFill="1"/>
    <xf numFmtId="166" fontId="15" fillId="10" borderId="0" xfId="0" applyNumberFormat="1" applyFont="1" applyFill="1"/>
    <xf numFmtId="0" fontId="2" fillId="10" borderId="0" xfId="0" applyFont="1" applyFill="1"/>
    <xf numFmtId="0" fontId="219" fillId="0" borderId="0" xfId="0" applyFont="1"/>
    <xf numFmtId="0" fontId="0" fillId="14" borderId="0" xfId="0" applyFill="1"/>
    <xf numFmtId="0" fontId="69" fillId="0" borderId="0" xfId="84" applyFont="1"/>
    <xf numFmtId="0" fontId="24" fillId="8" borderId="0" xfId="84" applyFont="1" applyFill="1"/>
    <xf numFmtId="0" fontId="24" fillId="8" borderId="0" xfId="88" applyFont="1" applyFill="1" applyAlignment="1">
      <alignment horizontal="center"/>
    </xf>
    <xf numFmtId="0" fontId="24" fillId="8" borderId="0" xfId="88" applyFont="1" applyFill="1" applyAlignment="1" applyProtection="1">
      <alignment horizontal="center"/>
      <protection locked="0"/>
    </xf>
    <xf numFmtId="0" fontId="24" fillId="8" borderId="0" xfId="88" applyFont="1" applyFill="1" applyAlignment="1">
      <alignment horizontal="center" wrapText="1" shrinkToFit="1"/>
    </xf>
    <xf numFmtId="0" fontId="7" fillId="0" borderId="0" xfId="82" applyNumberFormat="1" applyFont="1" applyAlignment="1">
      <alignment horizontal="center"/>
      <protection locked="0"/>
    </xf>
    <xf numFmtId="168" fontId="136" fillId="8" borderId="0" xfId="82" applyFont="1" applyFill="1" applyProtection="1"/>
    <xf numFmtId="1" fontId="5" fillId="8" borderId="0" xfId="0" applyNumberFormat="1" applyFont="1" applyFill="1" applyAlignment="1">
      <alignment horizontal="center"/>
    </xf>
    <xf numFmtId="0" fontId="12" fillId="0" borderId="1" xfId="0" applyFont="1" applyBorder="1" applyAlignment="1" applyProtection="1">
      <alignment horizontal="center"/>
      <protection locked="0"/>
    </xf>
    <xf numFmtId="0" fontId="10" fillId="0" borderId="0" xfId="74" applyFont="1" applyAlignment="1" applyProtection="1">
      <alignment horizontal="right"/>
      <protection hidden="1"/>
    </xf>
    <xf numFmtId="0" fontId="155" fillId="0" borderId="0" xfId="74" applyFont="1" applyAlignment="1" applyProtection="1">
      <alignment horizontal="right"/>
      <protection hidden="1"/>
    </xf>
    <xf numFmtId="15" fontId="12" fillId="0" borderId="1" xfId="0" applyNumberFormat="1" applyFont="1" applyBorder="1" applyAlignment="1" applyProtection="1">
      <alignment horizontal="center"/>
      <protection locked="0"/>
    </xf>
    <xf numFmtId="180" fontId="2" fillId="5" borderId="0" xfId="0" applyNumberFormat="1" applyFont="1" applyFill="1"/>
    <xf numFmtId="0" fontId="12" fillId="8" borderId="1" xfId="0" applyFont="1" applyFill="1" applyBorder="1" applyAlignment="1" applyProtection="1">
      <alignment horizontal="center"/>
      <protection locked="0"/>
    </xf>
    <xf numFmtId="180" fontId="2" fillId="0" borderId="0" xfId="95" applyNumberFormat="1" applyFont="1"/>
    <xf numFmtId="0" fontId="12" fillId="8" borderId="1" xfId="0" applyFont="1" applyFill="1" applyBorder="1" applyAlignment="1">
      <alignment horizontal="center"/>
    </xf>
    <xf numFmtId="165" fontId="84" fillId="0" borderId="0" xfId="0" applyNumberFormat="1" applyFont="1"/>
    <xf numFmtId="0" fontId="220" fillId="0" borderId="0" xfId="69" applyFont="1"/>
    <xf numFmtId="180" fontId="4" fillId="0" borderId="0" xfId="0" applyNumberFormat="1" applyFont="1" applyAlignment="1">
      <alignment horizontal="center"/>
    </xf>
    <xf numFmtId="188" fontId="15" fillId="0" borderId="0" xfId="123" applyNumberFormat="1" applyProtection="1"/>
    <xf numFmtId="188" fontId="21" fillId="0" borderId="0" xfId="118" applyNumberFormat="1" applyFont="1" applyProtection="1"/>
    <xf numFmtId="188" fontId="15" fillId="0" borderId="0" xfId="118" applyNumberFormat="1" applyProtection="1"/>
    <xf numFmtId="0" fontId="221" fillId="0" borderId="0" xfId="0" applyFont="1"/>
    <xf numFmtId="0" fontId="158" fillId="0" borderId="0" xfId="0" applyFont="1"/>
    <xf numFmtId="179" fontId="12" fillId="0" borderId="4" xfId="0" applyNumberFormat="1" applyFont="1" applyBorder="1" applyProtection="1">
      <protection locked="0"/>
    </xf>
    <xf numFmtId="179" fontId="12" fillId="0" borderId="0" xfId="0" applyNumberFormat="1" applyFont="1" applyProtection="1">
      <protection locked="0"/>
    </xf>
    <xf numFmtId="0" fontId="21" fillId="0" borderId="4" xfId="0" applyFont="1" applyBorder="1" applyProtection="1">
      <protection locked="0"/>
    </xf>
    <xf numFmtId="10" fontId="21" fillId="0" borderId="1" xfId="130" applyNumberFormat="1" applyFont="1" applyBorder="1" applyProtection="1">
      <protection locked="0"/>
    </xf>
    <xf numFmtId="170" fontId="7" fillId="0" borderId="8" xfId="29" applyNumberFormat="1" applyFont="1" applyBorder="1"/>
    <xf numFmtId="0" fontId="2" fillId="0" borderId="0" xfId="94" applyFont="1" applyAlignment="1">
      <alignment horizontal="center"/>
    </xf>
    <xf numFmtId="0" fontId="2" fillId="11" borderId="0" xfId="74" applyFont="1" applyFill="1"/>
    <xf numFmtId="0" fontId="0" fillId="11" borderId="0" xfId="0" applyFill="1" applyProtection="1">
      <protection locked="0"/>
    </xf>
    <xf numFmtId="176" fontId="21" fillId="0" borderId="18" xfId="39" applyNumberFormat="1" applyFont="1" applyBorder="1" applyProtection="1">
      <protection locked="0"/>
    </xf>
    <xf numFmtId="1" fontId="71" fillId="0" borderId="0" xfId="101" applyNumberFormat="1" applyFont="1" applyAlignment="1">
      <alignment horizontal="center"/>
    </xf>
    <xf numFmtId="0" fontId="15" fillId="0" borderId="0" xfId="101" applyFont="1" applyAlignment="1">
      <alignment horizontal="left"/>
    </xf>
    <xf numFmtId="1" fontId="14" fillId="0" borderId="0" xfId="101" applyNumberFormat="1" applyFont="1" applyAlignment="1">
      <alignment horizontal="center"/>
    </xf>
    <xf numFmtId="176" fontId="15" fillId="0" borderId="2" xfId="38" applyNumberFormat="1" applyFont="1" applyBorder="1" applyProtection="1">
      <protection locked="0"/>
    </xf>
    <xf numFmtId="0" fontId="2" fillId="0" borderId="0" xfId="0" quotePrefix="1" applyFont="1"/>
    <xf numFmtId="0" fontId="44" fillId="0" borderId="0" xfId="0" applyFont="1" applyAlignment="1">
      <alignment horizontal="left"/>
    </xf>
    <xf numFmtId="0" fontId="11" fillId="0" borderId="0" xfId="0" quotePrefix="1" applyFont="1"/>
    <xf numFmtId="0" fontId="9" fillId="8" borderId="0" xfId="0" applyFont="1" applyFill="1" applyAlignment="1">
      <alignment horizontal="center"/>
    </xf>
    <xf numFmtId="0" fontId="9" fillId="8" borderId="34" xfId="0" applyFont="1" applyFill="1" applyBorder="1" applyAlignment="1">
      <alignment horizontal="left"/>
    </xf>
    <xf numFmtId="0" fontId="9" fillId="8" borderId="35" xfId="0" applyFont="1" applyFill="1" applyBorder="1" applyAlignment="1">
      <alignment horizontal="left"/>
    </xf>
    <xf numFmtId="0" fontId="9" fillId="8" borderId="36" xfId="0" applyFont="1" applyFill="1" applyBorder="1" applyAlignment="1">
      <alignment horizontal="left"/>
    </xf>
    <xf numFmtId="176" fontId="2" fillId="0" borderId="0" xfId="84" applyNumberFormat="1" applyFont="1"/>
    <xf numFmtId="180" fontId="195" fillId="8" borderId="0" xfId="75" applyNumberFormat="1" applyFont="1" applyFill="1"/>
    <xf numFmtId="180" fontId="2" fillId="0" borderId="0" xfId="75" applyNumberFormat="1"/>
    <xf numFmtId="180" fontId="181" fillId="0" borderId="1" xfId="0" applyNumberFormat="1" applyFont="1" applyBorder="1" applyProtection="1">
      <protection locked="0"/>
    </xf>
    <xf numFmtId="180" fontId="2" fillId="0" borderId="0" xfId="73" applyNumberFormat="1"/>
    <xf numFmtId="168" fontId="2" fillId="0" borderId="0" xfId="85" applyFont="1">
      <protection locked="0"/>
    </xf>
    <xf numFmtId="0" fontId="147" fillId="12" borderId="0" xfId="119" applyFont="1" applyFill="1"/>
    <xf numFmtId="0" fontId="0" fillId="16" borderId="0" xfId="0" applyFill="1"/>
    <xf numFmtId="180" fontId="2" fillId="16" borderId="0" xfId="0" applyNumberFormat="1" applyFont="1" applyFill="1"/>
    <xf numFmtId="0" fontId="89" fillId="11" borderId="0" xfId="0" applyFont="1" applyFill="1" applyProtection="1">
      <protection locked="0"/>
    </xf>
    <xf numFmtId="49" fontId="15" fillId="8" borderId="0" xfId="0" applyNumberFormat="1" applyFont="1" applyFill="1"/>
    <xf numFmtId="0" fontId="15" fillId="16" borderId="0" xfId="0" applyFont="1" applyFill="1"/>
    <xf numFmtId="166" fontId="14" fillId="0" borderId="0" xfId="0" applyNumberFormat="1" applyFont="1" applyAlignment="1" applyProtection="1">
      <alignment horizontal="center"/>
      <protection locked="0"/>
    </xf>
    <xf numFmtId="0" fontId="69" fillId="8" borderId="0" xfId="0" applyFont="1" applyFill="1" applyAlignment="1">
      <alignment horizontal="center"/>
    </xf>
    <xf numFmtId="0" fontId="101" fillId="0" borderId="0" xfId="118" applyFont="1" applyAlignment="1" applyProtection="1">
      <alignment horizontal="left"/>
    </xf>
    <xf numFmtId="188" fontId="21" fillId="0" borderId="0" xfId="123" applyNumberFormat="1" applyFont="1" applyProtection="1"/>
    <xf numFmtId="0" fontId="75" fillId="0" borderId="0" xfId="118" applyFont="1" applyAlignment="1" applyProtection="1">
      <alignment horizontal="left"/>
    </xf>
    <xf numFmtId="173" fontId="21" fillId="0" borderId="0" xfId="0" applyNumberFormat="1" applyFont="1"/>
    <xf numFmtId="0" fontId="15" fillId="0" borderId="0" xfId="118" applyProtection="1"/>
    <xf numFmtId="187" fontId="21" fillId="0" borderId="0" xfId="27" applyFont="1" applyAlignment="1">
      <alignment horizontal="center"/>
    </xf>
    <xf numFmtId="0" fontId="101" fillId="0" borderId="0" xfId="0" applyFont="1"/>
    <xf numFmtId="0" fontId="0" fillId="15" borderId="0" xfId="0" applyFill="1"/>
    <xf numFmtId="0" fontId="163" fillId="0" borderId="0" xfId="0" applyFont="1" applyAlignment="1">
      <alignment vertical="center"/>
    </xf>
    <xf numFmtId="0" fontId="164" fillId="0" borderId="0" xfId="0" applyFont="1" applyAlignment="1">
      <alignment horizontal="left" vertical="center" indent="4"/>
    </xf>
    <xf numFmtId="176" fontId="21" fillId="0" borderId="1" xfId="39" applyNumberFormat="1" applyFont="1" applyBorder="1"/>
    <xf numFmtId="39" fontId="15" fillId="0" borderId="0" xfId="0" applyNumberFormat="1" applyFont="1" applyProtection="1">
      <protection locked="0"/>
    </xf>
    <xf numFmtId="0" fontId="2" fillId="0" borderId="0" xfId="84" applyFont="1" applyAlignment="1">
      <alignment horizontal="left" indent="1"/>
    </xf>
    <xf numFmtId="0" fontId="4" fillId="0" borderId="15" xfId="0" applyFont="1" applyBorder="1"/>
    <xf numFmtId="0" fontId="143" fillId="9" borderId="0" xfId="0" applyFont="1" applyFill="1"/>
    <xf numFmtId="0" fontId="143" fillId="17" borderId="0" xfId="73" applyFont="1" applyFill="1"/>
    <xf numFmtId="0" fontId="4" fillId="0" borderId="15" xfId="73" applyFont="1" applyBorder="1"/>
    <xf numFmtId="0" fontId="4" fillId="11" borderId="0" xfId="0" applyFont="1" applyFill="1"/>
    <xf numFmtId="0" fontId="2" fillId="11" borderId="0" xfId="0" applyFont="1" applyFill="1"/>
    <xf numFmtId="0" fontId="81" fillId="0" borderId="0" xfId="57" applyFont="1" applyAlignment="1" applyProtection="1">
      <alignment horizontal="left"/>
    </xf>
    <xf numFmtId="0" fontId="141" fillId="0" borderId="0" xfId="0" applyFont="1" applyProtection="1">
      <protection locked="0"/>
    </xf>
    <xf numFmtId="178" fontId="21" fillId="0" borderId="0" xfId="0" quotePrefix="1" applyNumberFormat="1" applyFont="1"/>
    <xf numFmtId="178" fontId="21" fillId="0" borderId="0" xfId="0" applyNumberFormat="1" applyFont="1"/>
    <xf numFmtId="178" fontId="15" fillId="0" borderId="0" xfId="0" applyNumberFormat="1" applyFont="1"/>
    <xf numFmtId="0" fontId="4" fillId="6" borderId="37" xfId="95" applyFont="1" applyFill="1" applyBorder="1"/>
    <xf numFmtId="0" fontId="64" fillId="6" borderId="38" xfId="95" applyFont="1" applyFill="1" applyBorder="1"/>
    <xf numFmtId="0" fontId="13" fillId="6" borderId="38" xfId="95" applyFont="1" applyFill="1" applyBorder="1"/>
    <xf numFmtId="0" fontId="13" fillId="6" borderId="39" xfId="95" applyFont="1" applyFill="1" applyBorder="1"/>
    <xf numFmtId="0" fontId="2" fillId="6" borderId="40" xfId="95" applyFont="1" applyFill="1" applyBorder="1"/>
    <xf numFmtId="0" fontId="64" fillId="6" borderId="0" xfId="95" applyFont="1" applyFill="1"/>
    <xf numFmtId="0" fontId="13" fillId="6" borderId="0" xfId="95" applyFont="1" applyFill="1"/>
    <xf numFmtId="0" fontId="13" fillId="6" borderId="41" xfId="95" applyFont="1" applyFill="1" applyBorder="1"/>
    <xf numFmtId="0" fontId="2" fillId="6" borderId="42" xfId="95" applyFont="1" applyFill="1" applyBorder="1"/>
    <xf numFmtId="0" fontId="64" fillId="6" borderId="14" xfId="95" applyFont="1" applyFill="1" applyBorder="1"/>
    <xf numFmtId="0" fontId="64" fillId="6" borderId="43" xfId="95" applyFont="1" applyFill="1" applyBorder="1"/>
    <xf numFmtId="164" fontId="2" fillId="0" borderId="0" xfId="99" applyNumberFormat="1"/>
    <xf numFmtId="164" fontId="2" fillId="0" borderId="1" xfId="99" applyNumberFormat="1" applyBorder="1" applyAlignment="1">
      <alignment horizontal="center"/>
    </xf>
    <xf numFmtId="164" fontId="2" fillId="0" borderId="0" xfId="99" applyNumberFormat="1" applyAlignment="1">
      <alignment horizontal="right"/>
    </xf>
    <xf numFmtId="164" fontId="2" fillId="0" borderId="1" xfId="96" applyNumberFormat="1" applyBorder="1" applyAlignment="1">
      <alignment horizontal="left"/>
    </xf>
    <xf numFmtId="0" fontId="2" fillId="0" borderId="1" xfId="0" applyFont="1" applyBorder="1" applyAlignment="1">
      <alignment horizontal="left"/>
    </xf>
    <xf numFmtId="164" fontId="2" fillId="0" borderId="4" xfId="96" applyNumberFormat="1" applyBorder="1" applyAlignment="1">
      <alignment horizontal="left"/>
    </xf>
    <xf numFmtId="0" fontId="2" fillId="0" borderId="4" xfId="0" applyFont="1" applyBorder="1" applyAlignment="1">
      <alignment horizontal="left"/>
    </xf>
    <xf numFmtId="164" fontId="2" fillId="0" borderId="4" xfId="96" applyNumberFormat="1" applyBorder="1" applyAlignment="1" applyProtection="1">
      <alignment horizontal="left"/>
      <protection locked="0"/>
    </xf>
    <xf numFmtId="164" fontId="76" fillId="0" borderId="0" xfId="99" applyNumberFormat="1" applyFont="1" applyAlignment="1">
      <alignment horizontal="center"/>
    </xf>
    <xf numFmtId="0" fontId="167" fillId="0" borderId="0" xfId="0" applyFont="1" applyAlignment="1">
      <alignment vertical="center"/>
    </xf>
    <xf numFmtId="0" fontId="2" fillId="0" borderId="0" xfId="0" applyFont="1" applyAlignment="1">
      <alignment horizontal="left" vertical="center"/>
    </xf>
    <xf numFmtId="0" fontId="5" fillId="0" borderId="0" xfId="0" applyFont="1" applyAlignment="1">
      <alignment vertical="center"/>
    </xf>
    <xf numFmtId="164" fontId="4" fillId="0" borderId="0" xfId="99" applyNumberFormat="1" applyFont="1" applyAlignment="1">
      <alignment horizontal="center"/>
    </xf>
    <xf numFmtId="164" fontId="4" fillId="0" borderId="2" xfId="99" applyNumberFormat="1" applyFont="1" applyBorder="1" applyAlignment="1">
      <alignment horizontal="center"/>
    </xf>
    <xf numFmtId="0" fontId="29" fillId="0" borderId="0" xfId="0" applyFont="1" applyAlignment="1">
      <alignment horizontal="left" vertical="center" indent="1"/>
    </xf>
    <xf numFmtId="0" fontId="116" fillId="0" borderId="0" xfId="94" applyFont="1" applyAlignment="1" applyProtection="1">
      <alignment horizontal="center"/>
      <protection locked="0"/>
    </xf>
    <xf numFmtId="0" fontId="2" fillId="0" borderId="0" xfId="94" applyFont="1"/>
    <xf numFmtId="39" fontId="222" fillId="0" borderId="0" xfId="74" applyNumberFormat="1" applyFont="1" applyProtection="1">
      <protection hidden="1"/>
    </xf>
    <xf numFmtId="0" fontId="2" fillId="0" borderId="4" xfId="94" applyFont="1" applyBorder="1"/>
    <xf numFmtId="0" fontId="2" fillId="0" borderId="1" xfId="113" applyFont="1" applyBorder="1" applyProtection="1">
      <protection locked="0"/>
    </xf>
    <xf numFmtId="180" fontId="21" fillId="0" borderId="1" xfId="0" applyNumberFormat="1" applyFont="1" applyBorder="1" applyProtection="1">
      <protection locked="0"/>
    </xf>
    <xf numFmtId="0" fontId="223" fillId="0" borderId="0" xfId="0" applyFont="1" applyAlignment="1">
      <alignment horizontal="center"/>
    </xf>
    <xf numFmtId="180" fontId="21" fillId="0" borderId="0" xfId="0" applyNumberFormat="1" applyFont="1" applyProtection="1">
      <protection locked="0"/>
    </xf>
    <xf numFmtId="180" fontId="21" fillId="8" borderId="1" xfId="0" applyNumberFormat="1" applyFont="1" applyFill="1" applyBorder="1"/>
    <xf numFmtId="180" fontId="21" fillId="8" borderId="3" xfId="0" applyNumberFormat="1" applyFont="1" applyFill="1" applyBorder="1"/>
    <xf numFmtId="180" fontId="21" fillId="8" borderId="4" xfId="0" applyNumberFormat="1" applyFont="1" applyFill="1" applyBorder="1"/>
    <xf numFmtId="0" fontId="12" fillId="9" borderId="23" xfId="95" applyFill="1" applyBorder="1"/>
    <xf numFmtId="0" fontId="12" fillId="9" borderId="4" xfId="95" applyFill="1" applyBorder="1"/>
    <xf numFmtId="180" fontId="12" fillId="9" borderId="4" xfId="95" applyNumberFormat="1" applyFill="1" applyBorder="1"/>
    <xf numFmtId="0" fontId="12" fillId="9" borderId="33" xfId="95" applyFill="1" applyBorder="1"/>
    <xf numFmtId="0" fontId="12" fillId="9" borderId="4" xfId="0" applyFont="1" applyFill="1" applyBorder="1"/>
    <xf numFmtId="0" fontId="12" fillId="9" borderId="33" xfId="0" applyFont="1" applyFill="1" applyBorder="1"/>
    <xf numFmtId="0" fontId="2" fillId="16" borderId="0" xfId="0" applyFont="1" applyFill="1"/>
    <xf numFmtId="180" fontId="168" fillId="0" borderId="0" xfId="0" applyNumberFormat="1" applyFont="1"/>
    <xf numFmtId="0" fontId="2" fillId="15" borderId="0" xfId="0" applyFont="1" applyFill="1"/>
    <xf numFmtId="22" fontId="2" fillId="0" borderId="0" xfId="0" applyNumberFormat="1" applyFont="1"/>
    <xf numFmtId="0" fontId="2" fillId="0" borderId="15" xfId="115" applyFont="1" applyBorder="1" applyAlignment="1" applyProtection="1">
      <alignment horizontal="center"/>
      <protection locked="0"/>
    </xf>
    <xf numFmtId="0" fontId="2" fillId="0" borderId="4" xfId="0" applyFont="1" applyBorder="1" applyAlignment="1" applyProtection="1">
      <alignment horizontal="left"/>
      <protection locked="0"/>
    </xf>
    <xf numFmtId="0" fontId="2" fillId="0" borderId="0" xfId="81" applyFont="1" applyAlignment="1">
      <alignment horizontal="left"/>
    </xf>
    <xf numFmtId="0" fontId="2" fillId="0" borderId="0" xfId="81" applyFont="1"/>
    <xf numFmtId="0" fontId="2" fillId="0" borderId="1" xfId="81" applyFont="1" applyBorder="1" applyAlignment="1">
      <alignment horizontal="center"/>
    </xf>
    <xf numFmtId="0" fontId="2" fillId="0" borderId="0" xfId="81" applyFont="1" applyAlignment="1">
      <alignment horizontal="right"/>
    </xf>
    <xf numFmtId="0" fontId="2" fillId="0" borderId="0" xfId="81" applyFont="1" applyAlignment="1">
      <alignment horizontal="center"/>
    </xf>
    <xf numFmtId="0" fontId="2" fillId="0" borderId="2" xfId="81" applyFont="1" applyBorder="1" applyAlignment="1">
      <alignment horizontal="centerContinuous"/>
    </xf>
    <xf numFmtId="0" fontId="2" fillId="0" borderId="0" xfId="81" applyFont="1" applyAlignment="1">
      <alignment horizontal="centerContinuous"/>
    </xf>
    <xf numFmtId="0" fontId="2" fillId="0" borderId="1" xfId="81" applyFont="1" applyBorder="1" applyAlignment="1">
      <alignment horizontal="centerContinuous"/>
    </xf>
    <xf numFmtId="0" fontId="2" fillId="0" borderId="1" xfId="81" applyFont="1" applyBorder="1" applyAlignment="1" applyProtection="1">
      <alignment horizontal="center"/>
      <protection locked="0"/>
    </xf>
    <xf numFmtId="0" fontId="2" fillId="0" borderId="0" xfId="81" applyFont="1" applyAlignment="1" applyProtection="1">
      <alignment horizontal="center"/>
      <protection locked="0"/>
    </xf>
    <xf numFmtId="176" fontId="2" fillId="0" borderId="4" xfId="81" applyNumberFormat="1" applyFont="1" applyBorder="1" applyProtection="1">
      <protection locked="0"/>
    </xf>
    <xf numFmtId="176" fontId="2" fillId="0" borderId="0" xfId="81" applyNumberFormat="1" applyFont="1" applyProtection="1">
      <protection locked="0"/>
    </xf>
    <xf numFmtId="0" fontId="2" fillId="0" borderId="0" xfId="81" applyFont="1" applyProtection="1">
      <protection locked="0"/>
    </xf>
    <xf numFmtId="0" fontId="15" fillId="0" borderId="0" xfId="81" applyFont="1"/>
    <xf numFmtId="0" fontId="61" fillId="0" borderId="0" xfId="0" applyFont="1"/>
    <xf numFmtId="0" fontId="169" fillId="0" borderId="0" xfId="81" applyFont="1"/>
    <xf numFmtId="176" fontId="2" fillId="0" borderId="1" xfId="81" applyNumberFormat="1" applyFont="1" applyBorder="1" applyProtection="1">
      <protection locked="0"/>
    </xf>
    <xf numFmtId="176" fontId="2" fillId="0" borderId="0" xfId="81" applyNumberFormat="1" applyFont="1"/>
    <xf numFmtId="0" fontId="61" fillId="0" borderId="0" xfId="81" applyFont="1"/>
    <xf numFmtId="0" fontId="4" fillId="0" borderId="0" xfId="81" applyFont="1" applyAlignment="1">
      <alignment horizontal="center"/>
    </xf>
    <xf numFmtId="0" fontId="4" fillId="0" borderId="0" xfId="81" applyFont="1" applyAlignment="1">
      <alignment horizontal="centerContinuous"/>
    </xf>
    <xf numFmtId="176" fontId="4" fillId="0" borderId="0" xfId="81" applyNumberFormat="1" applyFont="1" applyProtection="1">
      <protection locked="0"/>
    </xf>
    <xf numFmtId="176" fontId="4" fillId="0" borderId="0" xfId="81" applyNumberFormat="1" applyFont="1"/>
    <xf numFmtId="0" fontId="101" fillId="0" borderId="0" xfId="81" applyFont="1"/>
    <xf numFmtId="170" fontId="2" fillId="6" borderId="15" xfId="91" applyNumberFormat="1" applyFont="1" applyFill="1" applyBorder="1"/>
    <xf numFmtId="170" fontId="2" fillId="6" borderId="25" xfId="91" applyNumberFormat="1" applyFont="1" applyFill="1" applyBorder="1"/>
    <xf numFmtId="0" fontId="4" fillId="0" borderId="5" xfId="0" applyFont="1" applyBorder="1"/>
    <xf numFmtId="49" fontId="146" fillId="12" borderId="0" xfId="0" applyNumberFormat="1" applyFont="1" applyFill="1"/>
    <xf numFmtId="176" fontId="136" fillId="0" borderId="4" xfId="85" applyNumberFormat="1" applyFont="1" applyBorder="1">
      <protection locked="0"/>
    </xf>
    <xf numFmtId="176" fontId="136" fillId="0" borderId="1" xfId="85" applyNumberFormat="1" applyFont="1" applyBorder="1">
      <protection locked="0"/>
    </xf>
    <xf numFmtId="0" fontId="15" fillId="0" borderId="0" xfId="0" quotePrefix="1" applyFont="1"/>
    <xf numFmtId="164" fontId="6" fillId="0" borderId="1" xfId="115" applyNumberFormat="1" applyFont="1" applyBorder="1" applyAlignment="1" applyProtection="1">
      <alignment horizontal="center"/>
      <protection locked="0"/>
    </xf>
    <xf numFmtId="0" fontId="2" fillId="0" borderId="1" xfId="0" applyFont="1" applyBorder="1" applyAlignment="1" applyProtection="1">
      <alignment horizontal="center"/>
      <protection locked="0"/>
    </xf>
    <xf numFmtId="170" fontId="64" fillId="0" borderId="0" xfId="95" applyNumberFormat="1" applyFont="1" applyProtection="1">
      <protection locked="0"/>
    </xf>
    <xf numFmtId="0" fontId="64" fillId="0" borderId="0" xfId="95" applyFont="1" applyProtection="1">
      <protection locked="0"/>
    </xf>
    <xf numFmtId="193" fontId="2" fillId="0" borderId="0" xfId="81" applyNumberFormat="1" applyFont="1" applyAlignment="1" applyProtection="1">
      <alignment horizontal="center"/>
      <protection locked="0"/>
    </xf>
    <xf numFmtId="193" fontId="2" fillId="0" borderId="0" xfId="81" applyNumberFormat="1" applyFont="1" applyAlignment="1">
      <alignment horizontal="center"/>
    </xf>
    <xf numFmtId="193" fontId="2" fillId="0" borderId="0" xfId="81" applyNumberFormat="1" applyFont="1"/>
    <xf numFmtId="176" fontId="15" fillId="0" borderId="1" xfId="39" applyNumberFormat="1" applyFont="1" applyBorder="1" applyProtection="1">
      <protection locked="0"/>
    </xf>
    <xf numFmtId="168" fontId="19" fillId="0" borderId="0" xfId="82" applyFont="1" applyAlignment="1" applyProtection="1">
      <alignment horizontal="right"/>
    </xf>
    <xf numFmtId="168" fontId="7" fillId="0" borderId="0" xfId="82" applyFont="1" applyAlignment="1" applyProtection="1">
      <alignment horizontal="right"/>
    </xf>
    <xf numFmtId="168" fontId="136" fillId="0" borderId="0" xfId="82" applyFont="1" applyAlignment="1" applyProtection="1">
      <alignment horizontal="right"/>
    </xf>
    <xf numFmtId="168" fontId="36" fillId="0" borderId="0" xfId="82" applyFont="1" applyAlignment="1" applyProtection="1">
      <alignment horizontal="right"/>
    </xf>
    <xf numFmtId="168" fontId="2" fillId="0" borderId="0" xfId="82" applyFont="1" applyAlignment="1" applyProtection="1">
      <alignment horizontal="right"/>
    </xf>
    <xf numFmtId="0" fontId="6" fillId="0" borderId="0" xfId="88" applyFont="1" applyAlignment="1" applyProtection="1">
      <alignment horizontal="right"/>
      <protection hidden="1"/>
    </xf>
    <xf numFmtId="168" fontId="15" fillId="0" borderId="0" xfId="82" applyAlignment="1" applyProtection="1">
      <alignment horizontal="right"/>
    </xf>
    <xf numFmtId="0" fontId="225" fillId="0" borderId="0" xfId="0" applyFont="1"/>
    <xf numFmtId="0" fontId="226" fillId="0" borderId="0" xfId="0" applyFont="1"/>
    <xf numFmtId="0" fontId="4" fillId="0" borderId="0" xfId="81" applyFont="1"/>
    <xf numFmtId="0" fontId="4" fillId="6" borderId="0" xfId="0" applyFont="1" applyFill="1"/>
    <xf numFmtId="170" fontId="64" fillId="0" borderId="19" xfId="95" applyNumberFormat="1" applyFont="1" applyBorder="1"/>
    <xf numFmtId="0" fontId="150" fillId="0" borderId="0" xfId="101" applyFont="1"/>
    <xf numFmtId="0" fontId="3" fillId="0" borderId="0" xfId="115" applyFont="1" applyAlignment="1">
      <alignment vertical="center"/>
    </xf>
    <xf numFmtId="0" fontId="60" fillId="0" borderId="0" xfId="115" applyFont="1" applyAlignment="1">
      <alignment vertical="center"/>
    </xf>
    <xf numFmtId="164" fontId="4" fillId="0" borderId="0" xfId="99" applyNumberFormat="1" applyFont="1" applyAlignment="1">
      <alignment horizontal="left"/>
    </xf>
    <xf numFmtId="0" fontId="49" fillId="0" borderId="0" xfId="57" applyAlignment="1" applyProtection="1">
      <alignment vertical="center"/>
    </xf>
    <xf numFmtId="0" fontId="101" fillId="6" borderId="0" xfId="115" applyFont="1" applyFill="1" applyAlignment="1" applyProtection="1">
      <alignment horizontal="left"/>
      <protection locked="0"/>
    </xf>
    <xf numFmtId="174" fontId="12" fillId="0" borderId="8" xfId="38" applyNumberFormat="1" applyFont="1" applyBorder="1" applyProtection="1">
      <protection locked="0"/>
    </xf>
    <xf numFmtId="49" fontId="15" fillId="0" borderId="8" xfId="0" applyNumberFormat="1" applyFont="1" applyBorder="1" applyAlignment="1">
      <alignment horizontal="center" vertical="top"/>
    </xf>
    <xf numFmtId="0" fontId="15" fillId="0" borderId="8" xfId="0" applyFont="1" applyBorder="1" applyAlignment="1">
      <alignment vertical="top"/>
    </xf>
    <xf numFmtId="0" fontId="4" fillId="0" borderId="0" xfId="91" applyFont="1" applyAlignment="1">
      <alignment horizontal="center"/>
    </xf>
    <xf numFmtId="0" fontId="10" fillId="0" borderId="0" xfId="0" applyFont="1"/>
    <xf numFmtId="0" fontId="59" fillId="0" borderId="0" xfId="0" applyFont="1"/>
    <xf numFmtId="0" fontId="101" fillId="0" borderId="0" xfId="0" applyFont="1" applyAlignment="1">
      <alignment horizontal="left"/>
    </xf>
    <xf numFmtId="180" fontId="116" fillId="0" borderId="0" xfId="124" applyNumberFormat="1" applyFont="1" applyBorder="1" applyProtection="1"/>
    <xf numFmtId="166" fontId="182" fillId="0" borderId="0" xfId="0" applyNumberFormat="1" applyFont="1"/>
    <xf numFmtId="0" fontId="14" fillId="0" borderId="0" xfId="101" applyFont="1"/>
    <xf numFmtId="0" fontId="2" fillId="0" borderId="20" xfId="94" applyFont="1" applyBorder="1" applyAlignment="1" applyProtection="1">
      <alignment horizontal="left"/>
      <protection locked="0"/>
    </xf>
    <xf numFmtId="0" fontId="226" fillId="0" borderId="0" xfId="81" applyFont="1" applyAlignment="1" applyProtection="1">
      <alignment horizontal="left"/>
      <protection locked="0"/>
    </xf>
    <xf numFmtId="0" fontId="226" fillId="0" borderId="0" xfId="0" applyFont="1" applyAlignment="1">
      <alignment horizontal="right"/>
    </xf>
    <xf numFmtId="0" fontId="226" fillId="0" borderId="0" xfId="0" applyFont="1" applyAlignment="1">
      <alignment vertical="top" wrapText="1"/>
    </xf>
    <xf numFmtId="0" fontId="247" fillId="0" borderId="0" xfId="69" applyAlignment="1">
      <alignment horizontal="right"/>
    </xf>
    <xf numFmtId="0" fontId="59" fillId="0" borderId="0" xfId="115" applyFont="1" applyAlignment="1">
      <alignment horizontal="center"/>
    </xf>
    <xf numFmtId="0" fontId="59" fillId="0" borderId="0" xfId="115" applyFont="1"/>
    <xf numFmtId="176" fontId="2" fillId="0" borderId="1" xfId="122" applyNumberFormat="1" applyFont="1" applyBorder="1">
      <protection locked="0"/>
    </xf>
    <xf numFmtId="0" fontId="68" fillId="0" borderId="0" xfId="90" applyFont="1" applyAlignment="1">
      <alignment horizontal="center" shrinkToFit="1"/>
    </xf>
    <xf numFmtId="0" fontId="101" fillId="6" borderId="0" xfId="115" applyFont="1" applyFill="1" applyAlignment="1">
      <alignment horizontal="left"/>
    </xf>
    <xf numFmtId="43" fontId="12" fillId="0" borderId="1" xfId="29" applyFont="1" applyBorder="1" applyProtection="1">
      <protection locked="0"/>
    </xf>
    <xf numFmtId="0" fontId="12" fillId="0" borderId="0" xfId="0" applyFont="1" applyAlignment="1" applyProtection="1">
      <alignment horizontal="center"/>
      <protection locked="0"/>
    </xf>
    <xf numFmtId="43" fontId="12" fillId="0" borderId="0" xfId="29" applyFont="1" applyAlignment="1" applyProtection="1">
      <alignment horizontal="center"/>
      <protection locked="0"/>
    </xf>
    <xf numFmtId="0" fontId="68" fillId="0" borderId="4" xfId="90" applyFont="1" applyBorder="1" applyAlignment="1">
      <alignment horizontal="center" shrinkToFit="1"/>
    </xf>
    <xf numFmtId="0" fontId="4" fillId="0" borderId="23" xfId="0" applyFont="1" applyBorder="1"/>
    <xf numFmtId="0" fontId="68" fillId="0" borderId="4" xfId="0" applyFont="1" applyBorder="1"/>
    <xf numFmtId="0" fontId="68" fillId="0" borderId="4" xfId="90" applyFont="1" applyBorder="1" applyAlignment="1">
      <alignment horizontal="right"/>
    </xf>
    <xf numFmtId="0" fontId="68" fillId="0" borderId="33" xfId="90" applyFont="1" applyBorder="1" applyAlignment="1">
      <alignment horizontal="center" shrinkToFit="1"/>
    </xf>
    <xf numFmtId="0" fontId="4" fillId="0" borderId="23" xfId="0" applyFont="1" applyBorder="1" applyAlignment="1">
      <alignment vertical="top"/>
    </xf>
    <xf numFmtId="0" fontId="2" fillId="0" borderId="4" xfId="0" applyFont="1" applyBorder="1"/>
    <xf numFmtId="0" fontId="4" fillId="0" borderId="12" xfId="0" applyFont="1" applyBorder="1"/>
    <xf numFmtId="0" fontId="4" fillId="0" borderId="33" xfId="0" applyFont="1" applyBorder="1"/>
    <xf numFmtId="0" fontId="0" fillId="0" borderId="1" xfId="0" applyBorder="1" applyAlignment="1">
      <alignment horizontal="left"/>
    </xf>
    <xf numFmtId="0" fontId="2" fillId="0" borderId="1" xfId="0" applyFont="1" applyBorder="1" applyAlignment="1">
      <alignment horizontal="left" vertical="top"/>
    </xf>
    <xf numFmtId="0" fontId="2" fillId="0" borderId="23" xfId="0" applyFont="1" applyBorder="1" applyAlignment="1">
      <alignment horizontal="left" vertical="top"/>
    </xf>
    <xf numFmtId="0" fontId="4" fillId="0" borderId="21" xfId="0" applyFont="1" applyBorder="1"/>
    <xf numFmtId="0" fontId="2" fillId="0" borderId="8" xfId="0" applyFont="1" applyBorder="1" applyAlignment="1">
      <alignment horizontal="left"/>
    </xf>
    <xf numFmtId="0" fontId="119" fillId="0" borderId="0" xfId="0" applyFont="1"/>
    <xf numFmtId="0" fontId="2" fillId="0" borderId="0" xfId="0" applyFont="1" applyAlignment="1">
      <alignment vertical="top" wrapText="1"/>
    </xf>
    <xf numFmtId="0" fontId="0" fillId="0" borderId="7" xfId="0" applyBorder="1"/>
    <xf numFmtId="0" fontId="32" fillId="0" borderId="0" xfId="84" applyFont="1"/>
    <xf numFmtId="0" fontId="227" fillId="0" borderId="0" xfId="0" applyFont="1"/>
    <xf numFmtId="0" fontId="2" fillId="0" borderId="2" xfId="92" applyFont="1" applyBorder="1" applyProtection="1">
      <protection locked="0"/>
    </xf>
    <xf numFmtId="0" fontId="49" fillId="0" borderId="15" xfId="57" applyBorder="1" applyAlignment="1" applyProtection="1"/>
    <xf numFmtId="0" fontId="49" fillId="0" borderId="15" xfId="57" applyBorder="1" applyAlignment="1" applyProtection="1">
      <alignment horizontal="center" shrinkToFit="1"/>
    </xf>
    <xf numFmtId="194" fontId="179" fillId="0" borderId="1" xfId="40" applyNumberFormat="1" applyFont="1" applyBorder="1" applyProtection="1">
      <protection locked="0"/>
    </xf>
    <xf numFmtId="0" fontId="2" fillId="0" borderId="1" xfId="110" applyFont="1" applyBorder="1" applyAlignment="1" applyProtection="1">
      <alignment horizontal="center"/>
      <protection locked="0"/>
    </xf>
    <xf numFmtId="0" fontId="2" fillId="0" borderId="1" xfId="108" applyFont="1" applyBorder="1" applyAlignment="1" applyProtection="1">
      <alignment horizontal="center"/>
      <protection locked="0"/>
    </xf>
    <xf numFmtId="49" fontId="158" fillId="0" borderId="0" xfId="0" applyNumberFormat="1" applyFont="1"/>
    <xf numFmtId="43" fontId="12" fillId="0" borderId="4" xfId="29" applyFont="1" applyBorder="1" applyProtection="1">
      <protection locked="0"/>
    </xf>
    <xf numFmtId="49" fontId="2" fillId="0" borderId="0" xfId="0" applyNumberFormat="1" applyFont="1"/>
    <xf numFmtId="176" fontId="7" fillId="0" borderId="0" xfId="89" applyNumberFormat="1" applyFont="1" applyProtection="1">
      <protection locked="0"/>
    </xf>
    <xf numFmtId="176" fontId="12" fillId="0" borderId="14" xfId="0" applyNumberFormat="1" applyFont="1" applyBorder="1"/>
    <xf numFmtId="0" fontId="190" fillId="0" borderId="15" xfId="119" applyFont="1" applyBorder="1" applyAlignment="1">
      <alignment horizontal="center" vertical="center" wrapText="1"/>
    </xf>
    <xf numFmtId="14" fontId="228" fillId="9" borderId="0" xfId="0" applyNumberFormat="1" applyFont="1" applyFill="1" applyAlignment="1">
      <alignment horizontal="right" wrapText="1"/>
    </xf>
    <xf numFmtId="0" fontId="183" fillId="4" borderId="35" xfId="0" applyFont="1" applyFill="1" applyBorder="1"/>
    <xf numFmtId="0" fontId="183" fillId="4" borderId="32" xfId="0" applyFont="1" applyFill="1" applyBorder="1"/>
    <xf numFmtId="14" fontId="228" fillId="17" borderId="0" xfId="73" applyNumberFormat="1" applyFont="1" applyFill="1" applyAlignment="1">
      <alignment horizontal="right"/>
    </xf>
    <xf numFmtId="0" fontId="183" fillId="4" borderId="30" xfId="0" applyFont="1" applyFill="1" applyBorder="1"/>
    <xf numFmtId="43" fontId="7" fillId="0" borderId="0" xfId="29" applyFont="1"/>
    <xf numFmtId="49" fontId="229" fillId="0" borderId="0" xfId="114" applyNumberFormat="1" applyFont="1" applyAlignment="1">
      <alignment horizontal="center"/>
    </xf>
    <xf numFmtId="49" fontId="175" fillId="0" borderId="0" xfId="57" applyNumberFormat="1" applyFont="1" applyAlignment="1" applyProtection="1">
      <alignment horizontal="left"/>
    </xf>
    <xf numFmtId="0" fontId="175" fillId="0" borderId="0" xfId="57" applyFont="1" applyAlignment="1" applyProtection="1"/>
    <xf numFmtId="180" fontId="195" fillId="0" borderId="0" xfId="0" applyNumberFormat="1" applyFont="1"/>
    <xf numFmtId="0" fontId="2" fillId="0" borderId="0" xfId="115" applyFont="1" applyAlignment="1" applyProtection="1">
      <alignment horizontal="center"/>
      <protection locked="0"/>
    </xf>
    <xf numFmtId="0" fontId="2" fillId="0" borderId="0" xfId="115" applyFont="1" applyAlignment="1">
      <alignment horizontal="left" indent="1"/>
    </xf>
    <xf numFmtId="49" fontId="2" fillId="0" borderId="0" xfId="115" applyNumberFormat="1" applyFont="1" applyAlignment="1">
      <alignment horizontal="center"/>
    </xf>
    <xf numFmtId="49" fontId="2" fillId="0" borderId="15" xfId="115" applyNumberFormat="1" applyFont="1" applyBorder="1" applyAlignment="1" applyProtection="1">
      <alignment horizontal="center"/>
      <protection locked="0"/>
    </xf>
    <xf numFmtId="0" fontId="230" fillId="0" borderId="0" xfId="69" applyFont="1" applyAlignment="1">
      <alignment wrapText="1"/>
    </xf>
    <xf numFmtId="0" fontId="2" fillId="0" borderId="0" xfId="0" applyFont="1" applyAlignment="1">
      <alignment wrapText="1"/>
    </xf>
    <xf numFmtId="0" fontId="7" fillId="8" borderId="0" xfId="94" applyFont="1" applyFill="1"/>
    <xf numFmtId="0" fontId="4" fillId="8" borderId="0" xfId="94" applyFont="1" applyFill="1"/>
    <xf numFmtId="0" fontId="4" fillId="8" borderId="0" xfId="94" applyFont="1" applyFill="1" applyProtection="1">
      <protection locked="0"/>
    </xf>
    <xf numFmtId="0" fontId="7" fillId="0" borderId="0" xfId="94" applyFont="1" applyAlignment="1" applyProtection="1">
      <alignment horizontal="center"/>
      <protection locked="0"/>
    </xf>
    <xf numFmtId="0" fontId="4" fillId="8" borderId="0" xfId="94" applyFont="1" applyFill="1" applyAlignment="1">
      <alignment horizontal="left"/>
    </xf>
    <xf numFmtId="176" fontId="7" fillId="8" borderId="0" xfId="94" applyNumberFormat="1" applyFont="1" applyFill="1"/>
    <xf numFmtId="0" fontId="7" fillId="8" borderId="0" xfId="94" applyFont="1" applyFill="1" applyAlignment="1">
      <alignment horizontal="center"/>
    </xf>
    <xf numFmtId="0" fontId="3" fillId="8" borderId="0" xfId="94" applyFont="1" applyFill="1" applyAlignment="1">
      <alignment horizontal="left" vertical="top"/>
    </xf>
    <xf numFmtId="0" fontId="226" fillId="8" borderId="0" xfId="0" applyFont="1" applyFill="1" applyAlignment="1">
      <alignment horizontal="left" vertical="top"/>
    </xf>
    <xf numFmtId="0" fontId="4" fillId="9" borderId="0" xfId="94" applyFont="1" applyFill="1"/>
    <xf numFmtId="0" fontId="7" fillId="9" borderId="0" xfId="94" applyFont="1" applyFill="1"/>
    <xf numFmtId="0" fontId="69" fillId="0" borderId="0" xfId="94" applyFont="1"/>
    <xf numFmtId="0" fontId="39" fillId="5" borderId="15" xfId="0" applyFont="1" applyFill="1" applyBorder="1" applyAlignment="1">
      <alignment wrapText="1"/>
    </xf>
    <xf numFmtId="0" fontId="4" fillId="5" borderId="15" xfId="0" applyFont="1" applyFill="1" applyBorder="1"/>
    <xf numFmtId="0" fontId="0" fillId="0" borderId="15" xfId="0" applyBorder="1"/>
    <xf numFmtId="0" fontId="15" fillId="0" borderId="0" xfId="0" applyFont="1" applyAlignment="1">
      <alignment wrapText="1"/>
    </xf>
    <xf numFmtId="0" fontId="4" fillId="0" borderId="7" xfId="0" applyFont="1" applyBorder="1"/>
    <xf numFmtId="0" fontId="0" fillId="0" borderId="1" xfId="0" applyBorder="1"/>
    <xf numFmtId="0" fontId="0" fillId="0" borderId="8" xfId="0" applyBorder="1"/>
    <xf numFmtId="0" fontId="4" fillId="0" borderId="4" xfId="0" applyFont="1" applyBorder="1"/>
    <xf numFmtId="0" fontId="4" fillId="0" borderId="15" xfId="0" applyFont="1" applyBorder="1" applyAlignment="1">
      <alignment vertical="top"/>
    </xf>
    <xf numFmtId="0" fontId="15" fillId="0" borderId="0" xfId="0" applyFont="1" applyAlignment="1">
      <alignment vertical="top" wrapText="1"/>
    </xf>
    <xf numFmtId="0" fontId="2" fillId="5" borderId="15" xfId="0" applyFont="1" applyFill="1" applyBorder="1" applyAlignment="1">
      <alignment vertical="top" wrapText="1"/>
    </xf>
    <xf numFmtId="0" fontId="231" fillId="0" borderId="0" xfId="0" applyFont="1" applyAlignment="1">
      <alignment vertical="center"/>
    </xf>
    <xf numFmtId="0" fontId="2" fillId="6" borderId="0" xfId="0" applyFont="1" applyFill="1" applyAlignment="1">
      <alignment wrapText="1"/>
    </xf>
    <xf numFmtId="0" fontId="15" fillId="5" borderId="15" xfId="0" applyFont="1" applyFill="1" applyBorder="1" applyAlignment="1">
      <alignment wrapText="1"/>
    </xf>
    <xf numFmtId="0" fontId="2" fillId="5" borderId="15" xfId="0" applyFont="1" applyFill="1" applyBorder="1" applyAlignment="1">
      <alignment wrapText="1"/>
    </xf>
    <xf numFmtId="0" fontId="2" fillId="6" borderId="4" xfId="0" applyFont="1" applyFill="1" applyBorder="1" applyAlignment="1">
      <alignment wrapText="1"/>
    </xf>
    <xf numFmtId="0" fontId="232" fillId="0" borderId="0" xfId="0" applyFont="1" applyAlignment="1">
      <alignment vertical="center" wrapText="1"/>
    </xf>
    <xf numFmtId="0" fontId="2" fillId="19" borderId="15" xfId="0" applyFont="1" applyFill="1" applyBorder="1" applyAlignment="1">
      <alignment wrapText="1"/>
    </xf>
    <xf numFmtId="0" fontId="2" fillId="0" borderId="1" xfId="0" applyFont="1" applyBorder="1"/>
    <xf numFmtId="0" fontId="0" fillId="0" borderId="9" xfId="0" applyBorder="1"/>
    <xf numFmtId="0" fontId="0" fillId="0" borderId="11" xfId="0" applyBorder="1" applyAlignment="1">
      <alignment vertical="top" wrapText="1"/>
    </xf>
    <xf numFmtId="0" fontId="0" fillId="0" borderId="13" xfId="0" applyBorder="1"/>
    <xf numFmtId="0" fontId="257" fillId="0" borderId="0" xfId="61" applyAlignment="1" applyProtection="1"/>
    <xf numFmtId="0" fontId="2" fillId="0" borderId="12" xfId="0" applyFont="1" applyBorder="1" applyAlignment="1">
      <alignment wrapText="1"/>
    </xf>
    <xf numFmtId="0" fontId="2" fillId="0" borderId="10" xfId="0" applyFont="1" applyBorder="1" applyAlignment="1">
      <alignment wrapText="1"/>
    </xf>
    <xf numFmtId="14" fontId="2" fillId="0" borderId="0" xfId="0" applyNumberFormat="1" applyFont="1" applyAlignment="1">
      <alignment wrapText="1"/>
    </xf>
    <xf numFmtId="0" fontId="2" fillId="0" borderId="0" xfId="0" applyFont="1" applyAlignment="1">
      <alignment vertical="center" wrapText="1"/>
    </xf>
    <xf numFmtId="0" fontId="2" fillId="0" borderId="4" xfId="0" applyFont="1" applyBorder="1" applyAlignment="1">
      <alignment wrapText="1"/>
    </xf>
    <xf numFmtId="0" fontId="177" fillId="0" borderId="0" xfId="0" applyFont="1"/>
    <xf numFmtId="0" fontId="39" fillId="5" borderId="15" xfId="0" applyFont="1" applyFill="1" applyBorder="1"/>
    <xf numFmtId="0" fontId="177" fillId="0" borderId="1" xfId="0" applyFont="1" applyBorder="1"/>
    <xf numFmtId="0" fontId="4" fillId="5" borderId="7" xfId="0" applyFont="1" applyFill="1" applyBorder="1"/>
    <xf numFmtId="0" fontId="0" fillId="0" borderId="4" xfId="0" applyBorder="1"/>
    <xf numFmtId="0" fontId="0" fillId="0" borderId="12" xfId="0" applyBorder="1"/>
    <xf numFmtId="0" fontId="115" fillId="0" borderId="0" xfId="0" applyFont="1"/>
    <xf numFmtId="0" fontId="4" fillId="0" borderId="8" xfId="0" applyFont="1" applyBorder="1"/>
    <xf numFmtId="0" fontId="115" fillId="0" borderId="1" xfId="0" applyFont="1" applyBorder="1"/>
    <xf numFmtId="0" fontId="176" fillId="0" borderId="0" xfId="0" applyFont="1"/>
    <xf numFmtId="0" fontId="4" fillId="5" borderId="5" xfId="0" applyFont="1" applyFill="1" applyBorder="1"/>
    <xf numFmtId="0" fontId="176" fillId="5" borderId="15" xfId="0" applyFont="1" applyFill="1" applyBorder="1"/>
    <xf numFmtId="0" fontId="4" fillId="5" borderId="15" xfId="0" applyFont="1" applyFill="1" applyBorder="1" applyAlignment="1">
      <alignment vertical="top" wrapText="1"/>
    </xf>
    <xf numFmtId="0" fontId="4" fillId="5" borderId="0" xfId="0" applyFont="1" applyFill="1" applyAlignment="1">
      <alignment wrapText="1"/>
    </xf>
    <xf numFmtId="49" fontId="2" fillId="0" borderId="1" xfId="115" applyNumberFormat="1" applyFont="1" applyBorder="1" applyAlignment="1" applyProtection="1">
      <alignment horizontal="center"/>
      <protection locked="0"/>
    </xf>
    <xf numFmtId="0" fontId="48" fillId="0" borderId="0" xfId="81" applyFont="1" applyAlignment="1">
      <alignment horizontal="right"/>
    </xf>
    <xf numFmtId="0" fontId="18" fillId="0" borderId="0" xfId="101" applyFont="1" applyAlignment="1">
      <alignment horizontal="center"/>
    </xf>
    <xf numFmtId="0" fontId="64" fillId="0" borderId="0" xfId="0" applyFont="1" applyProtection="1">
      <protection locked="0"/>
    </xf>
    <xf numFmtId="0" fontId="15" fillId="7" borderId="29" xfId="0" applyFont="1" applyFill="1" applyBorder="1"/>
    <xf numFmtId="0" fontId="23" fillId="7" borderId="45" xfId="0" applyFont="1" applyFill="1" applyBorder="1"/>
    <xf numFmtId="49" fontId="2" fillId="0" borderId="4" xfId="115" applyNumberFormat="1" applyFont="1" applyBorder="1" applyAlignment="1" applyProtection="1">
      <alignment horizontal="center"/>
      <protection locked="0"/>
    </xf>
    <xf numFmtId="0" fontId="12" fillId="0" borderId="1" xfId="115" applyFont="1" applyBorder="1" applyAlignment="1" applyProtection="1">
      <alignment horizontal="center"/>
      <protection locked="0"/>
    </xf>
    <xf numFmtId="176" fontId="12" fillId="0" borderId="22" xfId="0" applyNumberFormat="1" applyFont="1" applyBorder="1" applyProtection="1">
      <protection locked="0"/>
    </xf>
    <xf numFmtId="0" fontId="7" fillId="0" borderId="0" xfId="92" applyFont="1" applyAlignment="1">
      <alignment vertical="top" wrapText="1"/>
    </xf>
    <xf numFmtId="0" fontId="2" fillId="0" borderId="0" xfId="92" applyFont="1"/>
    <xf numFmtId="39" fontId="2" fillId="0" borderId="2" xfId="92" applyNumberFormat="1" applyFont="1" applyBorder="1" applyAlignment="1" applyProtection="1">
      <alignment vertical="top" wrapText="1"/>
      <protection locked="0"/>
    </xf>
    <xf numFmtId="39" fontId="7" fillId="0" borderId="2" xfId="92" applyNumberFormat="1" applyFont="1" applyBorder="1" applyAlignment="1" applyProtection="1">
      <alignment vertical="top" wrapText="1"/>
      <protection locked="0"/>
    </xf>
    <xf numFmtId="181" fontId="96" fillId="2" borderId="0" xfId="126" applyFont="1" applyFill="1" applyAlignment="1">
      <alignment horizontal="center"/>
    </xf>
    <xf numFmtId="180" fontId="233" fillId="18" borderId="46" xfId="0" applyNumberFormat="1" applyFont="1" applyFill="1" applyBorder="1"/>
    <xf numFmtId="0" fontId="233" fillId="18" borderId="16" xfId="0" applyFont="1" applyFill="1" applyBorder="1"/>
    <xf numFmtId="180" fontId="233" fillId="18" borderId="16" xfId="0" applyNumberFormat="1" applyFont="1" applyFill="1" applyBorder="1"/>
    <xf numFmtId="0" fontId="233" fillId="18" borderId="47" xfId="0" applyFont="1" applyFill="1" applyBorder="1"/>
    <xf numFmtId="0" fontId="234" fillId="18" borderId="5" xfId="0" applyFont="1" applyFill="1" applyBorder="1"/>
    <xf numFmtId="0" fontId="234" fillId="18" borderId="6" xfId="0" applyFont="1" applyFill="1" applyBorder="1"/>
    <xf numFmtId="0" fontId="234" fillId="18" borderId="7" xfId="0" applyFont="1" applyFill="1" applyBorder="1"/>
    <xf numFmtId="0" fontId="12" fillId="9" borderId="0" xfId="95" applyFill="1"/>
    <xf numFmtId="49" fontId="195" fillId="8" borderId="8" xfId="0" applyNumberFormat="1" applyFont="1" applyFill="1" applyBorder="1"/>
    <xf numFmtId="0" fontId="235" fillId="18" borderId="0" xfId="0" applyFont="1" applyFill="1" applyAlignment="1">
      <alignment horizontal="right"/>
    </xf>
    <xf numFmtId="0" fontId="236" fillId="18" borderId="0" xfId="57" applyFont="1" applyFill="1" applyAlignment="1" applyProtection="1">
      <alignment horizontal="center"/>
    </xf>
    <xf numFmtId="0" fontId="237" fillId="18" borderId="0" xfId="0" applyFont="1" applyFill="1" applyAlignment="1">
      <alignment horizontal="right"/>
    </xf>
    <xf numFmtId="0" fontId="236" fillId="18" borderId="0" xfId="0" applyFont="1" applyFill="1" applyAlignment="1">
      <alignment horizontal="center"/>
    </xf>
    <xf numFmtId="9" fontId="238" fillId="18" borderId="0" xfId="0" applyNumberFormat="1" applyFont="1" applyFill="1"/>
    <xf numFmtId="0" fontId="236" fillId="18" borderId="0" xfId="0" applyFont="1" applyFill="1" applyAlignment="1">
      <alignment horizontal="center" wrapText="1"/>
    </xf>
    <xf numFmtId="42" fontId="238" fillId="18" borderId="0" xfId="0" applyNumberFormat="1" applyFont="1" applyFill="1" applyAlignment="1">
      <alignment horizontal="right"/>
    </xf>
    <xf numFmtId="0" fontId="239" fillId="18" borderId="0" xfId="0" applyFont="1" applyFill="1" applyAlignment="1">
      <alignment horizontal="center"/>
    </xf>
    <xf numFmtId="0" fontId="238" fillId="18" borderId="0" xfId="0" applyFont="1" applyFill="1" applyAlignment="1">
      <alignment horizontal="right"/>
    </xf>
    <xf numFmtId="0" fontId="2" fillId="0" borderId="1" xfId="0" applyFont="1" applyBorder="1" applyProtection="1">
      <protection locked="0"/>
    </xf>
    <xf numFmtId="0" fontId="2" fillId="0" borderId="4" xfId="0" applyFont="1" applyBorder="1" applyProtection="1">
      <protection locked="0"/>
    </xf>
    <xf numFmtId="0" fontId="2" fillId="0" borderId="20" xfId="0" applyFont="1" applyBorder="1" applyAlignment="1" applyProtection="1">
      <alignment horizontal="center"/>
      <protection locked="0"/>
    </xf>
    <xf numFmtId="0" fontId="3" fillId="0" borderId="0" xfId="107" applyFont="1" applyAlignment="1">
      <alignment horizontal="right"/>
    </xf>
    <xf numFmtId="0" fontId="4" fillId="0" borderId="0" xfId="110" applyFont="1" applyAlignment="1">
      <alignment horizontal="right"/>
    </xf>
    <xf numFmtId="0" fontId="2" fillId="0" borderId="0" xfId="110" applyFont="1"/>
    <xf numFmtId="0" fontId="2" fillId="8" borderId="0" xfId="110" applyFont="1" applyFill="1"/>
    <xf numFmtId="176" fontId="2" fillId="0" borderId="0" xfId="110" applyNumberFormat="1" applyFont="1"/>
    <xf numFmtId="175" fontId="2" fillId="0" borderId="0" xfId="110" applyNumberFormat="1" applyFont="1"/>
    <xf numFmtId="0" fontId="2" fillId="0" borderId="0" xfId="110" applyFont="1" applyProtection="1">
      <protection hidden="1"/>
    </xf>
    <xf numFmtId="0" fontId="2" fillId="0" borderId="1" xfId="110" applyFont="1" applyBorder="1" applyAlignment="1">
      <alignment horizontal="center"/>
    </xf>
    <xf numFmtId="0" fontId="2" fillId="0" borderId="0" xfId="110" applyFont="1" applyAlignment="1">
      <alignment horizontal="center"/>
    </xf>
    <xf numFmtId="176" fontId="2" fillId="0" borderId="1" xfId="110" applyNumberFormat="1" applyFont="1" applyBorder="1" applyProtection="1">
      <protection locked="0"/>
    </xf>
    <xf numFmtId="176" fontId="2" fillId="0" borderId="2" xfId="110" applyNumberFormat="1" applyFont="1" applyBorder="1"/>
    <xf numFmtId="0" fontId="47" fillId="0" borderId="0" xfId="81" applyFont="1" applyAlignment="1">
      <alignment horizontal="left"/>
    </xf>
    <xf numFmtId="0" fontId="120" fillId="0" borderId="0" xfId="81" applyFont="1"/>
    <xf numFmtId="168" fontId="2" fillId="0" borderId="0" xfId="85" applyFont="1" applyAlignment="1" applyProtection="1">
      <alignment horizontal="right"/>
    </xf>
    <xf numFmtId="0" fontId="10" fillId="0" borderId="0" xfId="0" applyFont="1" applyAlignment="1" applyProtection="1">
      <alignment wrapText="1"/>
      <protection hidden="1"/>
    </xf>
    <xf numFmtId="0" fontId="5" fillId="0" borderId="0" xfId="81" applyFont="1"/>
    <xf numFmtId="0" fontId="11" fillId="0" borderId="0" xfId="81" applyFont="1"/>
    <xf numFmtId="0" fontId="178" fillId="0" borderId="0" xfId="81" applyFont="1"/>
    <xf numFmtId="0" fontId="15" fillId="0" borderId="0" xfId="95" applyFont="1" applyAlignment="1">
      <alignment vertical="top"/>
    </xf>
    <xf numFmtId="180" fontId="0" fillId="0" borderId="3" xfId="0" applyNumberFormat="1" applyBorder="1"/>
    <xf numFmtId="39" fontId="7" fillId="0" borderId="0" xfId="92" applyNumberFormat="1" applyFont="1" applyAlignment="1" applyProtection="1">
      <alignment vertical="top" wrapText="1"/>
      <protection locked="0"/>
    </xf>
    <xf numFmtId="0" fontId="2" fillId="0" borderId="0" xfId="92" applyFont="1" applyAlignment="1">
      <alignment vertical="top" wrapText="1"/>
    </xf>
    <xf numFmtId="0" fontId="176" fillId="4" borderId="20" xfId="0" applyFont="1" applyFill="1" applyBorder="1"/>
    <xf numFmtId="0" fontId="265" fillId="0" borderId="0" xfId="0" applyFont="1"/>
    <xf numFmtId="0" fontId="4" fillId="52" borderId="15" xfId="0" applyFont="1" applyFill="1" applyBorder="1"/>
    <xf numFmtId="0" fontId="266" fillId="0" borderId="0" xfId="0" applyFont="1"/>
    <xf numFmtId="0" fontId="4" fillId="53" borderId="15" xfId="0" applyFont="1" applyFill="1" applyBorder="1"/>
    <xf numFmtId="0" fontId="111" fillId="54" borderId="46" xfId="0" applyFont="1" applyFill="1" applyBorder="1"/>
    <xf numFmtId="0" fontId="15" fillId="54" borderId="16" xfId="0" applyFont="1" applyFill="1" applyBorder="1" applyAlignment="1">
      <alignment horizontal="right"/>
    </xf>
    <xf numFmtId="180" fontId="116" fillId="54" borderId="16" xfId="0" applyNumberFormat="1" applyFont="1" applyFill="1" applyBorder="1" applyAlignment="1">
      <alignment horizontal="center"/>
    </xf>
    <xf numFmtId="180" fontId="116" fillId="54" borderId="47" xfId="0" applyNumberFormat="1" applyFont="1" applyFill="1" applyBorder="1" applyAlignment="1">
      <alignment horizontal="center"/>
    </xf>
    <xf numFmtId="49" fontId="44" fillId="0" borderId="0" xfId="89" applyNumberFormat="1" applyFont="1" applyAlignment="1" applyProtection="1">
      <alignment horizontal="left"/>
      <protection locked="0"/>
    </xf>
    <xf numFmtId="190" fontId="12" fillId="0" borderId="0" xfId="89" applyNumberFormat="1" applyAlignment="1" applyProtection="1">
      <alignment horizontal="right"/>
      <protection locked="0"/>
    </xf>
    <xf numFmtId="49" fontId="44" fillId="0" borderId="0" xfId="89" applyNumberFormat="1" applyFont="1" applyAlignment="1" applyProtection="1">
      <alignment horizontal="center"/>
      <protection locked="0"/>
    </xf>
    <xf numFmtId="176" fontId="7" fillId="0" borderId="14" xfId="84" applyNumberFormat="1" applyFont="1" applyBorder="1"/>
    <xf numFmtId="0" fontId="3" fillId="0" borderId="0" xfId="101" applyFont="1" applyAlignment="1">
      <alignment horizontal="center"/>
    </xf>
    <xf numFmtId="0" fontId="2" fillId="0" borderId="0" xfId="101" applyFont="1" applyAlignment="1">
      <alignment horizontal="center"/>
    </xf>
    <xf numFmtId="0" fontId="28" fillId="0" borderId="2" xfId="101" applyFont="1" applyBorder="1" applyAlignment="1">
      <alignment horizontal="center"/>
    </xf>
    <xf numFmtId="0" fontId="71" fillId="0" borderId="0" xfId="101" applyFont="1"/>
    <xf numFmtId="0" fontId="71" fillId="0" borderId="0" xfId="101" applyFont="1" applyAlignment="1">
      <alignment horizontal="centerContinuous"/>
    </xf>
    <xf numFmtId="0" fontId="71" fillId="0" borderId="0" xfId="101" applyFont="1" applyAlignment="1">
      <alignment horizontal="center"/>
    </xf>
    <xf numFmtId="0" fontId="71" fillId="0" borderId="0" xfId="101" applyFont="1" applyAlignment="1">
      <alignment horizontal="left"/>
    </xf>
    <xf numFmtId="0" fontId="15" fillId="0" borderId="0" xfId="101" applyFont="1" applyAlignment="1">
      <alignment horizontal="center"/>
    </xf>
    <xf numFmtId="0" fontId="71" fillId="0" borderId="1" xfId="101" applyFont="1" applyBorder="1" applyAlignment="1">
      <alignment horizontal="centerContinuous"/>
    </xf>
    <xf numFmtId="14" fontId="71" fillId="0" borderId="1" xfId="101" applyNumberFormat="1" applyFont="1" applyBorder="1" applyAlignment="1">
      <alignment horizontal="center"/>
    </xf>
    <xf numFmtId="0" fontId="71" fillId="0" borderId="1" xfId="101" applyFont="1" applyBorder="1" applyAlignment="1">
      <alignment horizontal="center"/>
    </xf>
    <xf numFmtId="1" fontId="15" fillId="0" borderId="0" xfId="101" applyNumberFormat="1" applyFont="1" applyAlignment="1">
      <alignment horizontal="center"/>
    </xf>
    <xf numFmtId="0" fontId="14" fillId="0" borderId="0" xfId="101" applyFont="1" applyAlignment="1">
      <alignment horizontal="center"/>
    </xf>
    <xf numFmtId="176" fontId="15" fillId="0" borderId="0" xfId="101" applyNumberFormat="1" applyFont="1"/>
    <xf numFmtId="1" fontId="71" fillId="54" borderId="0" xfId="101" applyNumberFormat="1" applyFont="1" applyFill="1" applyAlignment="1">
      <alignment horizontal="center"/>
    </xf>
    <xf numFmtId="176" fontId="15" fillId="0" borderId="0" xfId="39" applyNumberFormat="1" applyFont="1"/>
    <xf numFmtId="176" fontId="2" fillId="3" borderId="1" xfId="84" applyNumberFormat="1" applyFont="1" applyFill="1" applyBorder="1"/>
    <xf numFmtId="176" fontId="15" fillId="0" borderId="0" xfId="39" applyNumberFormat="1" applyFont="1" applyProtection="1">
      <protection locked="0"/>
    </xf>
    <xf numFmtId="49" fontId="15" fillId="0" borderId="1" xfId="39" applyNumberFormat="1" applyFont="1" applyBorder="1" applyProtection="1">
      <protection locked="0"/>
    </xf>
    <xf numFmtId="176" fontId="15" fillId="0" borderId="4" xfId="39" applyNumberFormat="1" applyFont="1" applyBorder="1" applyProtection="1">
      <protection locked="0"/>
    </xf>
    <xf numFmtId="1" fontId="71" fillId="0" borderId="0" xfId="101" applyNumberFormat="1" applyFont="1" applyAlignment="1">
      <alignment horizontal="right"/>
    </xf>
    <xf numFmtId="0" fontId="4" fillId="0" borderId="0" xfId="88" applyFont="1" applyAlignment="1">
      <alignment horizontal="left"/>
    </xf>
    <xf numFmtId="49" fontId="15" fillId="0" borderId="0" xfId="39" applyNumberFormat="1" applyFont="1"/>
    <xf numFmtId="176" fontId="15" fillId="0" borderId="3" xfId="39" applyNumberFormat="1" applyFont="1" applyBorder="1"/>
    <xf numFmtId="0" fontId="15" fillId="0" borderId="0" xfId="101" applyFont="1" applyProtection="1">
      <protection hidden="1"/>
    </xf>
    <xf numFmtId="0" fontId="2" fillId="0" borderId="0" xfId="0" applyFont="1" applyAlignment="1">
      <alignment horizontal="left" vertical="center" indent="1"/>
    </xf>
    <xf numFmtId="0" fontId="267" fillId="0" borderId="0" xfId="0" applyFont="1"/>
    <xf numFmtId="176" fontId="2" fillId="3" borderId="0" xfId="84" applyNumberFormat="1" applyFont="1" applyFill="1"/>
    <xf numFmtId="168" fontId="2" fillId="0" borderId="0" xfId="83" applyFont="1" applyAlignment="1" applyProtection="1">
      <alignment horizontal="left"/>
    </xf>
    <xf numFmtId="0" fontId="163" fillId="0" borderId="15" xfId="119" applyFont="1" applyBorder="1" applyAlignment="1" applyProtection="1">
      <alignment horizontal="center"/>
      <protection locked="0"/>
    </xf>
    <xf numFmtId="176" fontId="2" fillId="0" borderId="8" xfId="81" applyNumberFormat="1" applyFont="1" applyBorder="1" applyProtection="1">
      <protection locked="0"/>
    </xf>
    <xf numFmtId="49" fontId="119" fillId="0" borderId="0" xfId="0" applyNumberFormat="1" applyFont="1"/>
    <xf numFmtId="49" fontId="175" fillId="0" borderId="0" xfId="57" applyNumberFormat="1" applyFont="1" applyAlignment="1" applyProtection="1"/>
    <xf numFmtId="0" fontId="119" fillId="0" borderId="1" xfId="0" applyFont="1" applyBorder="1" applyAlignment="1" applyProtection="1">
      <alignment horizontal="center"/>
      <protection locked="0"/>
    </xf>
    <xf numFmtId="0" fontId="163" fillId="8" borderId="23" xfId="119" applyFont="1" applyFill="1" applyBorder="1" applyAlignment="1" applyProtection="1">
      <alignment horizontal="center"/>
      <protection locked="0"/>
    </xf>
    <xf numFmtId="0" fontId="146" fillId="54" borderId="0" xfId="119" applyFont="1" applyFill="1"/>
    <xf numFmtId="0" fontId="201" fillId="0" borderId="23" xfId="119" applyFont="1" applyBorder="1" applyAlignment="1">
      <alignment horizontal="center" vertical="top" wrapText="1"/>
    </xf>
    <xf numFmtId="0" fontId="198" fillId="0" borderId="0" xfId="119" applyFont="1" applyAlignment="1" applyProtection="1">
      <alignment vertical="top" wrapText="1"/>
      <protection locked="0"/>
    </xf>
    <xf numFmtId="0" fontId="202" fillId="0" borderId="15" xfId="57" applyFont="1" applyBorder="1" applyAlignment="1" applyProtection="1">
      <alignment horizontal="center" vertical="center" wrapText="1"/>
    </xf>
    <xf numFmtId="0" fontId="202" fillId="0" borderId="15" xfId="57" applyFont="1" applyBorder="1" applyAlignment="1" applyProtection="1">
      <alignment horizontal="center" vertical="center"/>
    </xf>
    <xf numFmtId="0" fontId="268" fillId="0" borderId="0" xfId="0" applyFont="1" applyAlignment="1">
      <alignment horizontal="center"/>
    </xf>
    <xf numFmtId="0" fontId="10" fillId="0" borderId="0" xfId="119" applyFont="1" applyProtection="1">
      <protection locked="0"/>
    </xf>
    <xf numFmtId="0" fontId="246" fillId="0" borderId="0" xfId="0" applyFont="1" applyProtection="1">
      <protection locked="0"/>
    </xf>
    <xf numFmtId="0" fontId="28" fillId="0" borderId="0" xfId="101" applyFont="1" applyAlignment="1" applyProtection="1">
      <alignment horizontal="center"/>
      <protection locked="0"/>
    </xf>
    <xf numFmtId="0" fontId="10" fillId="0" borderId="0" xfId="0" quotePrefix="1" applyFont="1" applyAlignment="1" applyProtection="1">
      <alignment horizontal="center"/>
      <protection hidden="1"/>
    </xf>
    <xf numFmtId="0" fontId="0" fillId="0" borderId="0" xfId="0" applyAlignment="1" applyProtection="1">
      <alignment wrapText="1"/>
      <protection locked="0"/>
    </xf>
    <xf numFmtId="0" fontId="163" fillId="0" borderId="15" xfId="119" applyFont="1" applyBorder="1" applyAlignment="1" applyProtection="1">
      <alignment horizontal="center" vertical="top" wrapText="1"/>
      <protection locked="0"/>
    </xf>
    <xf numFmtId="0" fontId="163" fillId="0" borderId="23" xfId="119" applyFont="1" applyBorder="1" applyAlignment="1" applyProtection="1">
      <alignment horizontal="center"/>
      <protection locked="0"/>
    </xf>
    <xf numFmtId="0" fontId="163" fillId="0" borderId="23" xfId="119" applyFont="1" applyBorder="1" applyAlignment="1" applyProtection="1">
      <alignment horizontal="center" vertical="top" wrapText="1"/>
      <protection locked="0"/>
    </xf>
    <xf numFmtId="0" fontId="246" fillId="0" borderId="0" xfId="0" applyFont="1" applyAlignment="1" applyProtection="1">
      <alignment horizontal="left"/>
      <protection locked="0"/>
    </xf>
    <xf numFmtId="195" fontId="246" fillId="0" borderId="0" xfId="0" applyNumberFormat="1" applyFont="1" applyAlignment="1" applyProtection="1">
      <alignment horizontal="center"/>
      <protection locked="0"/>
    </xf>
    <xf numFmtId="164" fontId="81" fillId="0" borderId="0" xfId="57" applyNumberFormat="1" applyFont="1" applyAlignment="1" applyProtection="1">
      <alignment horizontal="center"/>
    </xf>
    <xf numFmtId="0" fontId="76" fillId="0" borderId="2" xfId="0" applyFont="1" applyBorder="1" applyAlignment="1" applyProtection="1">
      <alignment horizontal="center"/>
      <protection locked="0"/>
    </xf>
    <xf numFmtId="0" fontId="76" fillId="0" borderId="2" xfId="0" applyFont="1" applyBorder="1" applyAlignment="1" applyProtection="1">
      <alignment horizontal="center" wrapText="1"/>
      <protection locked="0"/>
    </xf>
    <xf numFmtId="49" fontId="246" fillId="0" borderId="0" xfId="0" applyNumberFormat="1" applyFont="1" applyAlignment="1" applyProtection="1">
      <alignment horizontal="center"/>
      <protection locked="0"/>
    </xf>
    <xf numFmtId="14" fontId="246" fillId="0" borderId="0" xfId="0" applyNumberFormat="1" applyFont="1" applyAlignment="1" applyProtection="1">
      <alignment horizontal="center"/>
      <protection locked="0"/>
    </xf>
    <xf numFmtId="0" fontId="246" fillId="0" borderId="0" xfId="0" applyFont="1" applyAlignment="1" applyProtection="1">
      <alignment horizontal="center"/>
      <protection locked="0"/>
    </xf>
    <xf numFmtId="0" fontId="0" fillId="0" borderId="0" xfId="0" applyAlignment="1" applyProtection="1">
      <alignment horizontal="center"/>
      <protection locked="0"/>
    </xf>
    <xf numFmtId="14" fontId="0" fillId="0" borderId="0" xfId="0" applyNumberFormat="1" applyAlignment="1" applyProtection="1">
      <alignment horizontal="center"/>
      <protection locked="0"/>
    </xf>
    <xf numFmtId="0" fontId="0" fillId="0" borderId="0" xfId="0" applyAlignment="1" applyProtection="1">
      <alignment horizontal="center" wrapText="1"/>
      <protection locked="0"/>
    </xf>
    <xf numFmtId="14" fontId="0" fillId="0" borderId="0" xfId="0" applyNumberFormat="1" applyAlignment="1" applyProtection="1">
      <alignment horizontal="center" wrapText="1"/>
      <protection locked="0"/>
    </xf>
    <xf numFmtId="0" fontId="246" fillId="0" borderId="0" xfId="0" applyFont="1" applyAlignment="1" applyProtection="1">
      <alignment horizontal="center" wrapText="1"/>
      <protection locked="0"/>
    </xf>
    <xf numFmtId="0" fontId="246" fillId="0" borderId="0" xfId="0" applyFont="1" applyAlignment="1" applyProtection="1">
      <alignment horizontal="center" vertical="top" wrapText="1"/>
      <protection locked="0"/>
    </xf>
    <xf numFmtId="0" fontId="2" fillId="0" borderId="4" xfId="0" applyFont="1" applyBorder="1" applyAlignment="1" applyProtection="1">
      <alignment horizontal="center"/>
      <protection locked="0"/>
    </xf>
    <xf numFmtId="176" fontId="2" fillId="0" borderId="1" xfId="0" applyNumberFormat="1" applyFont="1" applyBorder="1" applyProtection="1">
      <protection locked="0"/>
    </xf>
    <xf numFmtId="0" fontId="119" fillId="0" borderId="4" xfId="0" applyFont="1" applyBorder="1" applyAlignment="1" applyProtection="1">
      <alignment horizontal="center"/>
      <protection locked="0"/>
    </xf>
    <xf numFmtId="14" fontId="2" fillId="0" borderId="1" xfId="0" applyNumberFormat="1" applyFont="1" applyBorder="1" applyAlignment="1" applyProtection="1">
      <alignment horizontal="center"/>
      <protection locked="0"/>
    </xf>
    <xf numFmtId="49" fontId="119" fillId="4" borderId="32" xfId="0" applyNumberFormat="1" applyFont="1" applyFill="1" applyBorder="1" applyAlignment="1">
      <alignment vertical="top" wrapText="1"/>
    </xf>
    <xf numFmtId="0" fontId="0" fillId="0" borderId="0" xfId="0" applyAlignment="1">
      <alignment horizontal="center" vertical="top"/>
    </xf>
    <xf numFmtId="0" fontId="0" fillId="0" borderId="0" xfId="0" quotePrefix="1"/>
    <xf numFmtId="0" fontId="0" fillId="0" borderId="0" xfId="0" applyAlignment="1">
      <alignment horizontal="right"/>
    </xf>
    <xf numFmtId="196" fontId="0" fillId="0" borderId="0" xfId="0" applyNumberFormat="1"/>
    <xf numFmtId="0" fontId="94" fillId="0" borderId="15" xfId="57" applyFont="1" applyBorder="1" applyAlignment="1" applyProtection="1">
      <alignment horizontal="center"/>
    </xf>
    <xf numFmtId="5" fontId="0" fillId="0" borderId="0" xfId="0" applyNumberFormat="1"/>
    <xf numFmtId="0" fontId="2" fillId="0" borderId="0" xfId="0" applyFont="1" applyAlignment="1">
      <alignment horizontal="right"/>
    </xf>
    <xf numFmtId="164" fontId="2" fillId="0" borderId="0" xfId="106" applyNumberFormat="1" applyFont="1" applyAlignment="1">
      <alignment horizontal="center"/>
    </xf>
    <xf numFmtId="164" fontId="2" fillId="0" borderId="0" xfId="106" quotePrefix="1" applyNumberFormat="1" applyFont="1" applyAlignment="1">
      <alignment horizontal="center"/>
    </xf>
    <xf numFmtId="164" fontId="2" fillId="0" borderId="2" xfId="106" applyNumberFormat="1" applyFont="1" applyBorder="1" applyAlignment="1">
      <alignment horizontal="center"/>
    </xf>
    <xf numFmtId="164" fontId="2" fillId="0" borderId="18" xfId="106" applyNumberFormat="1" applyFont="1" applyBorder="1" applyAlignment="1">
      <alignment horizontal="center"/>
    </xf>
    <xf numFmtId="176" fontId="2" fillId="0" borderId="1" xfId="104" applyNumberFormat="1" applyFont="1" applyBorder="1" applyProtection="1">
      <protection locked="0"/>
    </xf>
    <xf numFmtId="164" fontId="12" fillId="0" borderId="0" xfId="106" applyNumberFormat="1" applyFont="1" applyAlignment="1">
      <alignment horizontal="right"/>
    </xf>
    <xf numFmtId="164" fontId="12" fillId="0" borderId="1" xfId="106" applyNumberFormat="1" applyFont="1" applyBorder="1" applyProtection="1">
      <protection locked="0"/>
    </xf>
    <xf numFmtId="175" fontId="12" fillId="0" borderId="1" xfId="106" applyNumberFormat="1" applyFont="1" applyBorder="1" applyProtection="1">
      <protection locked="0"/>
    </xf>
    <xf numFmtId="164" fontId="15" fillId="0" borderId="1" xfId="106" applyNumberFormat="1" applyFont="1" applyBorder="1" applyProtection="1">
      <protection locked="0"/>
    </xf>
    <xf numFmtId="164" fontId="12" fillId="0" borderId="4" xfId="106" applyNumberFormat="1" applyFont="1" applyBorder="1" applyProtection="1">
      <protection locked="0"/>
    </xf>
    <xf numFmtId="175" fontId="12" fillId="0" borderId="4" xfId="106" applyNumberFormat="1" applyFont="1" applyBorder="1" applyProtection="1">
      <protection locked="0"/>
    </xf>
    <xf numFmtId="164" fontId="15" fillId="0" borderId="4" xfId="106" applyNumberFormat="1" applyFont="1" applyBorder="1" applyProtection="1">
      <protection locked="0"/>
    </xf>
    <xf numFmtId="176" fontId="2" fillId="0" borderId="4" xfId="104" applyNumberFormat="1" applyFont="1" applyBorder="1" applyProtection="1">
      <protection locked="0"/>
    </xf>
    <xf numFmtId="164" fontId="12" fillId="0" borderId="8" xfId="106" applyNumberFormat="1" applyFont="1" applyBorder="1" applyAlignment="1">
      <alignment horizontal="center"/>
    </xf>
    <xf numFmtId="176" fontId="2" fillId="0" borderId="0" xfId="104" applyNumberFormat="1" applyFont="1"/>
    <xf numFmtId="164" fontId="12" fillId="0" borderId="8" xfId="106" applyNumberFormat="1" applyFont="1" applyBorder="1"/>
    <xf numFmtId="164" fontId="4" fillId="0" borderId="0" xfId="106" applyNumberFormat="1" applyFont="1" applyAlignment="1">
      <alignment horizontal="center"/>
    </xf>
    <xf numFmtId="164" fontId="12" fillId="0" borderId="2" xfId="106" applyNumberFormat="1" applyFont="1" applyBorder="1"/>
    <xf numFmtId="164" fontId="12" fillId="0" borderId="16" xfId="106" applyNumberFormat="1" applyFont="1" applyBorder="1" applyAlignment="1">
      <alignment horizontal="center"/>
    </xf>
    <xf numFmtId="164" fontId="12" fillId="0" borderId="2" xfId="106" applyNumberFormat="1" applyFont="1" applyBorder="1" applyAlignment="1">
      <alignment horizontal="center"/>
    </xf>
    <xf numFmtId="164" fontId="12" fillId="0" borderId="0" xfId="106" applyNumberFormat="1" applyFont="1" applyAlignment="1">
      <alignment horizontal="center"/>
    </xf>
    <xf numFmtId="176" fontId="2" fillId="0" borderId="8" xfId="104" applyNumberFormat="1" applyFont="1" applyBorder="1"/>
    <xf numFmtId="168" fontId="265" fillId="0" borderId="0" xfId="0" applyNumberFormat="1" applyFont="1"/>
    <xf numFmtId="0" fontId="2" fillId="0" borderId="0" xfId="91" applyFont="1" applyAlignment="1">
      <alignment horizontal="right"/>
    </xf>
    <xf numFmtId="0" fontId="2" fillId="0" borderId="0" xfId="91" applyFont="1"/>
    <xf numFmtId="0" fontId="119" fillId="0" borderId="0" xfId="0" applyFont="1" applyAlignment="1">
      <alignment horizontal="left"/>
    </xf>
    <xf numFmtId="49" fontId="10" fillId="55" borderId="0" xfId="0" applyNumberFormat="1" applyFont="1" applyFill="1" applyAlignment="1" applyProtection="1">
      <alignment horizontal="center"/>
      <protection hidden="1"/>
    </xf>
    <xf numFmtId="0" fontId="10" fillId="55" borderId="0" xfId="0" applyFont="1" applyFill="1" applyProtection="1">
      <protection hidden="1"/>
    </xf>
    <xf numFmtId="0" fontId="0" fillId="55" borderId="0" xfId="0" applyFill="1"/>
    <xf numFmtId="0" fontId="78" fillId="55" borderId="0" xfId="0" applyFont="1" applyFill="1" applyProtection="1">
      <protection hidden="1"/>
    </xf>
    <xf numFmtId="49" fontId="10" fillId="56" borderId="0" xfId="77" applyNumberFormat="1" applyFont="1" applyFill="1" applyAlignment="1" applyProtection="1">
      <alignment horizontal="center"/>
      <protection hidden="1"/>
    </xf>
    <xf numFmtId="168" fontId="78" fillId="56" borderId="0" xfId="77" applyFont="1" applyFill="1" applyProtection="1">
      <protection hidden="1"/>
    </xf>
    <xf numFmtId="168" fontId="10" fillId="56" borderId="0" xfId="77" applyFont="1" applyFill="1" applyProtection="1">
      <protection hidden="1"/>
    </xf>
    <xf numFmtId="0" fontId="0" fillId="56" borderId="0" xfId="0" applyFill="1"/>
    <xf numFmtId="49" fontId="10" fillId="56" borderId="0" xfId="135" applyNumberFormat="1" applyFont="1" applyFill="1" applyAlignment="1" applyProtection="1">
      <alignment horizontal="center"/>
      <protection hidden="1"/>
    </xf>
    <xf numFmtId="168" fontId="10" fillId="56" borderId="0" xfId="135" applyFont="1" applyFill="1" applyProtection="1">
      <protection hidden="1"/>
    </xf>
    <xf numFmtId="0" fontId="4" fillId="56" borderId="0" xfId="0" applyFont="1" applyFill="1"/>
    <xf numFmtId="0" fontId="0" fillId="55" borderId="2" xfId="0" applyFill="1" applyBorder="1"/>
    <xf numFmtId="49" fontId="10" fillId="55" borderId="2" xfId="0" applyNumberFormat="1" applyFont="1" applyFill="1" applyBorder="1" applyAlignment="1" applyProtection="1">
      <alignment horizontal="center"/>
      <protection hidden="1"/>
    </xf>
    <xf numFmtId="0" fontId="10" fillId="55" borderId="2" xfId="0" applyFont="1" applyFill="1" applyBorder="1" applyProtection="1">
      <protection hidden="1"/>
    </xf>
    <xf numFmtId="0" fontId="4" fillId="55" borderId="0" xfId="0" applyFont="1" applyFill="1"/>
    <xf numFmtId="0" fontId="6" fillId="0" borderId="0" xfId="136" applyFont="1"/>
    <xf numFmtId="0" fontId="2" fillId="0" borderId="0" xfId="136" applyFont="1"/>
    <xf numFmtId="0" fontId="4" fillId="0" borderId="0" xfId="136" applyFont="1" applyAlignment="1">
      <alignment horizontal="centerContinuous"/>
    </xf>
    <xf numFmtId="0" fontId="2" fillId="0" borderId="0" xfId="136" applyFont="1" applyAlignment="1">
      <alignment horizontal="centerContinuous"/>
    </xf>
    <xf numFmtId="0" fontId="3" fillId="0" borderId="0" xfId="136" applyFont="1" applyAlignment="1">
      <alignment horizontal="centerContinuous"/>
    </xf>
    <xf numFmtId="0" fontId="2" fillId="0" borderId="0" xfId="136" applyFont="1" applyAlignment="1">
      <alignment horizontal="left"/>
    </xf>
    <xf numFmtId="0" fontId="2" fillId="0" borderId="1" xfId="137" applyFont="1" applyBorder="1" applyAlignment="1">
      <alignment horizontal="left" shrinkToFit="1"/>
    </xf>
    <xf numFmtId="0" fontId="2" fillId="0" borderId="0" xfId="136" applyFont="1" applyAlignment="1">
      <alignment horizontal="right"/>
    </xf>
    <xf numFmtId="0" fontId="2" fillId="0" borderId="2" xfId="136" applyFont="1" applyBorder="1"/>
    <xf numFmtId="0" fontId="4" fillId="0" borderId="0" xfId="136" applyFont="1" applyAlignment="1">
      <alignment horizontal="center"/>
    </xf>
    <xf numFmtId="0" fontId="4" fillId="0" borderId="2" xfId="136" applyFont="1" applyBorder="1" applyAlignment="1">
      <alignment horizontal="center"/>
    </xf>
    <xf numFmtId="0" fontId="2" fillId="0" borderId="1" xfId="136" applyFont="1" applyBorder="1" applyProtection="1">
      <protection locked="0"/>
    </xf>
    <xf numFmtId="0" fontId="2" fillId="0" borderId="0" xfId="136" applyFont="1" applyAlignment="1">
      <alignment horizontal="center"/>
    </xf>
    <xf numFmtId="176" fontId="2" fillId="0" borderId="1" xfId="136" applyNumberFormat="1" applyFont="1" applyBorder="1" applyProtection="1">
      <protection locked="0"/>
    </xf>
    <xf numFmtId="0" fontId="2" fillId="0" borderId="0" xfId="107" applyFont="1" applyProtection="1">
      <protection hidden="1"/>
    </xf>
    <xf numFmtId="0" fontId="2" fillId="0" borderId="0" xfId="108" applyFont="1" applyProtection="1">
      <protection hidden="1"/>
    </xf>
    <xf numFmtId="0" fontId="8" fillId="0" borderId="0" xfId="139" applyProtection="1">
      <protection hidden="1"/>
    </xf>
    <xf numFmtId="0" fontId="58" fillId="0" borderId="0" xfId="136" applyFont="1"/>
    <xf numFmtId="0" fontId="8" fillId="0" borderId="0" xfId="136"/>
    <xf numFmtId="0" fontId="8" fillId="0" borderId="0" xfId="136" applyAlignment="1">
      <alignment horizontal="center"/>
    </xf>
    <xf numFmtId="0" fontId="58" fillId="0" borderId="0" xfId="136" applyFont="1" applyProtection="1">
      <protection hidden="1"/>
    </xf>
    <xf numFmtId="0" fontId="8" fillId="0" borderId="0" xfId="139" applyAlignment="1" applyProtection="1">
      <alignment vertical="center"/>
      <protection hidden="1"/>
    </xf>
    <xf numFmtId="0" fontId="59" fillId="0" borderId="0" xfId="139" applyFont="1"/>
    <xf numFmtId="0" fontId="8" fillId="0" borderId="1" xfId="139" applyBorder="1" applyProtection="1">
      <protection locked="0"/>
    </xf>
    <xf numFmtId="0" fontId="8" fillId="0" borderId="1" xfId="139" applyBorder="1"/>
    <xf numFmtId="0" fontId="8" fillId="0" borderId="0" xfId="139"/>
    <xf numFmtId="0" fontId="8" fillId="0" borderId="4" xfId="139" applyBorder="1"/>
    <xf numFmtId="0" fontId="8" fillId="0" borderId="4" xfId="139" applyBorder="1" applyProtection="1">
      <protection locked="0"/>
    </xf>
    <xf numFmtId="0" fontId="60" fillId="0" borderId="0" xfId="136" applyFont="1"/>
    <xf numFmtId="0" fontId="2" fillId="0" borderId="0" xfId="137" applyFont="1" applyAlignment="1" applyProtection="1">
      <alignment shrinkToFit="1"/>
      <protection locked="0"/>
    </xf>
    <xf numFmtId="0" fontId="58" fillId="0" borderId="0" xfId="139" applyFont="1"/>
    <xf numFmtId="0" fontId="3" fillId="0" borderId="0" xfId="139" applyFont="1" applyAlignment="1">
      <alignment horizontal="centerContinuous"/>
    </xf>
    <xf numFmtId="0" fontId="6" fillId="0" borderId="0" xfId="139" applyFont="1" applyAlignment="1">
      <alignment horizontal="centerContinuous"/>
    </xf>
    <xf numFmtId="0" fontId="6" fillId="0" borderId="0" xfId="139" applyFont="1"/>
    <xf numFmtId="0" fontId="76" fillId="0" borderId="0" xfId="112" applyFont="1" applyAlignment="1">
      <alignment horizontal="right"/>
    </xf>
    <xf numFmtId="0" fontId="2" fillId="0" borderId="0" xfId="139" applyFont="1" applyAlignment="1">
      <alignment horizontal="left"/>
    </xf>
    <xf numFmtId="0" fontId="2" fillId="0" borderId="0" xfId="139" applyFont="1"/>
    <xf numFmtId="0" fontId="2" fillId="0" borderId="0" xfId="138" applyFont="1" applyAlignment="1" applyProtection="1">
      <alignment shrinkToFit="1"/>
      <protection locked="0"/>
    </xf>
    <xf numFmtId="0" fontId="2" fillId="0" borderId="0" xfId="139" applyFont="1" applyAlignment="1" applyProtection="1">
      <alignment shrinkToFit="1"/>
      <protection locked="0"/>
    </xf>
    <xf numFmtId="0" fontId="2" fillId="0" borderId="0" xfId="139" applyFont="1" applyAlignment="1">
      <alignment horizontal="left" shrinkToFit="1"/>
    </xf>
    <xf numFmtId="0" fontId="2" fillId="0" borderId="0" xfId="139" applyFont="1" applyAlignment="1" applyProtection="1">
      <alignment horizontal="center" shrinkToFit="1"/>
      <protection locked="0"/>
    </xf>
    <xf numFmtId="0" fontId="2" fillId="0" borderId="2" xfId="139" applyFont="1" applyBorder="1"/>
    <xf numFmtId="0" fontId="2" fillId="0" borderId="2" xfId="139" applyFont="1" applyBorder="1" applyAlignment="1">
      <alignment horizontal="right"/>
    </xf>
    <xf numFmtId="0" fontId="2" fillId="0" borderId="0" xfId="139" applyFont="1" applyAlignment="1">
      <alignment horizontal="right"/>
    </xf>
    <xf numFmtId="0" fontId="4" fillId="0" borderId="0" xfId="139" applyFont="1" applyAlignment="1">
      <alignment horizontal="center"/>
    </xf>
    <xf numFmtId="0" fontId="4" fillId="0" borderId="0" xfId="139" applyFont="1"/>
    <xf numFmtId="0" fontId="4" fillId="0" borderId="2" xfId="139" applyFont="1" applyBorder="1" applyAlignment="1">
      <alignment horizontal="center"/>
    </xf>
    <xf numFmtId="0" fontId="59" fillId="0" borderId="0" xfId="139" applyFont="1" applyAlignment="1">
      <alignment horizontal="center"/>
    </xf>
    <xf numFmtId="49" fontId="2" fillId="0" borderId="1" xfId="139" quotePrefix="1" applyNumberFormat="1" applyFont="1" applyBorder="1" applyAlignment="1" applyProtection="1">
      <alignment horizontal="center"/>
      <protection locked="0"/>
    </xf>
    <xf numFmtId="0" fontId="2" fillId="0" borderId="0" xfId="139" applyFont="1" applyAlignment="1">
      <alignment horizontal="center"/>
    </xf>
    <xf numFmtId="0" fontId="2" fillId="0" borderId="1" xfId="139" applyFont="1" applyBorder="1" applyAlignment="1" applyProtection="1">
      <alignment horizontal="center"/>
      <protection locked="0"/>
    </xf>
    <xf numFmtId="176" fontId="2" fillId="0" borderId="1" xfId="139" applyNumberFormat="1" applyFont="1" applyBorder="1" applyProtection="1">
      <protection locked="0"/>
    </xf>
    <xf numFmtId="49" fontId="2" fillId="0" borderId="1" xfId="139" applyNumberFormat="1" applyFont="1" applyBorder="1" applyAlignment="1" applyProtection="1">
      <alignment horizontal="center"/>
      <protection locked="0"/>
    </xf>
    <xf numFmtId="0" fontId="2" fillId="0" borderId="0" xfId="139" applyFont="1" applyAlignment="1" applyProtection="1">
      <alignment horizontal="center"/>
      <protection locked="0"/>
    </xf>
    <xf numFmtId="176" fontId="2" fillId="0" borderId="0" xfId="139" applyNumberFormat="1" applyFont="1" applyProtection="1">
      <protection locked="0"/>
    </xf>
    <xf numFmtId="176" fontId="2" fillId="0" borderId="0" xfId="139" applyNumberFormat="1" applyFont="1"/>
    <xf numFmtId="0" fontId="2" fillId="0" borderId="0" xfId="139" applyFont="1" applyProtection="1">
      <protection hidden="1"/>
    </xf>
    <xf numFmtId="0" fontId="2" fillId="0" borderId="0" xfId="139" applyFont="1" applyAlignment="1" applyProtection="1">
      <alignment vertical="center"/>
      <protection hidden="1"/>
    </xf>
    <xf numFmtId="0" fontId="8" fillId="0" borderId="0" xfId="139" applyAlignment="1">
      <alignment vertical="center"/>
    </xf>
    <xf numFmtId="0" fontId="59" fillId="0" borderId="0" xfId="139" applyFont="1" applyAlignment="1">
      <alignment horizontal="center" vertical="center"/>
    </xf>
    <xf numFmtId="176" fontId="8" fillId="0" borderId="0" xfId="139" applyNumberFormat="1" applyAlignment="1">
      <alignment vertical="center"/>
    </xf>
    <xf numFmtId="0" fontId="49" fillId="0" borderId="0" xfId="57" applyAlignment="1" applyProtection="1">
      <protection hidden="1"/>
    </xf>
    <xf numFmtId="0" fontId="60" fillId="0" borderId="0" xfId="139" applyFont="1"/>
    <xf numFmtId="0" fontId="60" fillId="0" borderId="0" xfId="139" applyFont="1" applyAlignment="1">
      <alignment horizontal="center"/>
    </xf>
    <xf numFmtId="0" fontId="2" fillId="0" borderId="1" xfId="139" applyFont="1" applyBorder="1" applyAlignment="1">
      <alignment horizontal="left" shrinkToFit="1"/>
    </xf>
    <xf numFmtId="0" fontId="2" fillId="0" borderId="1" xfId="139" applyFont="1" applyBorder="1"/>
    <xf numFmtId="0" fontId="4" fillId="0" borderId="1" xfId="139" applyFont="1" applyBorder="1" applyAlignment="1">
      <alignment horizontal="center"/>
    </xf>
    <xf numFmtId="176" fontId="2" fillId="0" borderId="2" xfId="139" applyNumberFormat="1" applyFont="1" applyBorder="1"/>
    <xf numFmtId="0" fontId="2" fillId="0" borderId="0" xfId="139" applyFont="1" applyAlignment="1">
      <alignment vertical="center"/>
    </xf>
    <xf numFmtId="0" fontId="4" fillId="0" borderId="0" xfId="139" applyFont="1" applyAlignment="1">
      <alignment horizontal="center" vertical="center"/>
    </xf>
    <xf numFmtId="176" fontId="2" fillId="0" borderId="0" xfId="139" applyNumberFormat="1" applyFont="1" applyAlignment="1">
      <alignment vertical="center"/>
    </xf>
    <xf numFmtId="0" fontId="2" fillId="0" borderId="1" xfId="139" applyFont="1" applyBorder="1" applyProtection="1">
      <protection locked="0"/>
    </xf>
    <xf numFmtId="0" fontId="2" fillId="0" borderId="4" xfId="139" applyFont="1" applyBorder="1" applyProtection="1">
      <protection locked="0"/>
    </xf>
    <xf numFmtId="0" fontId="4" fillId="0" borderId="0" xfId="139" applyFont="1" applyAlignment="1">
      <alignment horizontal="centerContinuous"/>
    </xf>
    <xf numFmtId="0" fontId="2" fillId="0" borderId="0" xfId="139" applyFont="1" applyAlignment="1">
      <alignment horizontal="centerContinuous"/>
    </xf>
    <xf numFmtId="0" fontId="4" fillId="0" borderId="0" xfId="139" applyFont="1" applyAlignment="1">
      <alignment vertical="center"/>
    </xf>
    <xf numFmtId="0" fontId="163" fillId="8" borderId="23" xfId="119" applyFont="1" applyFill="1" applyBorder="1" applyAlignment="1">
      <alignment horizontal="center"/>
    </xf>
    <xf numFmtId="0" fontId="3" fillId="0" borderId="0" xfId="101" applyFont="1"/>
    <xf numFmtId="189" fontId="4" fillId="0" borderId="0" xfId="0" applyNumberFormat="1" applyFont="1" applyAlignment="1">
      <alignment horizontal="center"/>
    </xf>
    <xf numFmtId="176" fontId="2" fillId="0" borderId="1" xfId="81" applyNumberFormat="1" applyFont="1" applyBorder="1"/>
    <xf numFmtId="176" fontId="4" fillId="0" borderId="14" xfId="81" applyNumberFormat="1" applyFont="1" applyBorder="1"/>
    <xf numFmtId="176" fontId="2" fillId="0" borderId="3" xfId="81" applyNumberFormat="1" applyFont="1" applyBorder="1"/>
    <xf numFmtId="0" fontId="4" fillId="0" borderId="0" xfId="0" applyFont="1" applyProtection="1">
      <protection locked="0"/>
    </xf>
    <xf numFmtId="39" fontId="275" fillId="0" borderId="0" xfId="74" applyNumberFormat="1" applyFont="1" applyProtection="1">
      <protection hidden="1"/>
    </xf>
    <xf numFmtId="185" fontId="2" fillId="0" borderId="0" xfId="75" applyNumberFormat="1"/>
    <xf numFmtId="180" fontId="0" fillId="8" borderId="0" xfId="0" applyNumberFormat="1" applyFill="1"/>
    <xf numFmtId="180" fontId="2" fillId="0" borderId="1" xfId="75" applyNumberFormat="1" applyBorder="1"/>
    <xf numFmtId="185" fontId="2" fillId="0" borderId="0" xfId="0" applyNumberFormat="1" applyFont="1"/>
    <xf numFmtId="185" fontId="2" fillId="0" borderId="0" xfId="73" applyNumberFormat="1"/>
    <xf numFmtId="43" fontId="179" fillId="0" borderId="0" xfId="32"/>
    <xf numFmtId="180" fontId="2" fillId="0" borderId="1" xfId="73" applyNumberFormat="1" applyBorder="1"/>
    <xf numFmtId="43" fontId="0" fillId="0" borderId="0" xfId="29" applyFont="1"/>
    <xf numFmtId="180" fontId="186" fillId="0" borderId="0" xfId="0" applyNumberFormat="1" applyFont="1"/>
    <xf numFmtId="180" fontId="186" fillId="0" borderId="0" xfId="73" applyNumberFormat="1" applyFont="1"/>
    <xf numFmtId="180" fontId="181" fillId="0" borderId="1" xfId="0" applyNumberFormat="1" applyFont="1" applyBorder="1"/>
    <xf numFmtId="0" fontId="2" fillId="0" borderId="0" xfId="0" applyFont="1" applyAlignment="1" applyProtection="1">
      <alignment horizontal="center"/>
      <protection locked="0"/>
    </xf>
    <xf numFmtId="14" fontId="2" fillId="0" borderId="0" xfId="0" applyNumberFormat="1" applyFont="1" applyAlignment="1" applyProtection="1">
      <alignment horizontal="center"/>
      <protection locked="0"/>
    </xf>
    <xf numFmtId="0" fontId="49" fillId="0" borderId="23" xfId="57" applyBorder="1" applyAlignment="1" applyProtection="1"/>
    <xf numFmtId="0" fontId="49" fillId="0" borderId="4" xfId="57" applyBorder="1" applyAlignment="1" applyProtection="1"/>
    <xf numFmtId="0" fontId="49" fillId="0" borderId="33" xfId="57" applyBorder="1" applyAlignment="1" applyProtection="1"/>
    <xf numFmtId="0" fontId="81" fillId="0" borderId="0" xfId="57" applyFont="1" applyAlignment="1" applyProtection="1">
      <alignment horizontal="left"/>
      <protection hidden="1"/>
    </xf>
    <xf numFmtId="0" fontId="9" fillId="0" borderId="0" xfId="0" applyFont="1" applyAlignment="1" applyProtection="1">
      <alignment horizontal="left"/>
      <protection hidden="1"/>
    </xf>
    <xf numFmtId="0" fontId="49" fillId="0" borderId="0" xfId="57" applyAlignment="1" applyProtection="1">
      <alignment horizontal="left"/>
      <protection hidden="1"/>
    </xf>
    <xf numFmtId="0" fontId="9" fillId="0" borderId="1" xfId="0" applyFont="1" applyBorder="1" applyAlignment="1" applyProtection="1">
      <alignment horizontal="left"/>
      <protection hidden="1"/>
    </xf>
    <xf numFmtId="197" fontId="2" fillId="0" borderId="0" xfId="106" applyNumberFormat="1" applyFont="1" applyAlignment="1">
      <alignment horizontal="right"/>
    </xf>
    <xf numFmtId="197" fontId="2" fillId="0" borderId="2" xfId="106" applyNumberFormat="1" applyFont="1" applyBorder="1"/>
    <xf numFmtId="0" fontId="276" fillId="0" borderId="0" xfId="0" applyFont="1"/>
    <xf numFmtId="0" fontId="14" fillId="0" borderId="0" xfId="0" applyFont="1" applyAlignment="1">
      <alignment vertical="top" wrapText="1"/>
    </xf>
    <xf numFmtId="0" fontId="2" fillId="53" borderId="0" xfId="0" applyFont="1" applyFill="1" applyAlignment="1">
      <alignment wrapText="1"/>
    </xf>
    <xf numFmtId="0" fontId="4" fillId="0" borderId="23" xfId="0" applyFont="1" applyBorder="1" applyAlignment="1">
      <alignment horizontal="left" vertical="top"/>
    </xf>
    <xf numFmtId="0" fontId="2" fillId="0" borderId="0" xfId="88" applyFont="1" applyProtection="1">
      <protection hidden="1"/>
    </xf>
    <xf numFmtId="0" fontId="7" fillId="0" borderId="0" xfId="110" applyFont="1" applyProtection="1">
      <protection locked="0"/>
    </xf>
    <xf numFmtId="0" fontId="7" fillId="0" borderId="0" xfId="108" applyFont="1" applyProtection="1">
      <protection locked="0"/>
    </xf>
    <xf numFmtId="0" fontId="2" fillId="0" borderId="1" xfId="108" applyFont="1" applyBorder="1" applyProtection="1">
      <protection locked="0"/>
    </xf>
    <xf numFmtId="0" fontId="4" fillId="0" borderId="0" xfId="114" applyFont="1"/>
    <xf numFmtId="0" fontId="15" fillId="58" borderId="0" xfId="0" quotePrefix="1" applyFont="1" applyFill="1"/>
    <xf numFmtId="0" fontId="2" fillId="0" borderId="0" xfId="136" applyFont="1" applyProtection="1">
      <protection locked="0"/>
    </xf>
    <xf numFmtId="0" fontId="4" fillId="0" borderId="29" xfId="136" applyFont="1" applyBorder="1" applyAlignment="1">
      <alignment horizontal="center"/>
    </xf>
    <xf numFmtId="0" fontId="4" fillId="0" borderId="30" xfId="136" applyFont="1" applyBorder="1" applyAlignment="1">
      <alignment horizontal="center"/>
    </xf>
    <xf numFmtId="0" fontId="4" fillId="0" borderId="31" xfId="136" applyFont="1" applyBorder="1" applyAlignment="1">
      <alignment horizontal="center"/>
    </xf>
    <xf numFmtId="0" fontId="4" fillId="0" borderId="32" xfId="136" applyFont="1" applyBorder="1" applyAlignment="1">
      <alignment horizontal="center"/>
    </xf>
    <xf numFmtId="0" fontId="2" fillId="0" borderId="48" xfId="136" applyFont="1" applyBorder="1" applyAlignment="1" applyProtection="1">
      <alignment horizontal="center"/>
      <protection locked="0"/>
    </xf>
    <xf numFmtId="0" fontId="2" fillId="0" borderId="30" xfId="136" applyFont="1" applyBorder="1"/>
    <xf numFmtId="0" fontId="2" fillId="0" borderId="49" xfId="136" applyFont="1" applyBorder="1" applyProtection="1">
      <protection locked="0"/>
    </xf>
    <xf numFmtId="49" fontId="2" fillId="0" borderId="49" xfId="139" quotePrefix="1" applyNumberFormat="1" applyFont="1" applyBorder="1" applyAlignment="1" applyProtection="1">
      <alignment horizontal="center"/>
      <protection locked="0"/>
    </xf>
    <xf numFmtId="0" fontId="2" fillId="0" borderId="0" xfId="0" quotePrefix="1" applyFont="1" applyAlignment="1">
      <alignment horizontal="left" indent="1"/>
    </xf>
    <xf numFmtId="0" fontId="9" fillId="0" borderId="0" xfId="119" applyFont="1" applyProtection="1">
      <protection locked="0"/>
    </xf>
    <xf numFmtId="0" fontId="120" fillId="54" borderId="0" xfId="0" applyFont="1" applyFill="1"/>
    <xf numFmtId="0" fontId="0" fillId="54" borderId="0" xfId="0" applyFill="1"/>
    <xf numFmtId="0" fontId="205" fillId="0" borderId="15" xfId="0" applyFont="1" applyBorder="1" applyAlignment="1">
      <alignment horizontal="center"/>
    </xf>
    <xf numFmtId="0" fontId="10" fillId="0" borderId="0" xfId="0" applyFont="1" applyAlignment="1" applyProtection="1">
      <alignment horizontal="left" indent="2"/>
      <protection hidden="1"/>
    </xf>
    <xf numFmtId="0" fontId="2" fillId="58" borderId="0" xfId="0" applyFont="1" applyFill="1"/>
    <xf numFmtId="0" fontId="0" fillId="58" borderId="0" xfId="0" applyFill="1" applyAlignment="1">
      <alignment horizontal="center"/>
    </xf>
    <xf numFmtId="0" fontId="15" fillId="58" borderId="0" xfId="0" applyFont="1" applyFill="1"/>
    <xf numFmtId="49" fontId="29" fillId="52" borderId="1" xfId="139" quotePrefix="1" applyNumberFormat="1" applyFont="1" applyFill="1" applyBorder="1" applyAlignment="1">
      <alignment horizontal="center"/>
    </xf>
    <xf numFmtId="0" fontId="29" fillId="0" borderId="0" xfId="139" applyFont="1" applyAlignment="1">
      <alignment horizontal="center"/>
    </xf>
    <xf numFmtId="0" fontId="29" fillId="52" borderId="1" xfId="139" applyFont="1" applyFill="1" applyBorder="1" applyAlignment="1">
      <alignment horizontal="center"/>
    </xf>
    <xf numFmtId="176" fontId="29" fillId="52" borderId="1" xfId="139" applyNumberFormat="1" applyFont="1" applyFill="1" applyBorder="1"/>
    <xf numFmtId="0" fontId="29" fillId="0" borderId="0" xfId="139" applyFont="1"/>
    <xf numFmtId="49" fontId="29" fillId="52" borderId="1" xfId="139" applyNumberFormat="1" applyFont="1" applyFill="1" applyBorder="1" applyAlignment="1">
      <alignment horizontal="center"/>
    </xf>
    <xf numFmtId="0" fontId="100" fillId="0" borderId="0" xfId="107" applyFont="1" applyAlignment="1">
      <alignment vertical="top"/>
    </xf>
    <xf numFmtId="0" fontId="2" fillId="0" borderId="0" xfId="108" applyFont="1"/>
    <xf numFmtId="0" fontId="277" fillId="0" borderId="0" xfId="139" applyFont="1"/>
    <xf numFmtId="49" fontId="29" fillId="52" borderId="1" xfId="139" quotePrefix="1" applyNumberFormat="1" applyFont="1" applyFill="1" applyBorder="1" applyAlignment="1" applyProtection="1">
      <alignment horizontal="center"/>
      <protection hidden="1"/>
    </xf>
    <xf numFmtId="0" fontId="29" fillId="0" borderId="0" xfId="139" applyFont="1" applyAlignment="1" applyProtection="1">
      <alignment horizontal="center"/>
      <protection hidden="1"/>
    </xf>
    <xf numFmtId="0" fontId="29" fillId="52" borderId="1" xfId="139" applyFont="1" applyFill="1" applyBorder="1" applyAlignment="1" applyProtection="1">
      <alignment horizontal="center"/>
      <protection hidden="1"/>
    </xf>
    <xf numFmtId="0" fontId="39" fillId="0" borderId="0" xfId="139" applyFont="1" applyAlignment="1" applyProtection="1">
      <alignment horizontal="center"/>
      <protection hidden="1"/>
    </xf>
    <xf numFmtId="176" fontId="29" fillId="52" borderId="1" xfId="139" applyNumberFormat="1" applyFont="1" applyFill="1" applyBorder="1" applyProtection="1">
      <protection hidden="1"/>
    </xf>
    <xf numFmtId="0" fontId="29" fillId="0" borderId="0" xfId="139" applyFont="1" applyProtection="1">
      <protection hidden="1"/>
    </xf>
    <xf numFmtId="49" fontId="29" fillId="52" borderId="1" xfId="139" applyNumberFormat="1" applyFont="1" applyFill="1" applyBorder="1" applyAlignment="1" applyProtection="1">
      <alignment horizontal="center"/>
      <protection hidden="1"/>
    </xf>
    <xf numFmtId="0" fontId="277" fillId="0" borderId="0" xfId="139" applyFont="1" applyProtection="1">
      <protection hidden="1"/>
    </xf>
    <xf numFmtId="49" fontId="2" fillId="0" borderId="1" xfId="139" applyNumberFormat="1" applyFont="1" applyBorder="1" applyProtection="1">
      <protection locked="0"/>
    </xf>
    <xf numFmtId="0" fontId="2" fillId="0" borderId="0" xfId="73"/>
    <xf numFmtId="14" fontId="246" fillId="0" borderId="27" xfId="0" applyNumberFormat="1" applyFont="1" applyBorder="1" applyAlignment="1">
      <alignment horizontal="center"/>
    </xf>
    <xf numFmtId="0" fontId="246" fillId="0" borderId="0" xfId="0" applyFont="1"/>
    <xf numFmtId="0" fontId="246" fillId="0" borderId="0" xfId="0" applyFont="1" applyAlignment="1">
      <alignment horizontal="center" wrapText="1"/>
    </xf>
    <xf numFmtId="49" fontId="246" fillId="0" borderId="0" xfId="0" applyNumberFormat="1" applyFont="1" applyAlignment="1">
      <alignment horizontal="left" wrapText="1"/>
    </xf>
    <xf numFmtId="14" fontId="246" fillId="0" borderId="0" xfId="0" applyNumberFormat="1" applyFont="1" applyAlignment="1">
      <alignment horizontal="center"/>
    </xf>
    <xf numFmtId="49" fontId="246" fillId="0" borderId="0" xfId="0" applyNumberFormat="1" applyFont="1" applyAlignment="1">
      <alignment horizontal="center"/>
    </xf>
    <xf numFmtId="0" fontId="246" fillId="0" borderId="0" xfId="0" applyFont="1" applyAlignment="1">
      <alignment wrapText="1"/>
    </xf>
    <xf numFmtId="1" fontId="4" fillId="59" borderId="0" xfId="0" applyNumberFormat="1" applyFont="1" applyFill="1" applyAlignment="1">
      <alignment horizontal="center"/>
    </xf>
    <xf numFmtId="180" fontId="4" fillId="59" borderId="0" xfId="0" applyNumberFormat="1" applyFont="1" applyFill="1" applyAlignment="1">
      <alignment horizontal="center"/>
    </xf>
    <xf numFmtId="1" fontId="5" fillId="59" borderId="0" xfId="0" applyNumberFormat="1" applyFont="1" applyFill="1" applyAlignment="1">
      <alignment horizontal="center"/>
    </xf>
    <xf numFmtId="180" fontId="115" fillId="0" borderId="0" xfId="0" applyNumberFormat="1" applyFont="1"/>
    <xf numFmtId="164" fontId="2" fillId="0" borderId="0" xfId="99" applyNumberFormat="1" applyAlignment="1">
      <alignment horizontal="center"/>
    </xf>
    <xf numFmtId="164" fontId="2" fillId="0" borderId="0" xfId="99" applyNumberFormat="1" applyAlignment="1">
      <alignment horizontal="centerContinuous"/>
    </xf>
    <xf numFmtId="168" fontId="2" fillId="0" borderId="0" xfId="82" applyFont="1" applyAlignment="1">
      <alignment shrinkToFit="1"/>
      <protection locked="0"/>
    </xf>
    <xf numFmtId="0" fontId="2" fillId="0" borderId="27" xfId="115" applyFont="1" applyBorder="1" applyAlignment="1">
      <alignment horizontal="centerContinuous"/>
    </xf>
    <xf numFmtId="0" fontId="44" fillId="0" borderId="0" xfId="115" applyFont="1"/>
    <xf numFmtId="0" fontId="2" fillId="0" borderId="0" xfId="115" applyFont="1" applyAlignment="1">
      <alignment horizontal="right"/>
    </xf>
    <xf numFmtId="0" fontId="2" fillId="0" borderId="1" xfId="115" applyFont="1" applyBorder="1" applyProtection="1">
      <protection locked="0"/>
    </xf>
    <xf numFmtId="0" fontId="2" fillId="0" borderId="8" xfId="115" applyFont="1" applyBorder="1"/>
    <xf numFmtId="0" fontId="2" fillId="0" borderId="0" xfId="115" applyFont="1" applyAlignment="1">
      <alignment horizontal="left"/>
    </xf>
    <xf numFmtId="0" fontId="4" fillId="0" borderId="0" xfId="99" applyFont="1" applyAlignment="1">
      <alignment horizontal="center"/>
    </xf>
    <xf numFmtId="0" fontId="2" fillId="0" borderId="0" xfId="99" applyAlignment="1">
      <alignment horizontal="right"/>
    </xf>
    <xf numFmtId="0" fontId="5" fillId="0" borderId="0" xfId="115" applyFont="1" applyAlignment="1">
      <alignment horizontal="center"/>
    </xf>
    <xf numFmtId="0" fontId="2" fillId="0" borderId="0" xfId="99" applyAlignment="1">
      <alignment horizontal="center"/>
    </xf>
    <xf numFmtId="0" fontId="2" fillId="0" borderId="1" xfId="115" applyFont="1" applyBorder="1" applyAlignment="1" applyProtection="1">
      <alignment horizontal="left"/>
      <protection locked="0"/>
    </xf>
    <xf numFmtId="0" fontId="2" fillId="0" borderId="1" xfId="99" applyBorder="1" applyAlignment="1" applyProtection="1">
      <alignment horizontal="right"/>
      <protection locked="0"/>
    </xf>
    <xf numFmtId="0" fontId="2" fillId="0" borderId="1" xfId="99" applyBorder="1" applyAlignment="1" applyProtection="1">
      <alignment horizontal="center"/>
      <protection locked="0"/>
    </xf>
    <xf numFmtId="0" fontId="2" fillId="0" borderId="1" xfId="99" applyBorder="1" applyProtection="1">
      <protection locked="0"/>
    </xf>
    <xf numFmtId="189" fontId="4" fillId="0" borderId="0" xfId="115" applyNumberFormat="1" applyFont="1" applyAlignment="1">
      <alignment horizontal="center"/>
    </xf>
    <xf numFmtId="189" fontId="5" fillId="0" borderId="0" xfId="115" applyNumberFormat="1" applyFont="1" applyAlignment="1">
      <alignment horizontal="center"/>
    </xf>
    <xf numFmtId="0" fontId="5" fillId="0" borderId="0" xfId="99" applyFont="1" applyAlignment="1">
      <alignment horizontal="center"/>
    </xf>
    <xf numFmtId="39" fontId="2" fillId="0" borderId="0" xfId="115" applyNumberFormat="1" applyFont="1"/>
    <xf numFmtId="39" fontId="2" fillId="0" borderId="1" xfId="115" applyNumberFormat="1" applyFont="1" applyBorder="1" applyProtection="1">
      <protection locked="0"/>
    </xf>
    <xf numFmtId="39" fontId="2" fillId="0" borderId="1" xfId="99" applyNumberFormat="1" applyBorder="1" applyAlignment="1" applyProtection="1">
      <alignment horizontal="center"/>
      <protection locked="0"/>
    </xf>
    <xf numFmtId="39" fontId="2" fillId="0" borderId="0" xfId="99" applyNumberFormat="1"/>
    <xf numFmtId="39" fontId="2" fillId="0" borderId="0" xfId="115" applyNumberFormat="1" applyFont="1" applyProtection="1">
      <protection locked="0"/>
    </xf>
    <xf numFmtId="39" fontId="2" fillId="0" borderId="0" xfId="99" applyNumberFormat="1" applyAlignment="1" applyProtection="1">
      <alignment horizontal="center"/>
      <protection locked="0"/>
    </xf>
    <xf numFmtId="0" fontId="2" fillId="0" borderId="0" xfId="115" applyFont="1" applyProtection="1">
      <protection locked="0"/>
    </xf>
    <xf numFmtId="39" fontId="5" fillId="0" borderId="0" xfId="115" applyNumberFormat="1" applyFont="1" applyAlignment="1" applyProtection="1">
      <alignment horizontal="center"/>
      <protection locked="0"/>
    </xf>
    <xf numFmtId="39" fontId="2" fillId="0" borderId="1" xfId="115" applyNumberFormat="1" applyFont="1" applyBorder="1"/>
    <xf numFmtId="39" fontId="2" fillId="0" borderId="1" xfId="99" applyNumberFormat="1" applyBorder="1"/>
    <xf numFmtId="0" fontId="4" fillId="5" borderId="0" xfId="115" applyFont="1" applyFill="1" applyAlignment="1">
      <alignment horizontal="center"/>
    </xf>
    <xf numFmtId="0" fontId="4" fillId="0" borderId="1" xfId="115" applyFont="1" applyBorder="1" applyAlignment="1" applyProtection="1">
      <alignment horizontal="center"/>
      <protection locked="0"/>
    </xf>
    <xf numFmtId="0" fontId="2" fillId="0" borderId="0" xfId="115" applyFont="1" applyAlignment="1">
      <alignment horizontal="center"/>
    </xf>
    <xf numFmtId="0" fontId="2" fillId="0" borderId="0" xfId="99" applyAlignment="1" applyProtection="1">
      <alignment horizontal="center"/>
      <protection locked="0"/>
    </xf>
    <xf numFmtId="39" fontId="2" fillId="0" borderId="0" xfId="99" applyNumberFormat="1" applyAlignment="1">
      <alignment horizontal="center"/>
    </xf>
    <xf numFmtId="0" fontId="278" fillId="0" borderId="15" xfId="57" applyFont="1" applyBorder="1" applyAlignment="1" applyProtection="1">
      <alignment horizontal="center"/>
    </xf>
    <xf numFmtId="164" fontId="116" fillId="0" borderId="0" xfId="57" applyNumberFormat="1" applyFont="1" applyAlignment="1" applyProtection="1">
      <alignment horizontal="centerContinuous"/>
    </xf>
    <xf numFmtId="0" fontId="8" fillId="0" borderId="0" xfId="115" applyAlignment="1">
      <alignment horizontal="centerContinuous"/>
    </xf>
    <xf numFmtId="164" fontId="4" fillId="0" borderId="0" xfId="96" applyNumberFormat="1" applyFont="1" applyAlignment="1">
      <alignment horizontal="centerContinuous"/>
    </xf>
    <xf numFmtId="0" fontId="2" fillId="0" borderId="0" xfId="99" applyAlignment="1">
      <alignment horizontal="centerContinuous"/>
    </xf>
    <xf numFmtId="164" fontId="4" fillId="0" borderId="2" xfId="99" applyNumberFormat="1" applyFont="1" applyBorder="1" applyAlignment="1">
      <alignment horizontal="centerContinuous"/>
    </xf>
    <xf numFmtId="0" fontId="8" fillId="0" borderId="1" xfId="115" applyBorder="1"/>
    <xf numFmtId="0" fontId="280" fillId="0" borderId="0" xfId="0" applyFont="1" applyAlignment="1">
      <alignment horizontal="center"/>
    </xf>
    <xf numFmtId="0" fontId="279" fillId="0" borderId="0" xfId="0" applyFont="1" applyAlignment="1">
      <alignment horizontal="center"/>
    </xf>
    <xf numFmtId="0" fontId="279" fillId="0" borderId="0" xfId="0" applyFont="1"/>
    <xf numFmtId="0" fontId="2" fillId="0" borderId="0" xfId="115" applyFont="1" applyAlignment="1" applyProtection="1">
      <alignment horizontal="left"/>
      <protection locked="0"/>
    </xf>
    <xf numFmtId="4" fontId="2" fillId="0" borderId="0" xfId="115" applyNumberFormat="1" applyFont="1" applyAlignment="1" applyProtection="1">
      <alignment horizontal="center"/>
      <protection locked="0"/>
    </xf>
    <xf numFmtId="0" fontId="268" fillId="0" borderId="0" xfId="0" applyFont="1"/>
    <xf numFmtId="0" fontId="281" fillId="0" borderId="0" xfId="0" applyFont="1"/>
    <xf numFmtId="0" fontId="69" fillId="0" borderId="0" xfId="115" applyFont="1" applyAlignment="1">
      <alignment horizontal="centerContinuous"/>
    </xf>
    <xf numFmtId="0" fontId="2" fillId="0" borderId="0" xfId="115" applyFont="1" applyAlignment="1">
      <alignment horizontal="centerContinuous"/>
    </xf>
    <xf numFmtId="0" fontId="5" fillId="0" borderId="0" xfId="115" applyFont="1"/>
    <xf numFmtId="0" fontId="62" fillId="0" borderId="0" xfId="115" applyFont="1"/>
    <xf numFmtId="0" fontId="282" fillId="0" borderId="0" xfId="115" applyFont="1"/>
    <xf numFmtId="0" fontId="76" fillId="0" borderId="0" xfId="115" applyFont="1"/>
    <xf numFmtId="0" fontId="5" fillId="0" borderId="0" xfId="115" applyFont="1" applyProtection="1">
      <protection locked="0"/>
    </xf>
    <xf numFmtId="0" fontId="69" fillId="0" borderId="0" xfId="115" applyFont="1" applyProtection="1">
      <protection locked="0"/>
    </xf>
    <xf numFmtId="0" fontId="110" fillId="0" borderId="0" xfId="69" applyFont="1" applyAlignment="1">
      <alignment horizontal="right"/>
    </xf>
    <xf numFmtId="176" fontId="7" fillId="5" borderId="5" xfId="91" applyNumberFormat="1" applyFont="1" applyFill="1" applyBorder="1"/>
    <xf numFmtId="0" fontId="247" fillId="0" borderId="11" xfId="69" applyBorder="1"/>
    <xf numFmtId="0" fontId="67" fillId="0" borderId="0" xfId="91" applyFont="1" applyAlignment="1">
      <alignment horizontal="left"/>
    </xf>
    <xf numFmtId="0" fontId="4" fillId="0" borderId="0" xfId="91" applyFont="1" applyAlignment="1">
      <alignment horizontal="left"/>
    </xf>
    <xf numFmtId="0" fontId="4" fillId="0" borderId="0" xfId="90" applyFont="1" applyAlignment="1">
      <alignment horizontal="left"/>
    </xf>
    <xf numFmtId="0" fontId="3" fillId="0" borderId="0" xfId="90" applyFont="1"/>
    <xf numFmtId="0" fontId="2" fillId="0" borderId="0" xfId="90" applyFont="1" applyAlignment="1">
      <alignment horizontal="left"/>
    </xf>
    <xf numFmtId="49" fontId="10" fillId="0" borderId="0" xfId="0" applyNumberFormat="1" applyFont="1" applyAlignment="1" applyProtection="1">
      <alignment horizontal="center"/>
      <protection hidden="1"/>
    </xf>
    <xf numFmtId="0" fontId="2" fillId="10" borderId="0" xfId="0" applyFont="1" applyFill="1" applyAlignment="1">
      <alignment horizontal="center"/>
    </xf>
    <xf numFmtId="0" fontId="2" fillId="0" borderId="16" xfId="104" applyFont="1" applyBorder="1" applyAlignment="1">
      <alignment horizontal="centerContinuous"/>
    </xf>
    <xf numFmtId="0" fontId="2" fillId="0" borderId="0" xfId="104" applyFont="1" applyAlignment="1">
      <alignment horizontal="centerContinuous"/>
    </xf>
    <xf numFmtId="0" fontId="2" fillId="0" borderId="0" xfId="104" applyFont="1"/>
    <xf numFmtId="0" fontId="2" fillId="52" borderId="49" xfId="136" quotePrefix="1" applyFont="1" applyFill="1" applyBorder="1" applyAlignment="1">
      <alignment horizontal="center"/>
    </xf>
    <xf numFmtId="0" fontId="2" fillId="52" borderId="48" xfId="136" applyFont="1" applyFill="1" applyBorder="1" applyAlignment="1">
      <alignment horizontal="center"/>
    </xf>
    <xf numFmtId="0" fontId="2" fillId="52" borderId="49" xfId="136" applyFont="1" applyFill="1" applyBorder="1"/>
    <xf numFmtId="176" fontId="2" fillId="52" borderId="1" xfId="136" applyNumberFormat="1" applyFont="1" applyFill="1" applyBorder="1"/>
    <xf numFmtId="0" fontId="2" fillId="52" borderId="1" xfId="136" applyFont="1" applyFill="1" applyBorder="1"/>
    <xf numFmtId="0" fontId="2" fillId="52" borderId="0" xfId="136" applyFont="1" applyFill="1"/>
    <xf numFmtId="0" fontId="2" fillId="52" borderId="22" xfId="136" applyFont="1" applyFill="1" applyBorder="1" applyAlignment="1">
      <alignment horizontal="center"/>
    </xf>
    <xf numFmtId="0" fontId="2" fillId="52" borderId="0" xfId="136" applyFont="1" applyFill="1" applyAlignment="1">
      <alignment horizontal="center"/>
    </xf>
    <xf numFmtId="0" fontId="58" fillId="0" borderId="31" xfId="136" applyFont="1" applyBorder="1"/>
    <xf numFmtId="0" fontId="58" fillId="0" borderId="2" xfId="136" applyFont="1" applyBorder="1"/>
    <xf numFmtId="0" fontId="8" fillId="0" borderId="32" xfId="136" applyBorder="1"/>
    <xf numFmtId="0" fontId="8" fillId="0" borderId="31" xfId="136" applyBorder="1"/>
    <xf numFmtId="0" fontId="8" fillId="0" borderId="2" xfId="136" applyBorder="1"/>
    <xf numFmtId="0" fontId="283" fillId="0" borderId="0" xfId="136" applyFont="1"/>
    <xf numFmtId="3" fontId="7" fillId="0" borderId="1" xfId="0" applyNumberFormat="1" applyFont="1" applyBorder="1" applyProtection="1">
      <protection locked="0"/>
    </xf>
    <xf numFmtId="43" fontId="2" fillId="0" borderId="0" xfId="29"/>
    <xf numFmtId="0" fontId="15" fillId="8" borderId="0" xfId="0" applyFont="1" applyFill="1" applyAlignment="1">
      <alignment horizontal="right"/>
    </xf>
    <xf numFmtId="0" fontId="11" fillId="0" borderId="0" xfId="99" applyFont="1" applyAlignment="1">
      <alignment horizontal="center"/>
    </xf>
    <xf numFmtId="0" fontId="58" fillId="0" borderId="1" xfId="115" applyFont="1" applyBorder="1" applyAlignment="1" applyProtection="1">
      <alignment horizontal="center"/>
      <protection locked="0"/>
    </xf>
    <xf numFmtId="0" fontId="58" fillId="0" borderId="4" xfId="115" applyFont="1" applyBorder="1" applyAlignment="1" applyProtection="1">
      <alignment horizontal="center"/>
      <protection locked="0"/>
    </xf>
    <xf numFmtId="0" fontId="12" fillId="0" borderId="0" xfId="69" applyFont="1" applyProtection="1">
      <protection locked="0"/>
    </xf>
    <xf numFmtId="170" fontId="2" fillId="0" borderId="1" xfId="69" applyNumberFormat="1" applyFont="1" applyBorder="1" applyProtection="1">
      <protection locked="0"/>
    </xf>
    <xf numFmtId="0" fontId="2" fillId="0" borderId="1" xfId="136" applyFont="1" applyBorder="1" applyAlignment="1" applyProtection="1">
      <alignment horizontal="center"/>
      <protection locked="0"/>
    </xf>
    <xf numFmtId="0" fontId="2" fillId="0" borderId="0" xfId="136" applyFont="1" applyAlignment="1" applyProtection="1">
      <alignment horizontal="center"/>
      <protection locked="0"/>
    </xf>
    <xf numFmtId="0" fontId="2" fillId="0" borderId="4" xfId="136" applyFont="1" applyBorder="1" applyAlignment="1" applyProtection="1">
      <alignment horizontal="center"/>
      <protection locked="0"/>
    </xf>
    <xf numFmtId="0" fontId="279" fillId="0" borderId="1" xfId="0" applyFont="1" applyBorder="1" applyProtection="1">
      <protection locked="0"/>
    </xf>
    <xf numFmtId="0" fontId="2" fillId="0" borderId="0" xfId="0" applyFont="1" applyAlignment="1">
      <alignment horizontal="left" indent="2"/>
    </xf>
    <xf numFmtId="0" fontId="279" fillId="0" borderId="0" xfId="0" applyFont="1" applyProtection="1">
      <protection locked="0"/>
    </xf>
    <xf numFmtId="0" fontId="15" fillId="58" borderId="0" xfId="95" applyFont="1" applyFill="1"/>
    <xf numFmtId="0" fontId="15" fillId="58" borderId="2" xfId="95" applyFont="1" applyFill="1" applyBorder="1"/>
    <xf numFmtId="0" fontId="2" fillId="58" borderId="2" xfId="95" applyFont="1" applyFill="1" applyBorder="1" applyAlignment="1">
      <alignment horizontal="right"/>
    </xf>
    <xf numFmtId="0" fontId="15" fillId="58" borderId="2" xfId="95" applyFont="1" applyFill="1" applyBorder="1" applyAlignment="1">
      <alignment horizontal="center" shrinkToFit="1"/>
    </xf>
    <xf numFmtId="0" fontId="279" fillId="58" borderId="0" xfId="0" applyFont="1" applyFill="1"/>
    <xf numFmtId="0" fontId="281" fillId="58" borderId="0" xfId="0" applyFont="1" applyFill="1"/>
    <xf numFmtId="0" fontId="0" fillId="58" borderId="0" xfId="0" applyFill="1"/>
    <xf numFmtId="0" fontId="2" fillId="0" borderId="0" xfId="92" applyFont="1" applyProtection="1">
      <protection locked="0"/>
    </xf>
    <xf numFmtId="39" fontId="2" fillId="0" borderId="0" xfId="92" applyNumberFormat="1" applyFont="1" applyAlignment="1" applyProtection="1">
      <alignment vertical="top" wrapText="1"/>
      <protection locked="0"/>
    </xf>
    <xf numFmtId="176" fontId="7" fillId="0" borderId="0" xfId="92" applyNumberFormat="1" applyFont="1" applyProtection="1">
      <protection locked="0"/>
    </xf>
    <xf numFmtId="0" fontId="7" fillId="0" borderId="0" xfId="92" applyFont="1" applyAlignment="1">
      <alignment horizontal="center" vertical="top" shrinkToFit="1"/>
    </xf>
    <xf numFmtId="43" fontId="2" fillId="0" borderId="0" xfId="29" applyFont="1"/>
    <xf numFmtId="43" fontId="2" fillId="0" borderId="0" xfId="0" applyNumberFormat="1" applyFont="1"/>
    <xf numFmtId="180" fontId="2" fillId="8" borderId="0" xfId="75" applyNumberFormat="1" applyFill="1"/>
    <xf numFmtId="0" fontId="2" fillId="14" borderId="0" xfId="0" applyFont="1" applyFill="1"/>
    <xf numFmtId="43" fontId="2" fillId="61" borderId="0" xfId="0" applyNumberFormat="1" applyFont="1" applyFill="1"/>
    <xf numFmtId="180" fontId="2" fillId="61" borderId="0" xfId="0" applyNumberFormat="1" applyFont="1" applyFill="1"/>
    <xf numFmtId="180" fontId="2" fillId="61" borderId="0" xfId="75" applyNumberFormat="1" applyFill="1"/>
    <xf numFmtId="180" fontId="284" fillId="0" borderId="0" xfId="0" applyNumberFormat="1" applyFont="1" applyAlignment="1">
      <alignment horizontal="center"/>
    </xf>
    <xf numFmtId="180" fontId="2" fillId="52" borderId="0" xfId="75" applyNumberFormat="1" applyFill="1"/>
    <xf numFmtId="180" fontId="0" fillId="61" borderId="0" xfId="0" applyNumberFormat="1" applyFill="1"/>
    <xf numFmtId="43" fontId="0" fillId="61" borderId="0" xfId="29" applyFont="1" applyFill="1"/>
    <xf numFmtId="43" fontId="2" fillId="52" borderId="0" xfId="0" applyNumberFormat="1" applyFont="1" applyFill="1"/>
    <xf numFmtId="0" fontId="2" fillId="0" borderId="8" xfId="0" applyFont="1" applyBorder="1" applyProtection="1">
      <protection locked="0"/>
    </xf>
    <xf numFmtId="176" fontId="2" fillId="0" borderId="18" xfId="81" applyNumberFormat="1" applyFont="1" applyBorder="1"/>
    <xf numFmtId="0" fontId="0" fillId="62" borderId="0" xfId="0" applyFill="1"/>
    <xf numFmtId="0" fontId="15" fillId="61" borderId="0" xfId="0" applyFont="1" applyFill="1"/>
    <xf numFmtId="0" fontId="285" fillId="0" borderId="0" xfId="0" applyFont="1"/>
    <xf numFmtId="0" fontId="286" fillId="0" borderId="0" xfId="0" applyFont="1"/>
    <xf numFmtId="0" fontId="265" fillId="0" borderId="0" xfId="114" applyFont="1"/>
    <xf numFmtId="0" fontId="12" fillId="0" borderId="0" xfId="69" applyFont="1" applyAlignment="1">
      <alignment horizontal="left" indent="1"/>
    </xf>
    <xf numFmtId="0" fontId="2" fillId="0" borderId="11" xfId="0" applyFont="1" applyBorder="1" applyAlignment="1">
      <alignment vertical="top" wrapText="1"/>
    </xf>
    <xf numFmtId="189" fontId="2" fillId="0" borderId="0" xfId="81" applyNumberFormat="1" applyFont="1" applyAlignment="1">
      <alignment horizontal="center"/>
    </xf>
    <xf numFmtId="16" fontId="2" fillId="0" borderId="0" xfId="81" applyNumberFormat="1" applyFont="1" applyAlignment="1">
      <alignment horizontal="center"/>
    </xf>
    <xf numFmtId="0" fontId="2" fillId="0" borderId="2" xfId="81" applyFont="1" applyBorder="1" applyAlignment="1">
      <alignment horizontal="center"/>
    </xf>
    <xf numFmtId="0" fontId="2" fillId="0" borderId="1" xfId="81" applyFont="1" applyBorder="1"/>
    <xf numFmtId="0" fontId="2" fillId="0" borderId="4" xfId="81" applyFont="1" applyBorder="1"/>
    <xf numFmtId="16" fontId="2" fillId="0" borderId="0" xfId="81" applyNumberFormat="1" applyFont="1"/>
    <xf numFmtId="189" fontId="2" fillId="0" borderId="0" xfId="81" applyNumberFormat="1" applyFont="1"/>
    <xf numFmtId="176" fontId="2" fillId="0" borderId="0" xfId="81" applyNumberFormat="1" applyFont="1" applyAlignment="1" applyProtection="1">
      <alignment horizontal="center"/>
      <protection locked="0"/>
    </xf>
    <xf numFmtId="0" fontId="2" fillId="0" borderId="4" xfId="81" applyFont="1" applyBorder="1" applyAlignment="1" applyProtection="1">
      <alignment horizontal="center"/>
      <protection locked="0"/>
    </xf>
    <xf numFmtId="0" fontId="63" fillId="0" borderId="0" xfId="115" applyFont="1" applyAlignment="1">
      <alignment vertical="center"/>
    </xf>
    <xf numFmtId="39" fontId="2" fillId="0" borderId="0" xfId="81" applyNumberFormat="1" applyFont="1"/>
    <xf numFmtId="0" fontId="4" fillId="0" borderId="0" xfId="91" applyFont="1" applyAlignment="1">
      <alignment horizontal="right"/>
    </xf>
    <xf numFmtId="0" fontId="49" fillId="0" borderId="0" xfId="57" applyFill="1" applyAlignment="1" applyProtection="1">
      <alignment horizontal="left"/>
      <protection hidden="1"/>
    </xf>
    <xf numFmtId="0" fontId="10" fillId="58" borderId="0" xfId="0" applyFont="1" applyFill="1" applyAlignment="1" applyProtection="1">
      <alignment horizontal="left"/>
      <protection hidden="1"/>
    </xf>
    <xf numFmtId="0" fontId="224" fillId="0" borderId="0" xfId="81" applyFont="1"/>
    <xf numFmtId="0" fontId="224" fillId="0" borderId="0" xfId="81" applyFont="1" applyAlignment="1">
      <alignment horizontal="center"/>
    </xf>
    <xf numFmtId="176" fontId="2" fillId="0" borderId="1" xfId="94" applyNumberFormat="1" applyFont="1" applyBorder="1" applyProtection="1">
      <protection locked="0"/>
    </xf>
    <xf numFmtId="49" fontId="12" fillId="0" borderId="4" xfId="106" applyNumberFormat="1" applyFont="1" applyBorder="1" applyAlignment="1" applyProtection="1">
      <alignment horizontal="center"/>
      <protection locked="0"/>
    </xf>
    <xf numFmtId="49" fontId="12" fillId="0" borderId="1" xfId="106" applyNumberFormat="1" applyFont="1" applyBorder="1" applyAlignment="1" applyProtection="1">
      <alignment horizontal="center"/>
      <protection locked="0"/>
    </xf>
    <xf numFmtId="0" fontId="15" fillId="54" borderId="0" xfId="0" applyFont="1" applyFill="1"/>
    <xf numFmtId="0" fontId="246" fillId="0" borderId="0" xfId="0" applyFont="1" applyAlignment="1">
      <alignment horizontal="left" vertical="center"/>
    </xf>
    <xf numFmtId="49" fontId="246" fillId="0" borderId="0" xfId="0" applyNumberFormat="1" applyFont="1" applyAlignment="1">
      <alignment horizontal="left" vertical="center" wrapText="1"/>
    </xf>
    <xf numFmtId="0" fontId="0" fillId="0" borderId="0" xfId="0" applyAlignment="1" applyProtection="1">
      <alignment horizontal="left" vertical="center"/>
      <protection locked="0"/>
    </xf>
    <xf numFmtId="164" fontId="2" fillId="0" borderId="0" xfId="69" applyNumberFormat="1" applyFont="1" applyAlignment="1">
      <alignment horizontal="center" shrinkToFit="1"/>
    </xf>
    <xf numFmtId="0" fontId="5" fillId="0" borderId="0" xfId="69" applyFont="1" applyAlignment="1">
      <alignment horizontal="center"/>
    </xf>
    <xf numFmtId="14" fontId="4" fillId="0" borderId="1" xfId="69" applyNumberFormat="1" applyFont="1" applyBorder="1" applyAlignment="1">
      <alignment horizontal="center"/>
    </xf>
    <xf numFmtId="191" fontId="2" fillId="0" borderId="1" xfId="81" applyNumberFormat="1" applyFont="1" applyBorder="1" applyAlignment="1" applyProtection="1">
      <alignment horizontal="center"/>
      <protection locked="0"/>
    </xf>
    <xf numFmtId="176" fontId="4" fillId="0" borderId="0" xfId="81" applyNumberFormat="1" applyFont="1" applyAlignment="1" applyProtection="1">
      <alignment horizontal="center"/>
      <protection locked="0"/>
    </xf>
    <xf numFmtId="1" fontId="2" fillId="0" borderId="1" xfId="81" applyNumberFormat="1" applyFont="1" applyBorder="1" applyAlignment="1" applyProtection="1">
      <alignment horizontal="center"/>
      <protection locked="0"/>
    </xf>
    <xf numFmtId="0" fontId="38" fillId="0" borderId="0" xfId="81" applyFont="1" applyAlignment="1" applyProtection="1">
      <alignment horizontal="left"/>
      <protection locked="0"/>
    </xf>
    <xf numFmtId="176" fontId="2" fillId="0" borderId="1" xfId="84" applyNumberFormat="1" applyFont="1" applyBorder="1" applyProtection="1">
      <protection locked="0"/>
    </xf>
    <xf numFmtId="176" fontId="2" fillId="0" borderId="0" xfId="84" applyNumberFormat="1" applyFont="1" applyProtection="1">
      <protection locked="0"/>
    </xf>
    <xf numFmtId="14" fontId="4" fillId="0" borderId="0" xfId="69" applyNumberFormat="1" applyFont="1" applyAlignment="1">
      <alignment horizontal="center"/>
    </xf>
    <xf numFmtId="191" fontId="38" fillId="0" borderId="0" xfId="81" applyNumberFormat="1" applyFont="1" applyAlignment="1" applyProtection="1">
      <alignment horizontal="left"/>
      <protection locked="0"/>
    </xf>
    <xf numFmtId="39" fontId="38" fillId="0" borderId="0" xfId="81" applyNumberFormat="1" applyFont="1" applyProtection="1">
      <protection locked="0"/>
    </xf>
    <xf numFmtId="0" fontId="38" fillId="0" borderId="0" xfId="81" applyFont="1" applyProtection="1">
      <protection locked="0"/>
    </xf>
    <xf numFmtId="176" fontId="48" fillId="0" borderId="0" xfId="81" applyNumberFormat="1" applyFont="1" applyProtection="1">
      <protection locked="0"/>
    </xf>
    <xf numFmtId="0" fontId="4" fillId="59" borderId="0" xfId="0" applyFont="1" applyFill="1" applyAlignment="1">
      <alignment horizontal="left"/>
    </xf>
    <xf numFmtId="164" fontId="2" fillId="0" borderId="1" xfId="69" applyNumberFormat="1" applyFont="1" applyBorder="1" applyAlignment="1">
      <alignment horizontal="center" shrinkToFit="1"/>
    </xf>
    <xf numFmtId="164" fontId="2" fillId="0" borderId="4" xfId="69" applyNumberFormat="1" applyFont="1" applyBorder="1" applyAlignment="1" applyProtection="1">
      <alignment horizontal="center" shrinkToFit="1"/>
      <protection locked="0"/>
    </xf>
    <xf numFmtId="0" fontId="4" fillId="0" borderId="1" xfId="69" applyFont="1" applyBorder="1" applyAlignment="1">
      <alignment horizontal="center"/>
    </xf>
    <xf numFmtId="0" fontId="2" fillId="0" borderId="0" xfId="69" applyFont="1"/>
    <xf numFmtId="0" fontId="4" fillId="6" borderId="10" xfId="0" applyFont="1" applyFill="1" applyBorder="1" applyAlignment="1">
      <alignment horizontal="left"/>
    </xf>
    <xf numFmtId="0" fontId="4" fillId="6" borderId="0" xfId="0" applyFont="1" applyFill="1" applyAlignment="1">
      <alignment horizontal="left"/>
    </xf>
    <xf numFmtId="0" fontId="2" fillId="0" borderId="0" xfId="81" applyFont="1" applyAlignment="1" applyProtection="1">
      <alignment horizontal="left"/>
      <protection locked="0"/>
    </xf>
    <xf numFmtId="0" fontId="279" fillId="0" borderId="0" xfId="69" applyFont="1"/>
    <xf numFmtId="0" fontId="76" fillId="0" borderId="0" xfId="81" applyFont="1" applyAlignment="1">
      <alignment horizontal="left"/>
    </xf>
    <xf numFmtId="49" fontId="246" fillId="0" borderId="0" xfId="0" applyNumberFormat="1" applyFont="1" applyAlignment="1">
      <alignment horizontal="left" vertical="top" wrapText="1"/>
    </xf>
    <xf numFmtId="0" fontId="246" fillId="0" borderId="0" xfId="0" applyFont="1" applyAlignment="1">
      <alignment horizontal="center" vertical="center" wrapText="1"/>
    </xf>
    <xf numFmtId="14" fontId="246" fillId="0" borderId="0" xfId="0" applyNumberFormat="1" applyFont="1" applyAlignment="1">
      <alignment horizontal="center" vertical="center"/>
    </xf>
    <xf numFmtId="0" fontId="94" fillId="0" borderId="4" xfId="57" applyFont="1" applyBorder="1" applyAlignment="1" applyProtection="1"/>
    <xf numFmtId="0" fontId="94" fillId="0" borderId="33" xfId="57" applyFont="1" applyBorder="1" applyAlignment="1" applyProtection="1"/>
    <xf numFmtId="39" fontId="279" fillId="58" borderId="0" xfId="0" applyNumberFormat="1" applyFont="1" applyFill="1" applyProtection="1">
      <protection locked="0"/>
    </xf>
    <xf numFmtId="0" fontId="94" fillId="0" borderId="23" xfId="57" applyFont="1" applyBorder="1" applyAlignment="1" applyProtection="1"/>
    <xf numFmtId="43" fontId="0" fillId="52" borderId="0" xfId="29" applyFont="1" applyFill="1"/>
    <xf numFmtId="0" fontId="2" fillId="0" borderId="29" xfId="136" applyFont="1" applyBorder="1"/>
    <xf numFmtId="0" fontId="0" fillId="0" borderId="0" xfId="57" applyFont="1" applyAlignment="1" applyProtection="1"/>
    <xf numFmtId="43" fontId="2" fillId="0" borderId="0" xfId="29" applyAlignment="1">
      <alignment horizontal="center"/>
    </xf>
    <xf numFmtId="43" fontId="2" fillId="0" borderId="1" xfId="29" applyBorder="1" applyAlignment="1">
      <alignment horizontal="center"/>
    </xf>
    <xf numFmtId="43" fontId="0" fillId="0" borderId="4" xfId="0" applyNumberFormat="1" applyBorder="1"/>
    <xf numFmtId="0" fontId="2" fillId="0" borderId="0" xfId="0" applyFont="1" applyAlignment="1">
      <alignment horizontal="left" indent="1"/>
    </xf>
    <xf numFmtId="44" fontId="0" fillId="0" borderId="3" xfId="40" applyFont="1" applyBorder="1"/>
    <xf numFmtId="0" fontId="5" fillId="0" borderId="0" xfId="57" applyFont="1" applyAlignment="1" applyProtection="1">
      <alignment vertical="center"/>
    </xf>
    <xf numFmtId="0" fontId="167" fillId="0" borderId="0" xfId="0" applyFont="1" applyAlignment="1">
      <alignment horizontal="left" vertical="center" indent="4"/>
    </xf>
    <xf numFmtId="0" fontId="4" fillId="0" borderId="8" xfId="115" applyFont="1" applyBorder="1"/>
    <xf numFmtId="0" fontId="4" fillId="0" borderId="8" xfId="115" applyFont="1" applyBorder="1" applyAlignment="1">
      <alignment horizontal="center"/>
    </xf>
    <xf numFmtId="0" fontId="2" fillId="0" borderId="8" xfId="115" applyFont="1" applyBorder="1" applyAlignment="1" applyProtection="1">
      <alignment horizontal="center"/>
      <protection locked="0"/>
    </xf>
    <xf numFmtId="0" fontId="8" fillId="0" borderId="8" xfId="115" applyBorder="1"/>
    <xf numFmtId="185" fontId="2" fillId="0" borderId="0" xfId="115" applyNumberFormat="1" applyFont="1" applyAlignment="1">
      <alignment horizontal="center"/>
    </xf>
    <xf numFmtId="0" fontId="2" fillId="0" borderId="1" xfId="85" applyNumberFormat="1" applyFont="1" applyBorder="1" applyAlignment="1" applyProtection="1">
      <alignment horizontal="center"/>
    </xf>
    <xf numFmtId="0" fontId="119" fillId="4" borderId="44" xfId="0" applyFont="1" applyFill="1" applyBorder="1"/>
    <xf numFmtId="0" fontId="289" fillId="0" borderId="0" xfId="0" applyFont="1" applyProtection="1">
      <protection hidden="1"/>
    </xf>
    <xf numFmtId="0" fontId="293" fillId="0" borderId="0" xfId="88" applyFont="1" applyAlignment="1">
      <alignment horizontal="right"/>
    </xf>
    <xf numFmtId="0" fontId="293" fillId="0" borderId="0" xfId="88" applyFont="1" applyAlignment="1">
      <alignment horizontal="center"/>
    </xf>
    <xf numFmtId="168" fontId="294" fillId="0" borderId="0" xfId="82" applyFont="1" applyAlignment="1" applyProtection="1">
      <alignment horizontal="center"/>
    </xf>
    <xf numFmtId="168" fontId="294" fillId="0" borderId="0" xfId="82" applyFont="1" applyAlignment="1" applyProtection="1">
      <alignment horizontal="center" wrapText="1"/>
    </xf>
    <xf numFmtId="172" fontId="294" fillId="0" borderId="0" xfId="82" applyNumberFormat="1" applyFont="1" applyAlignment="1" applyProtection="1">
      <alignment horizontal="center"/>
    </xf>
    <xf numFmtId="168" fontId="293" fillId="0" borderId="0" xfId="82" applyFont="1" applyProtection="1"/>
    <xf numFmtId="0" fontId="36" fillId="0" borderId="0" xfId="82" applyNumberFormat="1" applyFont="1" applyAlignment="1" applyProtection="1">
      <alignment horizontal="center"/>
    </xf>
    <xf numFmtId="168" fontId="295" fillId="0" borderId="0" xfId="82" applyFont="1" applyProtection="1"/>
    <xf numFmtId="168" fontId="2" fillId="0" borderId="0" xfId="82" applyFont="1" applyProtection="1"/>
    <xf numFmtId="0" fontId="293" fillId="0" borderId="0" xfId="82" applyNumberFormat="1" applyFont="1" applyProtection="1"/>
    <xf numFmtId="168" fontId="296" fillId="0" borderId="0" xfId="82" applyFont="1" applyProtection="1"/>
    <xf numFmtId="168" fontId="2" fillId="0" borderId="0" xfId="85" applyFont="1" applyProtection="1"/>
    <xf numFmtId="168" fontId="2" fillId="8" borderId="0" xfId="85" applyFont="1" applyFill="1" applyProtection="1"/>
    <xf numFmtId="168" fontId="293" fillId="58" borderId="0" xfId="85" applyFont="1" applyFill="1" applyProtection="1"/>
    <xf numFmtId="168" fontId="293" fillId="0" borderId="0" xfId="85" applyFont="1" applyProtection="1"/>
    <xf numFmtId="168" fontId="297" fillId="0" borderId="0" xfId="85" applyFont="1" applyProtection="1"/>
    <xf numFmtId="168" fontId="293" fillId="0" borderId="0" xfId="82" applyFont="1" applyAlignment="1" applyProtection="1">
      <alignment horizontal="center"/>
    </xf>
    <xf numFmtId="168" fontId="293" fillId="0" borderId="0" xfId="82" applyFont="1" applyAlignment="1" applyProtection="1">
      <alignment horizontal="center" shrinkToFit="1"/>
    </xf>
    <xf numFmtId="168" fontId="294" fillId="0" borderId="0" xfId="85" applyFont="1" applyAlignment="1" applyProtection="1">
      <alignment horizontal="center"/>
    </xf>
    <xf numFmtId="0" fontId="293" fillId="58" borderId="0" xfId="85" applyNumberFormat="1" applyFont="1" applyFill="1" applyProtection="1"/>
    <xf numFmtId="168" fontId="298" fillId="0" borderId="0" xfId="85" applyFont="1" applyProtection="1"/>
    <xf numFmtId="0" fontId="299" fillId="0" borderId="0" xfId="86" applyFont="1"/>
    <xf numFmtId="0" fontId="300" fillId="0" borderId="0" xfId="0" applyFont="1"/>
    <xf numFmtId="0" fontId="301" fillId="0" borderId="0" xfId="95" applyFont="1"/>
    <xf numFmtId="0" fontId="301" fillId="0" borderId="0" xfId="0" applyFont="1"/>
    <xf numFmtId="179" fontId="301" fillId="0" borderId="0" xfId="0" applyNumberFormat="1" applyFont="1"/>
    <xf numFmtId="0" fontId="270" fillId="0" borderId="0" xfId="57" applyFont="1" applyAlignment="1" applyProtection="1">
      <alignment horizontal="center"/>
    </xf>
    <xf numFmtId="0" fontId="293" fillId="0" borderId="0" xfId="0" applyFont="1"/>
    <xf numFmtId="0" fontId="293" fillId="6" borderId="0" xfId="0" applyFont="1" applyFill="1" applyAlignment="1">
      <alignment horizontal="center"/>
    </xf>
    <xf numFmtId="0" fontId="293" fillId="6" borderId="0" xfId="0" applyFont="1" applyFill="1"/>
    <xf numFmtId="0" fontId="293" fillId="0" borderId="0" xfId="86" applyFont="1"/>
    <xf numFmtId="0" fontId="297" fillId="0" borderId="0" xfId="86" applyFont="1"/>
    <xf numFmtId="0" fontId="302" fillId="0" borderId="0" xfId="86" applyFont="1"/>
    <xf numFmtId="172" fontId="4" fillId="0" borderId="0" xfId="84" applyNumberFormat="1" applyFont="1" applyAlignment="1">
      <alignment horizontal="center"/>
    </xf>
    <xf numFmtId="0" fontId="293" fillId="0" borderId="0" xfId="84" applyFont="1" applyAlignment="1">
      <alignment horizontal="center"/>
    </xf>
    <xf numFmtId="0" fontId="303" fillId="0" borderId="0" xfId="84" applyFont="1" applyAlignment="1">
      <alignment horizontal="center"/>
    </xf>
    <xf numFmtId="172" fontId="303" fillId="0" borderId="0" xfId="84" applyNumberFormat="1" applyFont="1" applyAlignment="1">
      <alignment horizontal="center"/>
    </xf>
    <xf numFmtId="0" fontId="293" fillId="0" borderId="0" xfId="84" applyFont="1"/>
    <xf numFmtId="0" fontId="293" fillId="0" borderId="0" xfId="88" applyFont="1"/>
    <xf numFmtId="176" fontId="2" fillId="0" borderId="0" xfId="88" applyNumberFormat="1" applyFont="1"/>
    <xf numFmtId="0" fontId="299" fillId="0" borderId="0" xfId="88" applyFont="1"/>
    <xf numFmtId="0" fontId="301" fillId="0" borderId="0" xfId="88" applyFont="1"/>
    <xf numFmtId="0" fontId="301" fillId="0" borderId="0" xfId="88" applyFont="1" applyAlignment="1">
      <alignment horizontal="center"/>
    </xf>
    <xf numFmtId="0" fontId="297" fillId="0" borderId="0" xfId="88" applyFont="1"/>
    <xf numFmtId="0" fontId="304" fillId="0" borderId="0" xfId="88" applyFont="1"/>
    <xf numFmtId="0" fontId="296" fillId="0" borderId="0" xfId="88" applyFont="1"/>
    <xf numFmtId="0" fontId="6" fillId="0" borderId="0" xfId="88" applyFont="1"/>
    <xf numFmtId="0" fontId="305" fillId="0" borderId="0" xfId="88" applyFont="1"/>
    <xf numFmtId="0" fontId="293" fillId="0" borderId="0" xfId="0" applyFont="1" applyAlignment="1">
      <alignment horizontal="center"/>
    </xf>
    <xf numFmtId="0" fontId="295" fillId="0" borderId="0" xfId="94" applyFont="1"/>
    <xf numFmtId="0" fontId="293" fillId="0" borderId="0" xfId="94" applyFont="1"/>
    <xf numFmtId="0" fontId="302" fillId="0" borderId="0" xfId="94" applyFont="1"/>
    <xf numFmtId="0" fontId="297" fillId="0" borderId="0" xfId="89" applyFont="1"/>
    <xf numFmtId="0" fontId="293" fillId="0" borderId="0" xfId="89" applyFont="1"/>
    <xf numFmtId="0" fontId="293" fillId="0" borderId="0" xfId="89" applyFont="1" applyAlignment="1">
      <alignment horizontal="center"/>
    </xf>
    <xf numFmtId="0" fontId="296" fillId="0" borderId="0" xfId="89" applyFont="1"/>
    <xf numFmtId="0" fontId="293" fillId="0" borderId="0" xfId="102" applyFont="1"/>
    <xf numFmtId="0" fontId="306" fillId="0" borderId="0" xfId="89" applyFont="1"/>
    <xf numFmtId="0" fontId="306" fillId="0" borderId="0" xfId="88" applyFont="1"/>
    <xf numFmtId="0" fontId="307" fillId="0" borderId="0" xfId="69" applyFont="1"/>
    <xf numFmtId="0" fontId="308" fillId="0" borderId="0" xfId="69" applyFont="1"/>
    <xf numFmtId="0" fontId="309" fillId="0" borderId="0" xfId="101" applyFont="1" applyAlignment="1">
      <alignment horizontal="center"/>
    </xf>
    <xf numFmtId="0" fontId="309" fillId="0" borderId="0" xfId="101" applyFont="1" applyAlignment="1">
      <alignment horizontal="left"/>
    </xf>
    <xf numFmtId="0" fontId="11" fillId="0" borderId="0" xfId="98" applyFont="1" applyAlignment="1">
      <alignment horizontal="center"/>
    </xf>
    <xf numFmtId="0" fontId="29" fillId="0" borderId="0" xfId="98" applyFont="1"/>
    <xf numFmtId="0" fontId="302" fillId="0" borderId="0" xfId="98" applyFont="1"/>
    <xf numFmtId="0" fontId="310" fillId="0" borderId="0" xfId="0" applyFont="1"/>
    <xf numFmtId="0" fontId="311" fillId="0" borderId="0" xfId="0" applyFont="1"/>
    <xf numFmtId="0" fontId="302" fillId="0" borderId="0" xfId="101" applyFont="1"/>
    <xf numFmtId="0" fontId="81" fillId="0" borderId="0" xfId="57" applyFont="1" applyAlignment="1" applyProtection="1">
      <alignment horizontal="center" vertical="center"/>
    </xf>
    <xf numFmtId="0" fontId="163" fillId="64" borderId="15" xfId="0" applyFont="1" applyFill="1" applyBorder="1"/>
    <xf numFmtId="0" fontId="312" fillId="0" borderId="0" xfId="114" applyFont="1" applyAlignment="1">
      <alignment horizontal="center"/>
    </xf>
    <xf numFmtId="0" fontId="301" fillId="0" borderId="0" xfId="0" applyFont="1" applyAlignment="1">
      <alignment horizontal="center"/>
    </xf>
    <xf numFmtId="0" fontId="301" fillId="0" borderId="0" xfId="114" applyFont="1" applyAlignment="1">
      <alignment horizontal="center"/>
    </xf>
    <xf numFmtId="0" fontId="301" fillId="0" borderId="0" xfId="114" applyFont="1" applyAlignment="1">
      <alignment horizontal="center" shrinkToFit="1"/>
    </xf>
    <xf numFmtId="0" fontId="301" fillId="0" borderId="0" xfId="95" applyFont="1" applyAlignment="1">
      <alignment horizontal="center"/>
    </xf>
    <xf numFmtId="0" fontId="301" fillId="0" borderId="0" xfId="0" quotePrefix="1" applyFont="1" applyAlignment="1">
      <alignment horizontal="center"/>
    </xf>
    <xf numFmtId="0" fontId="18" fillId="0" borderId="0" xfId="114" applyFont="1" applyAlignment="1">
      <alignment horizontal="center" vertical="center"/>
    </xf>
    <xf numFmtId="0" fontId="0" fillId="0" borderId="0" xfId="0" applyAlignment="1">
      <alignment horizontal="center" vertical="center"/>
    </xf>
    <xf numFmtId="0" fontId="2" fillId="0" borderId="0" xfId="114" applyFont="1" applyAlignment="1">
      <alignment horizontal="center" vertical="center"/>
    </xf>
    <xf numFmtId="0" fontId="2" fillId="0" borderId="0" xfId="114" applyFont="1" applyAlignment="1">
      <alignment horizontal="center" vertical="center" shrinkToFit="1"/>
    </xf>
    <xf numFmtId="0" fontId="2" fillId="0" borderId="0" xfId="95" applyFont="1" applyAlignment="1">
      <alignment horizontal="center" vertical="center"/>
    </xf>
    <xf numFmtId="0" fontId="163" fillId="64" borderId="15" xfId="0" applyFont="1" applyFill="1" applyBorder="1" applyAlignment="1">
      <alignment horizontal="left"/>
    </xf>
    <xf numFmtId="0" fontId="301" fillId="0" borderId="0" xfId="0" quotePrefix="1" applyFont="1" applyAlignment="1">
      <alignment horizontal="center" vertical="center"/>
    </xf>
    <xf numFmtId="0" fontId="301" fillId="0" borderId="0" xfId="0" applyFont="1" applyAlignment="1">
      <alignment horizontal="center" vertical="center"/>
    </xf>
    <xf numFmtId="0" fontId="265" fillId="0" borderId="0" xfId="0" applyFont="1" applyAlignment="1">
      <alignment horizontal="center"/>
    </xf>
    <xf numFmtId="0" fontId="301" fillId="63" borderId="0" xfId="0" applyFont="1" applyFill="1" applyAlignment="1">
      <alignment horizontal="center" vertical="center"/>
    </xf>
    <xf numFmtId="0" fontId="265" fillId="0" borderId="0" xfId="0" applyFont="1" applyAlignment="1">
      <alignment horizontal="center" vertical="center"/>
    </xf>
    <xf numFmtId="0" fontId="301" fillId="63" borderId="0" xfId="0" applyFont="1" applyFill="1"/>
    <xf numFmtId="0" fontId="301" fillId="0" borderId="0" xfId="0" applyFont="1" applyAlignment="1">
      <alignment horizontal="right"/>
    </xf>
    <xf numFmtId="0" fontId="301" fillId="0" borderId="0" xfId="0" quotePrefix="1" applyFont="1"/>
    <xf numFmtId="0" fontId="312" fillId="0" borderId="0" xfId="114" applyFont="1"/>
    <xf numFmtId="0" fontId="301" fillId="0" borderId="0" xfId="114" applyFont="1"/>
    <xf numFmtId="0" fontId="301" fillId="0" borderId="0" xfId="114" applyFont="1" applyAlignment="1">
      <alignment shrinkToFit="1"/>
    </xf>
    <xf numFmtId="0" fontId="313" fillId="8" borderId="0" xfId="95" applyFont="1" applyFill="1" applyAlignment="1">
      <alignment horizontal="center"/>
    </xf>
    <xf numFmtId="0" fontId="293" fillId="0" borderId="0" xfId="88" applyFont="1" applyAlignment="1" applyProtection="1">
      <alignment horizontal="center"/>
      <protection locked="0"/>
    </xf>
    <xf numFmtId="0" fontId="2" fillId="0" borderId="0" xfId="0" applyFont="1" applyProtection="1">
      <protection hidden="1"/>
    </xf>
    <xf numFmtId="0" fontId="314" fillId="0" borderId="0" xfId="110" applyFont="1"/>
    <xf numFmtId="0" fontId="3" fillId="0" borderId="0" xfId="91" applyFont="1"/>
    <xf numFmtId="0" fontId="2" fillId="0" borderId="0" xfId="91" applyFont="1" applyAlignment="1">
      <alignment horizontal="center" shrinkToFit="1"/>
    </xf>
    <xf numFmtId="49" fontId="10" fillId="0" borderId="0" xfId="0" applyNumberFormat="1" applyFont="1" applyProtection="1">
      <protection hidden="1"/>
    </xf>
    <xf numFmtId="0" fontId="10" fillId="0" borderId="0" xfId="0" quotePrefix="1" applyFont="1" applyProtection="1">
      <protection hidden="1"/>
    </xf>
    <xf numFmtId="0" fontId="293" fillId="0" borderId="0" xfId="85" applyNumberFormat="1" applyFont="1" applyProtection="1"/>
    <xf numFmtId="0" fontId="304" fillId="0" borderId="0" xfId="88" applyFont="1" applyProtection="1">
      <protection locked="0"/>
    </xf>
    <xf numFmtId="170" fontId="2" fillId="0" borderId="14" xfId="69" applyNumberFormat="1" applyFont="1" applyBorder="1"/>
    <xf numFmtId="0" fontId="7" fillId="0" borderId="1" xfId="112" applyFont="1" applyBorder="1" applyAlignment="1">
      <alignment horizontal="center"/>
    </xf>
    <xf numFmtId="0" fontId="2" fillId="0" borderId="1" xfId="94" applyFont="1" applyBorder="1" applyAlignment="1" applyProtection="1">
      <alignment horizontal="center"/>
      <protection locked="0"/>
    </xf>
    <xf numFmtId="176" fontId="123" fillId="0" borderId="2" xfId="116" applyNumberFormat="1" applyBorder="1"/>
    <xf numFmtId="0" fontId="59" fillId="0" borderId="0" xfId="116" applyFont="1" applyAlignment="1">
      <alignment horizontal="left"/>
    </xf>
    <xf numFmtId="0" fontId="125" fillId="0" borderId="0" xfId="116" applyFont="1"/>
    <xf numFmtId="0" fontId="128" fillId="0" borderId="0" xfId="116" applyFont="1" applyAlignment="1">
      <alignment horizontal="center"/>
    </xf>
    <xf numFmtId="0" fontId="129" fillId="0" borderId="0" xfId="116" applyFont="1" applyAlignment="1">
      <alignment horizontal="center"/>
    </xf>
    <xf numFmtId="0" fontId="127" fillId="0" borderId="0" xfId="116" applyFont="1" applyAlignment="1">
      <alignment horizontal="centerContinuous"/>
    </xf>
    <xf numFmtId="0" fontId="123" fillId="0" borderId="0" xfId="116" applyAlignment="1">
      <alignment horizontal="centerContinuous"/>
    </xf>
    <xf numFmtId="0" fontId="7" fillId="0" borderId="0" xfId="109" applyFont="1"/>
    <xf numFmtId="0" fontId="4" fillId="0" borderId="0" xfId="109" applyFont="1" applyAlignment="1">
      <alignment horizontal="center"/>
    </xf>
    <xf numFmtId="0" fontId="129" fillId="0" borderId="2" xfId="116" applyFont="1" applyBorder="1" applyAlignment="1">
      <alignment horizontal="center"/>
    </xf>
    <xf numFmtId="0" fontId="4" fillId="0" borderId="2" xfId="109" applyFont="1" applyBorder="1" applyAlignment="1">
      <alignment horizontal="center"/>
    </xf>
    <xf numFmtId="0" fontId="15" fillId="0" borderId="2" xfId="109" applyFont="1" applyBorder="1"/>
    <xf numFmtId="0" fontId="15" fillId="0" borderId="0" xfId="109" applyFont="1"/>
    <xf numFmtId="0" fontId="69" fillId="0" borderId="0" xfId="0" applyFont="1" applyAlignment="1">
      <alignment horizontal="center"/>
    </xf>
    <xf numFmtId="0" fontId="301" fillId="54" borderId="0" xfId="0" applyFont="1" applyFill="1"/>
    <xf numFmtId="0" fontId="2" fillId="0" borderId="15" xfId="0" applyFont="1" applyBorder="1"/>
    <xf numFmtId="0" fontId="2" fillId="0" borderId="0" xfId="0" applyFont="1" applyAlignment="1" applyProtection="1">
      <alignment horizontal="center" wrapText="1"/>
      <protection locked="0"/>
    </xf>
    <xf numFmtId="0" fontId="4" fillId="0" borderId="2" xfId="109" applyFont="1" applyBorder="1" applyAlignment="1" applyProtection="1">
      <alignment horizontal="center"/>
      <protection locked="0"/>
    </xf>
    <xf numFmtId="0" fontId="5" fillId="0" borderId="0" xfId="110" applyFont="1" applyAlignment="1">
      <alignment horizontal="left"/>
    </xf>
    <xf numFmtId="0" fontId="123" fillId="0" borderId="0" xfId="116" applyAlignment="1" applyProtection="1">
      <alignment horizontal="center"/>
      <protection locked="0"/>
    </xf>
    <xf numFmtId="175" fontId="7" fillId="0" borderId="0" xfId="108" applyNumberFormat="1" applyFont="1" applyProtection="1">
      <protection locked="0"/>
    </xf>
    <xf numFmtId="175" fontId="7" fillId="0" borderId="0" xfId="110" applyNumberFormat="1" applyFont="1" applyProtection="1">
      <protection locked="0"/>
    </xf>
    <xf numFmtId="0" fontId="0" fillId="0" borderId="45" xfId="0" applyBorder="1"/>
    <xf numFmtId="0" fontId="0" fillId="0" borderId="29" xfId="0" applyBorder="1"/>
    <xf numFmtId="0" fontId="0" fillId="0" borderId="31" xfId="0" applyBorder="1"/>
    <xf numFmtId="0" fontId="0" fillId="0" borderId="27" xfId="0" applyBorder="1"/>
    <xf numFmtId="0" fontId="76" fillId="0" borderId="0" xfId="0" applyFont="1"/>
    <xf numFmtId="0" fontId="315" fillId="0" borderId="0" xfId="0" applyFont="1"/>
    <xf numFmtId="0" fontId="0" fillId="0" borderId="28" xfId="0" applyBorder="1"/>
    <xf numFmtId="0" fontId="0" fillId="0" borderId="30" xfId="0" applyBorder="1"/>
    <xf numFmtId="0" fontId="4" fillId="0" borderId="32" xfId="0" applyFont="1" applyBorder="1" applyAlignment="1">
      <alignment horizontal="center"/>
    </xf>
    <xf numFmtId="0" fontId="0" fillId="0" borderId="32" xfId="0" applyBorder="1"/>
    <xf numFmtId="0" fontId="4" fillId="0" borderId="30" xfId="0" applyFont="1" applyBorder="1"/>
    <xf numFmtId="0" fontId="3" fillId="0" borderId="0" xfId="0" applyFont="1"/>
    <xf numFmtId="0" fontId="284" fillId="0" borderId="30" xfId="0" applyFont="1" applyBorder="1"/>
    <xf numFmtId="180" fontId="116" fillId="0" borderId="30" xfId="0" applyNumberFormat="1" applyFont="1" applyBorder="1" applyAlignment="1">
      <alignment horizontal="left"/>
    </xf>
    <xf numFmtId="168" fontId="265" fillId="0" borderId="0" xfId="82" applyFont="1" applyProtection="1"/>
    <xf numFmtId="168" fontId="276" fillId="0" borderId="0" xfId="85" applyFont="1" applyProtection="1"/>
    <xf numFmtId="168" fontId="276" fillId="0" borderId="0" xfId="82" applyFont="1" applyProtection="1"/>
    <xf numFmtId="176" fontId="136" fillId="0" borderId="0" xfId="122" applyNumberFormat="1" applyFont="1">
      <protection locked="0"/>
    </xf>
    <xf numFmtId="176" fontId="136" fillId="0" borderId="0" xfId="85" applyNumberFormat="1" applyFont="1">
      <protection locked="0"/>
    </xf>
    <xf numFmtId="0" fontId="69" fillId="0" borderId="0" xfId="115" applyFont="1"/>
    <xf numFmtId="0" fontId="318" fillId="0" borderId="0" xfId="0" applyFont="1"/>
    <xf numFmtId="0" fontId="39" fillId="0" borderId="0" xfId="0" applyFont="1"/>
    <xf numFmtId="0" fontId="29" fillId="0" borderId="0" xfId="0" applyFont="1" applyAlignment="1">
      <alignment horizontal="center"/>
    </xf>
    <xf numFmtId="0" fontId="319" fillId="0" borderId="0" xfId="0" applyFont="1"/>
    <xf numFmtId="0" fontId="29" fillId="0" borderId="0" xfId="86" applyFont="1"/>
    <xf numFmtId="0" fontId="320" fillId="0" borderId="0" xfId="86" applyFont="1"/>
    <xf numFmtId="0" fontId="69" fillId="0" borderId="0" xfId="86" applyFont="1"/>
    <xf numFmtId="0" fontId="31" fillId="0" borderId="0" xfId="86" applyFont="1"/>
    <xf numFmtId="166" fontId="15" fillId="0" borderId="0" xfId="0" applyNumberFormat="1" applyFont="1" applyAlignment="1">
      <alignment horizontal="center"/>
    </xf>
    <xf numFmtId="0" fontId="301" fillId="54" borderId="0" xfId="0" applyFont="1" applyFill="1" applyAlignment="1">
      <alignment horizontal="center" vertical="center"/>
    </xf>
    <xf numFmtId="0" fontId="38" fillId="58" borderId="0" xfId="81" applyFont="1" applyFill="1"/>
    <xf numFmtId="0" fontId="48" fillId="58" borderId="0" xfId="81" applyFont="1" applyFill="1" applyAlignment="1">
      <alignment horizontal="left"/>
    </xf>
    <xf numFmtId="0" fontId="76" fillId="58" borderId="0" xfId="81" applyFont="1" applyFill="1" applyAlignment="1">
      <alignment horizontal="left"/>
    </xf>
    <xf numFmtId="0" fontId="38" fillId="58" borderId="0" xfId="81" applyFont="1" applyFill="1" applyAlignment="1">
      <alignment horizontal="center"/>
    </xf>
    <xf numFmtId="164" fontId="2" fillId="58" borderId="0" xfId="69" applyNumberFormat="1" applyFont="1" applyFill="1" applyAlignment="1">
      <alignment horizontal="center" shrinkToFit="1"/>
    </xf>
    <xf numFmtId="0" fontId="38" fillId="58" borderId="0" xfId="81" applyFont="1" applyFill="1" applyAlignment="1">
      <alignment horizontal="left"/>
    </xf>
    <xf numFmtId="0" fontId="38" fillId="58" borderId="1" xfId="81" applyFont="1" applyFill="1" applyBorder="1" applyAlignment="1" applyProtection="1">
      <alignment horizontal="center"/>
      <protection locked="0"/>
    </xf>
    <xf numFmtId="0" fontId="38" fillId="58" borderId="0" xfId="81" applyFont="1" applyFill="1" applyAlignment="1">
      <alignment horizontal="right"/>
    </xf>
    <xf numFmtId="164" fontId="2" fillId="58" borderId="1" xfId="69" applyNumberFormat="1" applyFont="1" applyFill="1" applyBorder="1" applyAlignment="1" applyProtection="1">
      <alignment horizontal="center" shrinkToFit="1"/>
      <protection locked="0"/>
    </xf>
    <xf numFmtId="164" fontId="2" fillId="58" borderId="4" xfId="69" applyNumberFormat="1" applyFont="1" applyFill="1" applyBorder="1" applyAlignment="1" applyProtection="1">
      <alignment horizontal="center" shrinkToFit="1"/>
      <protection locked="0"/>
    </xf>
    <xf numFmtId="0" fontId="38" fillId="58" borderId="0" xfId="81" applyFont="1" applyFill="1" applyAlignment="1" applyProtection="1">
      <alignment horizontal="center"/>
      <protection locked="0"/>
    </xf>
    <xf numFmtId="0" fontId="38" fillId="58" borderId="2" xfId="81" applyFont="1" applyFill="1" applyBorder="1"/>
    <xf numFmtId="0" fontId="2" fillId="58" borderId="0" xfId="0" applyFont="1" applyFill="1" applyAlignment="1">
      <alignment horizontal="left"/>
    </xf>
    <xf numFmtId="0" fontId="4" fillId="58" borderId="0" xfId="115" applyFont="1" applyFill="1" applyAlignment="1">
      <alignment horizontal="right"/>
    </xf>
    <xf numFmtId="0" fontId="2" fillId="58" borderId="0" xfId="101" applyFont="1" applyFill="1"/>
    <xf numFmtId="0" fontId="2" fillId="58" borderId="15" xfId="115" applyFont="1" applyFill="1" applyBorder="1" applyAlignment="1" applyProtection="1">
      <alignment horizontal="center"/>
      <protection locked="0"/>
    </xf>
    <xf numFmtId="0" fontId="4" fillId="58" borderId="10" xfId="0" applyFont="1" applyFill="1" applyBorder="1" applyAlignment="1">
      <alignment horizontal="left"/>
    </xf>
    <xf numFmtId="0" fontId="4" fillId="58" borderId="0" xfId="0" applyFont="1" applyFill="1" applyAlignment="1">
      <alignment horizontal="left"/>
    </xf>
    <xf numFmtId="0" fontId="2" fillId="58" borderId="0" xfId="115" applyFont="1" applyFill="1"/>
    <xf numFmtId="0" fontId="2" fillId="58" borderId="0" xfId="115" applyFont="1" applyFill="1" applyAlignment="1" applyProtection="1">
      <alignment horizontal="center"/>
      <protection locked="0"/>
    </xf>
    <xf numFmtId="0" fontId="2" fillId="58" borderId="0" xfId="0" applyFont="1" applyFill="1" applyAlignment="1">
      <alignment horizontal="left" indent="1"/>
    </xf>
    <xf numFmtId="0" fontId="2" fillId="58" borderId="0" xfId="81" applyFont="1" applyFill="1"/>
    <xf numFmtId="0" fontId="4" fillId="58" borderId="0" xfId="69" applyFont="1" applyFill="1" applyAlignment="1">
      <alignment horizontal="center"/>
    </xf>
    <xf numFmtId="0" fontId="4" fillId="58" borderId="1" xfId="69" applyFont="1" applyFill="1" applyBorder="1" applyAlignment="1">
      <alignment horizontal="center"/>
    </xf>
    <xf numFmtId="0" fontId="279" fillId="58" borderId="0" xfId="69" applyFont="1" applyFill="1"/>
    <xf numFmtId="14" fontId="4" fillId="58" borderId="1" xfId="69" applyNumberFormat="1" applyFont="1" applyFill="1" applyBorder="1" applyAlignment="1">
      <alignment horizontal="center"/>
    </xf>
    <xf numFmtId="191" fontId="2" fillId="58" borderId="1" xfId="81" applyNumberFormat="1" applyFont="1" applyFill="1" applyBorder="1" applyAlignment="1" applyProtection="1">
      <alignment horizontal="center"/>
      <protection locked="0"/>
    </xf>
    <xf numFmtId="176" fontId="2" fillId="58" borderId="0" xfId="81" applyNumberFormat="1" applyFont="1" applyFill="1" applyAlignment="1" applyProtection="1">
      <alignment horizontal="center"/>
      <protection locked="0"/>
    </xf>
    <xf numFmtId="0" fontId="2" fillId="58" borderId="1" xfId="81" applyFont="1" applyFill="1" applyBorder="1" applyAlignment="1" applyProtection="1">
      <alignment horizontal="center"/>
      <protection locked="0"/>
    </xf>
    <xf numFmtId="176" fontId="4" fillId="58" borderId="0" xfId="81" applyNumberFormat="1" applyFont="1" applyFill="1" applyAlignment="1" applyProtection="1">
      <alignment horizontal="center"/>
      <protection locked="0"/>
    </xf>
    <xf numFmtId="1" fontId="2" fillId="58" borderId="1" xfId="81" applyNumberFormat="1" applyFont="1" applyFill="1" applyBorder="1" applyAlignment="1" applyProtection="1">
      <alignment horizontal="center"/>
      <protection locked="0"/>
    </xf>
    <xf numFmtId="0" fontId="2" fillId="58" borderId="0" xfId="81" applyFont="1" applyFill="1" applyAlignment="1" applyProtection="1">
      <alignment horizontal="center"/>
      <protection locked="0"/>
    </xf>
    <xf numFmtId="0" fontId="2" fillId="58" borderId="0" xfId="81" applyFont="1" applyFill="1" applyAlignment="1" applyProtection="1">
      <alignment horizontal="left"/>
      <protection locked="0"/>
    </xf>
    <xf numFmtId="176" fontId="2" fillId="58" borderId="1" xfId="84" applyNumberFormat="1" applyFont="1" applyFill="1" applyBorder="1" applyProtection="1">
      <protection locked="0"/>
    </xf>
    <xf numFmtId="176" fontId="2" fillId="58" borderId="0" xfId="84" applyNumberFormat="1" applyFont="1" applyFill="1" applyProtection="1">
      <protection locked="0"/>
    </xf>
    <xf numFmtId="0" fontId="5" fillId="58" borderId="0" xfId="69" applyFont="1" applyFill="1"/>
    <xf numFmtId="0" fontId="2" fillId="58" borderId="0" xfId="69" applyFont="1" applyFill="1"/>
    <xf numFmtId="176" fontId="2" fillId="58" borderId="0" xfId="84" applyNumberFormat="1" applyFont="1" applyFill="1"/>
    <xf numFmtId="0" fontId="4" fillId="58" borderId="0" xfId="88" applyFont="1" applyFill="1" applyAlignment="1">
      <alignment horizontal="center"/>
    </xf>
    <xf numFmtId="191" fontId="2" fillId="58" borderId="0" xfId="81" applyNumberFormat="1" applyFont="1" applyFill="1" applyAlignment="1" applyProtection="1">
      <alignment horizontal="center"/>
      <protection locked="0"/>
    </xf>
    <xf numFmtId="1" fontId="2" fillId="58" borderId="0" xfId="81" applyNumberFormat="1" applyFont="1" applyFill="1" applyAlignment="1" applyProtection="1">
      <alignment horizontal="center"/>
      <protection locked="0"/>
    </xf>
    <xf numFmtId="191" fontId="38" fillId="58" borderId="0" xfId="81" applyNumberFormat="1" applyFont="1" applyFill="1" applyAlignment="1" applyProtection="1">
      <alignment horizontal="left"/>
      <protection locked="0"/>
    </xf>
    <xf numFmtId="176" fontId="38" fillId="58" borderId="0" xfId="81" applyNumberFormat="1" applyFont="1" applyFill="1" applyProtection="1">
      <protection locked="0"/>
    </xf>
    <xf numFmtId="39" fontId="38" fillId="58" borderId="0" xfId="81" applyNumberFormat="1" applyFont="1" applyFill="1" applyProtection="1">
      <protection locked="0"/>
    </xf>
    <xf numFmtId="0" fontId="38" fillId="58" borderId="0" xfId="81" applyFont="1" applyFill="1" applyProtection="1">
      <protection locked="0"/>
    </xf>
    <xf numFmtId="0" fontId="38" fillId="58" borderId="0" xfId="81" applyFont="1" applyFill="1" applyAlignment="1" applyProtection="1">
      <alignment horizontal="left"/>
      <protection locked="0"/>
    </xf>
    <xf numFmtId="176" fontId="48" fillId="58" borderId="0" xfId="81" applyNumberFormat="1" applyFont="1" applyFill="1" applyProtection="1">
      <protection locked="0"/>
    </xf>
    <xf numFmtId="0" fontId="47" fillId="58" borderId="0" xfId="81" applyFont="1" applyFill="1"/>
    <xf numFmtId="0" fontId="46" fillId="58" borderId="0" xfId="81" applyFont="1" applyFill="1"/>
    <xf numFmtId="0" fontId="247" fillId="58" borderId="0" xfId="69" applyFill="1"/>
    <xf numFmtId="0" fontId="279" fillId="0" borderId="1" xfId="0" applyFont="1" applyBorder="1" applyAlignment="1" applyProtection="1">
      <alignment horizontal="center"/>
      <protection locked="0"/>
    </xf>
    <xf numFmtId="0" fontId="279" fillId="0" borderId="0" xfId="0" applyFont="1" applyAlignment="1" applyProtection="1">
      <alignment horizontal="center"/>
      <protection locked="0"/>
    </xf>
    <xf numFmtId="0" fontId="4" fillId="0" borderId="0" xfId="115" applyFont="1" applyAlignment="1" applyProtection="1">
      <alignment horizontal="left"/>
      <protection locked="0"/>
    </xf>
    <xf numFmtId="0" fontId="4" fillId="0" borderId="0" xfId="115" applyFont="1" applyProtection="1">
      <protection locked="0"/>
    </xf>
    <xf numFmtId="4" fontId="4" fillId="0" borderId="0" xfId="115" applyNumberFormat="1" applyFont="1" applyAlignment="1" applyProtection="1">
      <alignment horizontal="center"/>
      <protection locked="0"/>
    </xf>
    <xf numFmtId="0" fontId="321" fillId="0" borderId="0" xfId="0" applyFont="1"/>
    <xf numFmtId="0" fontId="293" fillId="0" borderId="0" xfId="57" applyFont="1" applyAlignment="1" applyProtection="1"/>
    <xf numFmtId="6" fontId="12" fillId="0" borderId="0" xfId="115" applyNumberFormat="1" applyFont="1" applyProtection="1">
      <protection locked="0"/>
    </xf>
    <xf numFmtId="0" fontId="17" fillId="0" borderId="0" xfId="115" applyFont="1" applyProtection="1">
      <protection locked="0"/>
    </xf>
    <xf numFmtId="0" fontId="12" fillId="0" borderId="0" xfId="99" applyFont="1"/>
    <xf numFmtId="0" fontId="12" fillId="0" borderId="0" xfId="115" applyFont="1" applyProtection="1">
      <protection locked="0"/>
    </xf>
    <xf numFmtId="0" fontId="293" fillId="0" borderId="0" xfId="0" applyFont="1" applyAlignment="1">
      <alignment horizontal="right"/>
    </xf>
    <xf numFmtId="0" fontId="293" fillId="0" borderId="0" xfId="0" applyFont="1" applyAlignment="1">
      <alignment horizontal="left"/>
    </xf>
    <xf numFmtId="0" fontId="322" fillId="0" borderId="0" xfId="0" applyFont="1"/>
    <xf numFmtId="0" fontId="137" fillId="0" borderId="0" xfId="0" applyFont="1" applyProtection="1">
      <protection hidden="1"/>
    </xf>
    <xf numFmtId="0" fontId="301" fillId="54" borderId="0" xfId="0" applyFont="1" applyFill="1" applyAlignment="1">
      <alignment horizontal="center"/>
    </xf>
    <xf numFmtId="49" fontId="290" fillId="54" borderId="0" xfId="0" applyNumberFormat="1" applyFont="1" applyFill="1"/>
    <xf numFmtId="43" fontId="4" fillId="61" borderId="0" xfId="0" applyNumberFormat="1" applyFont="1" applyFill="1"/>
    <xf numFmtId="180" fontId="4" fillId="8" borderId="0" xfId="0" applyNumberFormat="1" applyFont="1" applyFill="1"/>
    <xf numFmtId="180" fontId="4" fillId="0" borderId="0" xfId="0" applyNumberFormat="1" applyFont="1"/>
    <xf numFmtId="0" fontId="31" fillId="0" borderId="0" xfId="115" applyFont="1"/>
    <xf numFmtId="49" fontId="2" fillId="0" borderId="0" xfId="0" quotePrefix="1" applyNumberFormat="1" applyFont="1" applyAlignment="1">
      <alignment horizontal="left"/>
    </xf>
    <xf numFmtId="49" fontId="2" fillId="0" borderId="0" xfId="0" applyNumberFormat="1" applyFont="1" applyAlignment="1">
      <alignment horizontal="left"/>
    </xf>
    <xf numFmtId="49" fontId="2" fillId="0" borderId="0" xfId="0" quotePrefix="1" applyNumberFormat="1" applyFont="1"/>
    <xf numFmtId="0" fontId="59" fillId="0" borderId="0" xfId="115" applyFont="1" applyAlignment="1">
      <alignment horizontal="center" vertical="center"/>
    </xf>
    <xf numFmtId="0" fontId="60" fillId="58" borderId="0" xfId="115" applyFont="1" applyFill="1" applyAlignment="1">
      <alignment horizontal="center" vertical="center"/>
    </xf>
    <xf numFmtId="0" fontId="63" fillId="0" borderId="0" xfId="115" applyFont="1" applyAlignment="1" applyProtection="1">
      <alignment vertical="center"/>
      <protection locked="0"/>
    </xf>
    <xf numFmtId="0" fontId="323" fillId="0" borderId="0" xfId="0" applyFont="1"/>
    <xf numFmtId="0" fontId="2" fillId="0" borderId="1" xfId="107" applyFont="1" applyBorder="1" applyAlignment="1" applyProtection="1">
      <alignment horizontal="center"/>
      <protection locked="0"/>
    </xf>
    <xf numFmtId="0" fontId="8" fillId="0" borderId="1" xfId="116" applyFont="1" applyBorder="1" applyProtection="1">
      <protection locked="0"/>
    </xf>
    <xf numFmtId="190" fontId="8" fillId="0" borderId="1" xfId="116" applyNumberFormat="1" applyFont="1" applyBorder="1" applyProtection="1">
      <protection locked="0"/>
    </xf>
    <xf numFmtId="195" fontId="7" fillId="0" borderId="1" xfId="108" applyNumberFormat="1" applyFont="1" applyBorder="1" applyProtection="1">
      <protection locked="0"/>
    </xf>
    <xf numFmtId="195" fontId="2" fillId="0" borderId="1" xfId="108" applyNumberFormat="1" applyFont="1" applyBorder="1" applyProtection="1">
      <protection locked="0"/>
    </xf>
    <xf numFmtId="175" fontId="2" fillId="0" borderId="1" xfId="108" applyNumberFormat="1" applyFont="1" applyBorder="1" applyProtection="1">
      <protection locked="0"/>
    </xf>
    <xf numFmtId="0" fontId="265" fillId="0" borderId="0" xfId="0" applyFont="1" applyAlignment="1">
      <alignment wrapText="1"/>
    </xf>
    <xf numFmtId="0" fontId="2" fillId="5" borderId="7" xfId="0" applyFont="1" applyFill="1" applyBorder="1"/>
    <xf numFmtId="0" fontId="2" fillId="5" borderId="15" xfId="0" applyFont="1" applyFill="1" applyBorder="1"/>
    <xf numFmtId="43" fontId="2" fillId="0" borderId="0" xfId="29" applyBorder="1" applyAlignment="1" applyProtection="1">
      <alignment horizontal="center"/>
      <protection locked="0"/>
    </xf>
    <xf numFmtId="44" fontId="2" fillId="0" borderId="14" xfId="40" applyBorder="1" applyAlignment="1" applyProtection="1">
      <alignment horizontal="center"/>
    </xf>
    <xf numFmtId="43" fontId="2" fillId="0" borderId="4" xfId="29" applyBorder="1" applyAlignment="1" applyProtection="1">
      <alignment horizontal="center"/>
    </xf>
    <xf numFmtId="43" fontId="0" fillId="0" borderId="0" xfId="0" applyNumberFormat="1" applyProtection="1">
      <protection locked="0"/>
    </xf>
    <xf numFmtId="43" fontId="0" fillId="0" borderId="1" xfId="0" applyNumberFormat="1" applyBorder="1" applyProtection="1">
      <protection locked="0"/>
    </xf>
    <xf numFmtId="0" fontId="28" fillId="0" borderId="0" xfId="86" applyFont="1" applyAlignment="1">
      <alignment horizontal="right"/>
    </xf>
    <xf numFmtId="0" fontId="28" fillId="0" borderId="0" xfId="86" applyFont="1" applyAlignment="1">
      <alignment horizontal="left"/>
    </xf>
    <xf numFmtId="0" fontId="28" fillId="0" borderId="1" xfId="86" applyFont="1" applyBorder="1"/>
    <xf numFmtId="0" fontId="28" fillId="0" borderId="1" xfId="86" applyFont="1" applyBorder="1" applyAlignment="1" applyProtection="1">
      <alignment horizontal="center"/>
      <protection locked="0"/>
    </xf>
    <xf numFmtId="0" fontId="279" fillId="0" borderId="1" xfId="0" applyFont="1" applyBorder="1" applyAlignment="1" applyProtection="1">
      <alignment horizontal="left"/>
      <protection locked="0"/>
    </xf>
    <xf numFmtId="0" fontId="28" fillId="0" borderId="1" xfId="86" applyFont="1" applyBorder="1" applyProtection="1">
      <protection locked="0"/>
    </xf>
    <xf numFmtId="14" fontId="279" fillId="0" borderId="1" xfId="0" applyNumberFormat="1" applyFont="1" applyBorder="1" applyAlignment="1" applyProtection="1">
      <alignment horizontal="center"/>
      <protection locked="0"/>
    </xf>
    <xf numFmtId="3" fontId="246" fillId="0" borderId="0" xfId="0" applyNumberFormat="1" applyFont="1" applyAlignment="1">
      <alignment horizontal="center" vertical="center" wrapText="1"/>
    </xf>
    <xf numFmtId="0" fontId="10" fillId="0" borderId="0" xfId="57" applyFont="1" applyAlignment="1" applyProtection="1">
      <protection hidden="1"/>
    </xf>
    <xf numFmtId="0" fontId="325" fillId="0" borderId="0" xfId="57" applyFont="1" applyAlignment="1" applyProtection="1"/>
    <xf numFmtId="0" fontId="326" fillId="0" borderId="0" xfId="57" applyFont="1" applyAlignment="1" applyProtection="1"/>
    <xf numFmtId="0" fontId="327" fillId="0" borderId="0" xfId="0" applyFont="1"/>
    <xf numFmtId="0" fontId="327" fillId="0" borderId="0" xfId="57" applyFont="1" applyAlignment="1" applyProtection="1"/>
    <xf numFmtId="0" fontId="10" fillId="0" borderId="0" xfId="57" applyFont="1" applyFill="1" applyAlignment="1" applyProtection="1">
      <alignment horizontal="left"/>
      <protection hidden="1"/>
    </xf>
    <xf numFmtId="0" fontId="267" fillId="0" borderId="0" xfId="57" applyFont="1" applyAlignment="1" applyProtection="1"/>
    <xf numFmtId="0" fontId="10" fillId="0" borderId="0" xfId="57" applyFont="1" applyFill="1" applyAlignment="1" applyProtection="1">
      <protection hidden="1"/>
    </xf>
    <xf numFmtId="0" fontId="10" fillId="0" borderId="0" xfId="57" applyFont="1" applyAlignment="1" applyProtection="1">
      <alignment wrapText="1"/>
      <protection hidden="1"/>
    </xf>
    <xf numFmtId="0" fontId="246" fillId="0" borderId="0" xfId="0" applyFont="1" applyAlignment="1">
      <alignment vertical="center"/>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14" fontId="0" fillId="0" borderId="0" xfId="0" applyNumberFormat="1" applyAlignment="1" applyProtection="1">
      <alignment horizontal="center" vertical="center"/>
      <protection locked="0"/>
    </xf>
    <xf numFmtId="0" fontId="9" fillId="0" borderId="0" xfId="0" applyFont="1" applyAlignment="1">
      <alignment horizontal="center"/>
    </xf>
    <xf numFmtId="0" fontId="245" fillId="0" borderId="0" xfId="119" applyFont="1" applyAlignment="1" applyProtection="1">
      <alignment horizontal="center"/>
      <protection locked="0"/>
    </xf>
    <xf numFmtId="0" fontId="0" fillId="0" borderId="0" xfId="0"/>
    <xf numFmtId="164" fontId="81" fillId="0" borderId="0" xfId="57" applyNumberFormat="1" applyFont="1" applyAlignment="1" applyProtection="1">
      <alignment horizontal="center"/>
    </xf>
    <xf numFmtId="0" fontId="76" fillId="0" borderId="1" xfId="0" applyFont="1" applyBorder="1" applyAlignment="1" applyProtection="1">
      <alignment horizontal="center"/>
      <protection locked="0"/>
    </xf>
    <xf numFmtId="0" fontId="241" fillId="0" borderId="23" xfId="57" applyFont="1" applyBorder="1" applyAlignment="1" applyProtection="1">
      <alignment wrapText="1"/>
    </xf>
    <xf numFmtId="0" fontId="241" fillId="0" borderId="4" xfId="57" applyFont="1" applyBorder="1" applyAlignment="1" applyProtection="1">
      <alignment wrapText="1"/>
    </xf>
    <xf numFmtId="0" fontId="241" fillId="0" borderId="33" xfId="57" applyFont="1" applyBorder="1" applyAlignment="1" applyProtection="1">
      <alignment wrapText="1"/>
    </xf>
    <xf numFmtId="0" fontId="202" fillId="0" borderId="23" xfId="57" applyFont="1" applyBorder="1" applyAlignment="1" applyProtection="1"/>
    <xf numFmtId="0" fontId="202" fillId="0" borderId="4" xfId="57" applyFont="1" applyBorder="1" applyAlignment="1" applyProtection="1"/>
    <xf numFmtId="0" fontId="202" fillId="0" borderId="33" xfId="57" applyFont="1" applyBorder="1" applyAlignment="1" applyProtection="1"/>
    <xf numFmtId="0" fontId="202" fillId="0" borderId="23" xfId="57" applyFont="1" applyBorder="1" applyAlignment="1" applyProtection="1">
      <alignment vertical="top" wrapText="1"/>
    </xf>
    <xf numFmtId="0" fontId="202" fillId="0" borderId="4" xfId="57" applyFont="1" applyBorder="1" applyAlignment="1" applyProtection="1">
      <alignment vertical="top" wrapText="1"/>
    </xf>
    <xf numFmtId="0" fontId="202" fillId="0" borderId="33" xfId="57" applyFont="1" applyBorder="1" applyAlignment="1" applyProtection="1">
      <alignment vertical="top" wrapText="1"/>
    </xf>
    <xf numFmtId="0" fontId="94" fillId="0" borderId="23" xfId="57" applyFont="1" applyBorder="1" applyAlignment="1" applyProtection="1">
      <alignment horizontal="left"/>
    </xf>
    <xf numFmtId="0" fontId="94" fillId="0" borderId="4" xfId="57" applyFont="1" applyBorder="1" applyAlignment="1" applyProtection="1">
      <alignment horizontal="left"/>
    </xf>
    <xf numFmtId="0" fontId="94" fillId="0" borderId="33" xfId="57" applyFont="1" applyBorder="1" applyAlignment="1" applyProtection="1">
      <alignment horizontal="left"/>
    </xf>
    <xf numFmtId="0" fontId="202" fillId="0" borderId="23" xfId="57" applyFont="1" applyBorder="1" applyAlignment="1" applyProtection="1">
      <alignment wrapText="1"/>
    </xf>
    <xf numFmtId="0" fontId="202" fillId="0" borderId="4" xfId="57" applyFont="1" applyBorder="1" applyAlignment="1" applyProtection="1">
      <alignment wrapText="1"/>
    </xf>
    <xf numFmtId="0" fontId="202" fillId="0" borderId="33" xfId="57" applyFont="1" applyBorder="1" applyAlignment="1" applyProtection="1">
      <alignment wrapText="1"/>
    </xf>
    <xf numFmtId="0" fontId="202" fillId="0" borderId="23" xfId="57" applyFont="1" applyBorder="1" applyAlignment="1" applyProtection="1">
      <alignment horizontal="left"/>
    </xf>
    <xf numFmtId="0" fontId="202" fillId="0" borderId="4" xfId="57" applyFont="1" applyBorder="1" applyAlignment="1" applyProtection="1">
      <alignment horizontal="left"/>
    </xf>
    <xf numFmtId="0" fontId="202" fillId="0" borderId="33" xfId="57" applyFont="1" applyBorder="1" applyAlignment="1" applyProtection="1">
      <alignment horizontal="left"/>
    </xf>
    <xf numFmtId="0" fontId="274" fillId="0" borderId="0" xfId="0" applyFont="1" applyAlignment="1">
      <alignment horizontal="center"/>
    </xf>
    <xf numFmtId="0" fontId="214" fillId="0" borderId="0" xfId="0" applyFont="1" applyAlignment="1">
      <alignment horizontal="center"/>
    </xf>
    <xf numFmtId="0" fontId="213" fillId="0" borderId="23" xfId="0" applyFont="1" applyBorder="1"/>
    <xf numFmtId="0" fontId="198" fillId="0" borderId="4" xfId="0" applyFont="1" applyBorder="1"/>
    <xf numFmtId="0" fontId="202" fillId="0" borderId="1" xfId="0" applyFont="1" applyBorder="1" applyAlignment="1" applyProtection="1">
      <alignment horizontal="center"/>
      <protection locked="0"/>
    </xf>
    <xf numFmtId="0" fontId="202" fillId="0" borderId="4" xfId="0" applyFont="1" applyBorder="1" applyAlignment="1">
      <alignment horizontal="center"/>
    </xf>
    <xf numFmtId="0" fontId="202" fillId="0" borderId="33" xfId="0" applyFont="1" applyBorder="1" applyAlignment="1">
      <alignment horizontal="center"/>
    </xf>
    <xf numFmtId="0" fontId="240" fillId="18" borderId="23" xfId="0" applyFont="1" applyFill="1" applyBorder="1" applyAlignment="1">
      <alignment horizontal="center"/>
    </xf>
    <xf numFmtId="0" fontId="240" fillId="18" borderId="4" xfId="0" applyFont="1" applyFill="1" applyBorder="1" applyAlignment="1">
      <alignment horizontal="center"/>
    </xf>
    <xf numFmtId="0" fontId="240" fillId="18" borderId="33" xfId="0" applyFont="1" applyFill="1" applyBorder="1" applyAlignment="1">
      <alignment horizontal="center"/>
    </xf>
    <xf numFmtId="0" fontId="205" fillId="0" borderId="15" xfId="0" applyFont="1" applyBorder="1" applyAlignment="1">
      <alignment horizontal="center"/>
    </xf>
    <xf numFmtId="0" fontId="202" fillId="0" borderId="0" xfId="0" applyFont="1" applyAlignment="1">
      <alignment horizontal="center"/>
    </xf>
    <xf numFmtId="0" fontId="49" fillId="0" borderId="4" xfId="57" applyBorder="1" applyAlignment="1">
      <alignment horizontal="center"/>
      <protection locked="0"/>
    </xf>
    <xf numFmtId="0" fontId="202" fillId="0" borderId="4" xfId="0" applyFont="1" applyBorder="1" applyAlignment="1" applyProtection="1">
      <alignment horizontal="center"/>
      <protection locked="0"/>
    </xf>
    <xf numFmtId="0" fontId="202" fillId="0" borderId="33" xfId="0" applyFont="1" applyBorder="1" applyAlignment="1" applyProtection="1">
      <alignment horizontal="center"/>
      <protection locked="0"/>
    </xf>
    <xf numFmtId="0" fontId="163" fillId="0" borderId="23" xfId="0" applyFont="1" applyBorder="1"/>
    <xf numFmtId="0" fontId="198" fillId="0" borderId="33" xfId="0" applyFont="1" applyBorder="1"/>
    <xf numFmtId="0" fontId="202" fillId="0" borderId="23" xfId="57" quotePrefix="1" applyFont="1" applyBorder="1" applyAlignment="1" applyProtection="1"/>
    <xf numFmtId="0" fontId="94" fillId="0" borderId="23" xfId="57" applyFont="1" applyBorder="1" applyAlignment="1" applyProtection="1"/>
    <xf numFmtId="0" fontId="94" fillId="0" borderId="4" xfId="57" applyFont="1" applyBorder="1" applyAlignment="1" applyProtection="1"/>
    <xf numFmtId="0" fontId="94" fillId="0" borderId="33" xfId="57" applyFont="1" applyBorder="1" applyAlignment="1" applyProtection="1"/>
    <xf numFmtId="0" fontId="190" fillId="0" borderId="0" xfId="0" applyFont="1" applyAlignment="1">
      <alignment horizontal="left"/>
    </xf>
    <xf numFmtId="0" fontId="2" fillId="0" borderId="0" xfId="0" applyFont="1"/>
    <xf numFmtId="0" fontId="167" fillId="0" borderId="0" xfId="57" applyFont="1" applyAlignment="1" applyProtection="1"/>
    <xf numFmtId="0" fontId="49" fillId="0" borderId="23" xfId="57" applyBorder="1" applyAlignment="1" applyProtection="1"/>
    <xf numFmtId="0" fontId="49" fillId="0" borderId="4" xfId="57" applyBorder="1" applyAlignment="1" applyProtection="1"/>
    <xf numFmtId="0" fontId="49" fillId="0" borderId="33" xfId="57" applyBorder="1" applyAlignment="1" applyProtection="1"/>
    <xf numFmtId="0" fontId="198" fillId="0" borderId="0" xfId="0" applyFont="1" applyAlignment="1">
      <alignment horizontal="right"/>
    </xf>
    <xf numFmtId="0" fontId="198" fillId="0" borderId="23" xfId="0" applyFont="1" applyBorder="1"/>
    <xf numFmtId="0" fontId="269" fillId="0" borderId="23" xfId="57" applyFont="1" applyBorder="1" applyAlignment="1" applyProtection="1"/>
    <xf numFmtId="0" fontId="269" fillId="0" borderId="4" xfId="57" applyFont="1" applyBorder="1" applyAlignment="1" applyProtection="1"/>
    <xf numFmtId="0" fontId="269" fillId="0" borderId="33" xfId="57" applyFont="1" applyBorder="1" applyAlignment="1" applyProtection="1"/>
    <xf numFmtId="0" fontId="3" fillId="0" borderId="0" xfId="0" applyFont="1" applyAlignment="1">
      <alignment horizontal="center"/>
    </xf>
    <xf numFmtId="0" fontId="63" fillId="0" borderId="0" xfId="115" applyFont="1" applyAlignment="1" applyProtection="1">
      <alignment horizontal="center" vertical="center"/>
      <protection hidden="1"/>
    </xf>
    <xf numFmtId="164" fontId="7" fillId="0" borderId="4" xfId="96" applyNumberFormat="1" applyFont="1" applyBorder="1" applyAlignment="1">
      <alignment horizontal="center" shrinkToFit="1"/>
    </xf>
    <xf numFmtId="164" fontId="7" fillId="0" borderId="4" xfId="96" applyNumberFormat="1" applyFont="1" applyBorder="1" applyAlignment="1" applyProtection="1">
      <alignment horizontal="center" shrinkToFit="1"/>
      <protection locked="0"/>
    </xf>
    <xf numFmtId="164" fontId="3" fillId="0" borderId="0" xfId="96" applyNumberFormat="1" applyFont="1" applyAlignment="1">
      <alignment horizontal="center"/>
    </xf>
    <xf numFmtId="164" fontId="3" fillId="0" borderId="0" xfId="99" applyNumberFormat="1" applyFont="1" applyAlignment="1">
      <alignment horizontal="center"/>
    </xf>
    <xf numFmtId="164" fontId="7" fillId="0" borderId="1" xfId="96" applyNumberFormat="1" applyFont="1" applyBorder="1" applyAlignment="1">
      <alignment horizontal="center" shrinkToFit="1"/>
    </xf>
    <xf numFmtId="6" fontId="12" fillId="0" borderId="1" xfId="115" applyNumberFormat="1" applyFont="1" applyBorder="1" applyProtection="1">
      <protection locked="0"/>
    </xf>
    <xf numFmtId="0" fontId="12" fillId="0" borderId="1" xfId="115" applyFont="1" applyBorder="1" applyProtection="1">
      <protection locked="0"/>
    </xf>
    <xf numFmtId="0" fontId="17" fillId="0" borderId="1" xfId="115" applyFont="1" applyBorder="1" applyProtection="1">
      <protection locked="0"/>
    </xf>
    <xf numFmtId="0" fontId="12" fillId="0" borderId="4" xfId="115" applyFont="1" applyBorder="1" applyProtection="1">
      <protection locked="0"/>
    </xf>
    <xf numFmtId="0" fontId="17" fillId="0" borderId="4" xfId="115" applyFont="1" applyBorder="1" applyProtection="1">
      <protection locked="0"/>
    </xf>
    <xf numFmtId="0" fontId="23" fillId="0" borderId="0" xfId="115" applyFont="1" applyAlignment="1">
      <alignment horizontal="center"/>
    </xf>
    <xf numFmtId="0" fontId="4" fillId="6" borderId="0" xfId="0" applyFont="1" applyFill="1"/>
    <xf numFmtId="0" fontId="8" fillId="0" borderId="1" xfId="115" applyBorder="1" applyProtection="1">
      <protection locked="0"/>
    </xf>
    <xf numFmtId="0" fontId="0" fillId="0" borderId="1" xfId="0" applyBorder="1" applyProtection="1">
      <protection locked="0"/>
    </xf>
    <xf numFmtId="0" fontId="8" fillId="0" borderId="1" xfId="115" applyBorder="1" applyAlignment="1" applyProtection="1">
      <alignment horizontal="center"/>
      <protection locked="0"/>
    </xf>
    <xf numFmtId="0" fontId="4" fillId="0" borderId="0" xfId="0" applyFont="1"/>
    <xf numFmtId="0" fontId="81" fillId="0" borderId="0" xfId="57" applyFont="1" applyAlignment="1" applyProtection="1">
      <alignment horizontal="center"/>
    </xf>
    <xf numFmtId="0" fontId="63" fillId="0" borderId="0" xfId="115" applyFont="1" applyAlignment="1">
      <alignment horizontal="center" vertical="center"/>
    </xf>
    <xf numFmtId="0" fontId="3" fillId="0" borderId="0" xfId="86" applyFont="1" applyAlignment="1">
      <alignment horizontal="center"/>
    </xf>
    <xf numFmtId="164" fontId="2" fillId="0" borderId="0" xfId="99" applyNumberFormat="1"/>
    <xf numFmtId="0" fontId="2" fillId="0" borderId="0" xfId="0" applyFont="1" applyAlignment="1">
      <alignment horizontal="left" vertical="center"/>
    </xf>
    <xf numFmtId="164" fontId="76" fillId="0" borderId="0" xfId="99" applyNumberFormat="1" applyFont="1" applyAlignment="1">
      <alignment horizontal="center"/>
    </xf>
    <xf numFmtId="0" fontId="175" fillId="0" borderId="0" xfId="57" applyFont="1" applyAlignment="1" applyProtection="1">
      <alignment vertical="center"/>
    </xf>
    <xf numFmtId="0" fontId="4" fillId="0" borderId="0" xfId="57" applyFont="1" applyAlignment="1" applyProtection="1">
      <alignment vertical="center"/>
    </xf>
    <xf numFmtId="0" fontId="60" fillId="0" borderId="0" xfId="115" applyFont="1" applyAlignment="1">
      <alignment horizontal="center" vertical="center"/>
    </xf>
    <xf numFmtId="0" fontId="3" fillId="0" borderId="0" xfId="115" applyFont="1" applyAlignment="1">
      <alignment horizontal="center"/>
    </xf>
    <xf numFmtId="168" fontId="7" fillId="0" borderId="1" xfId="82" applyFont="1" applyBorder="1" applyAlignment="1" applyProtection="1">
      <alignment horizontal="center" shrinkToFit="1"/>
    </xf>
    <xf numFmtId="168" fontId="7" fillId="0" borderId="4" xfId="82" applyFont="1" applyBorder="1" applyAlignment="1">
      <alignment horizontal="center" shrinkToFit="1"/>
      <protection locked="0"/>
    </xf>
    <xf numFmtId="168" fontId="7" fillId="0" borderId="1" xfId="82" applyFont="1" applyBorder="1" applyAlignment="1">
      <alignment horizontal="center" shrinkToFit="1"/>
      <protection locked="0"/>
    </xf>
    <xf numFmtId="168" fontId="36" fillId="0" borderId="5" xfId="82" applyFont="1" applyBorder="1" applyAlignment="1" applyProtection="1">
      <alignment horizontal="center" wrapText="1"/>
    </xf>
    <xf numFmtId="168" fontId="36" fillId="0" borderId="6" xfId="82" applyFont="1" applyBorder="1" applyAlignment="1" applyProtection="1">
      <alignment horizontal="center" wrapText="1"/>
    </xf>
    <xf numFmtId="168" fontId="36" fillId="0" borderId="7" xfId="82" applyFont="1" applyBorder="1" applyAlignment="1" applyProtection="1">
      <alignment horizontal="center" wrapText="1"/>
    </xf>
    <xf numFmtId="168" fontId="36" fillId="0" borderId="23" xfId="82" applyFont="1" applyBorder="1" applyAlignment="1" applyProtection="1">
      <alignment horizontal="center"/>
    </xf>
    <xf numFmtId="168" fontId="36" fillId="0" borderId="4" xfId="82" applyFont="1" applyBorder="1" applyAlignment="1" applyProtection="1">
      <alignment horizontal="center"/>
    </xf>
    <xf numFmtId="168" fontId="36" fillId="0" borderId="33" xfId="82" applyFont="1" applyBorder="1" applyAlignment="1" applyProtection="1">
      <alignment horizontal="center"/>
    </xf>
    <xf numFmtId="0" fontId="44" fillId="0" borderId="0" xfId="82" applyNumberFormat="1" applyFont="1" applyProtection="1"/>
    <xf numFmtId="0" fontId="136" fillId="0" borderId="0" xfId="0" applyFont="1"/>
    <xf numFmtId="39" fontId="2" fillId="0" borderId="1" xfId="115" applyNumberFormat="1" applyFont="1" applyBorder="1" applyAlignment="1" applyProtection="1">
      <alignment horizontal="left"/>
      <protection locked="0"/>
    </xf>
    <xf numFmtId="0" fontId="2" fillId="0" borderId="1" xfId="115" applyFont="1" applyBorder="1" applyAlignment="1" applyProtection="1">
      <alignment horizontal="left"/>
      <protection locked="0"/>
    </xf>
    <xf numFmtId="0" fontId="59" fillId="0" borderId="0" xfId="115" applyFont="1" applyAlignment="1">
      <alignment horizontal="center" vertical="center"/>
    </xf>
    <xf numFmtId="164" fontId="2" fillId="0" borderId="1" xfId="96" applyNumberFormat="1" applyBorder="1" applyAlignment="1">
      <alignment horizontal="center" shrinkToFit="1"/>
    </xf>
    <xf numFmtId="164" fontId="2" fillId="0" borderId="4" xfId="96" applyNumberFormat="1" applyBorder="1" applyAlignment="1">
      <alignment horizontal="center" shrinkToFit="1"/>
    </xf>
    <xf numFmtId="168" fontId="2" fillId="0" borderId="4" xfId="82" applyFont="1" applyBorder="1" applyAlignment="1">
      <alignment horizontal="left" shrinkToFit="1"/>
      <protection locked="0"/>
    </xf>
    <xf numFmtId="4" fontId="2" fillId="0" borderId="1" xfId="115" applyNumberFormat="1" applyFont="1" applyBorder="1" applyAlignment="1" applyProtection="1">
      <alignment horizontal="center"/>
      <protection locked="0"/>
    </xf>
    <xf numFmtId="4" fontId="2" fillId="0" borderId="0" xfId="115" applyNumberFormat="1" applyFont="1" applyAlignment="1" applyProtection="1">
      <alignment horizontal="center"/>
      <protection locked="0"/>
    </xf>
    <xf numFmtId="0" fontId="279" fillId="0" borderId="8" xfId="0" applyFont="1" applyBorder="1" applyAlignment="1">
      <alignment horizontal="center"/>
    </xf>
    <xf numFmtId="0" fontId="279" fillId="0" borderId="1" xfId="0" applyFont="1" applyBorder="1" applyAlignment="1" applyProtection="1">
      <alignment horizontal="center"/>
      <protection locked="0"/>
    </xf>
    <xf numFmtId="14" fontId="279" fillId="0" borderId="1" xfId="0" applyNumberFormat="1" applyFont="1" applyBorder="1" applyAlignment="1" applyProtection="1">
      <alignment horizontal="center"/>
      <protection locked="0"/>
    </xf>
    <xf numFmtId="168" fontId="136" fillId="0" borderId="4" xfId="82" applyFont="1" applyBorder="1" applyAlignment="1" applyProtection="1">
      <alignment horizontal="center"/>
    </xf>
    <xf numFmtId="168" fontId="81" fillId="0" borderId="0" xfId="57" applyNumberFormat="1" applyFont="1" applyAlignment="1" applyProtection="1">
      <alignment horizontal="center"/>
    </xf>
    <xf numFmtId="168" fontId="3" fillId="0" borderId="0" xfId="85" applyFont="1" applyAlignment="1" applyProtection="1">
      <alignment horizontal="center"/>
    </xf>
    <xf numFmtId="0" fontId="7" fillId="0" borderId="1" xfId="85" applyNumberFormat="1" applyFont="1" applyBorder="1" applyAlignment="1" applyProtection="1">
      <alignment horizontal="center" shrinkToFit="1"/>
    </xf>
    <xf numFmtId="168" fontId="136" fillId="0" borderId="4" xfId="82" applyFont="1" applyBorder="1" applyAlignment="1">
      <alignment horizontal="center" shrinkToFit="1"/>
      <protection locked="0"/>
    </xf>
    <xf numFmtId="168" fontId="136" fillId="0" borderId="4" xfId="82" applyFont="1" applyBorder="1" applyAlignment="1">
      <alignment horizontal="center"/>
      <protection locked="0"/>
    </xf>
    <xf numFmtId="49" fontId="175" fillId="0" borderId="0" xfId="57" applyNumberFormat="1" applyFont="1" applyAlignment="1" applyProtection="1">
      <alignment horizontal="left"/>
    </xf>
    <xf numFmtId="164" fontId="7" fillId="0" borderId="1" xfId="0" applyNumberFormat="1" applyFont="1" applyBorder="1" applyAlignment="1">
      <alignment horizontal="center" shrinkToFit="1"/>
    </xf>
    <xf numFmtId="0" fontId="3" fillId="0" borderId="0" xfId="89" applyFont="1" applyAlignment="1">
      <alignment horizontal="center"/>
    </xf>
    <xf numFmtId="164" fontId="7" fillId="0" borderId="1" xfId="0" applyNumberFormat="1" applyFont="1" applyBorder="1" applyAlignment="1" applyProtection="1">
      <alignment horizontal="center" shrinkToFit="1"/>
      <protection locked="0"/>
    </xf>
    <xf numFmtId="0" fontId="7" fillId="0" borderId="0" xfId="89" applyFont="1"/>
    <xf numFmtId="0" fontId="2" fillId="0" borderId="0" xfId="89" applyFont="1"/>
    <xf numFmtId="49" fontId="4" fillId="0" borderId="0" xfId="0" applyNumberFormat="1" applyFont="1" applyAlignment="1">
      <alignment horizontal="left"/>
    </xf>
    <xf numFmtId="0" fontId="7" fillId="0" borderId="1" xfId="86" applyFont="1" applyBorder="1" applyAlignment="1">
      <alignment horizontal="center" shrinkToFit="1"/>
    </xf>
    <xf numFmtId="0" fontId="7" fillId="0" borderId="1" xfId="86" applyFont="1" applyBorder="1" applyAlignment="1" applyProtection="1">
      <alignment horizontal="center" shrinkToFit="1"/>
      <protection locked="0"/>
    </xf>
    <xf numFmtId="0" fontId="4" fillId="0" borderId="23" xfId="0" applyFont="1" applyBorder="1" applyAlignment="1">
      <alignment horizontal="center"/>
    </xf>
    <xf numFmtId="0" fontId="4" fillId="0" borderId="4" xfId="0" applyFont="1" applyBorder="1" applyAlignment="1">
      <alignment horizontal="center"/>
    </xf>
    <xf numFmtId="0" fontId="0" fillId="0" borderId="4" xfId="0" applyBorder="1"/>
    <xf numFmtId="0" fontId="0" fillId="0" borderId="33" xfId="0" applyBorder="1"/>
    <xf numFmtId="0" fontId="7" fillId="0" borderId="1" xfId="87" applyFont="1" applyBorder="1" applyAlignment="1">
      <alignment horizontal="center" shrinkToFit="1"/>
    </xf>
    <xf numFmtId="0" fontId="7" fillId="0" borderId="4" xfId="87" applyFont="1" applyBorder="1" applyAlignment="1">
      <alignment horizontal="center" shrinkToFit="1"/>
    </xf>
    <xf numFmtId="0" fontId="7" fillId="0" borderId="4" xfId="87" applyFont="1" applyBorder="1" applyAlignment="1" applyProtection="1">
      <alignment horizontal="center" shrinkToFit="1"/>
      <protection locked="0"/>
    </xf>
    <xf numFmtId="0" fontId="2" fillId="0" borderId="0" xfId="84" applyFont="1" applyAlignment="1">
      <alignment wrapText="1"/>
    </xf>
    <xf numFmtId="0" fontId="7" fillId="0" borderId="0" xfId="84" applyFont="1" applyAlignment="1">
      <alignment wrapText="1"/>
    </xf>
    <xf numFmtId="0" fontId="2" fillId="0" borderId="0" xfId="84" applyFont="1" applyAlignment="1">
      <alignment horizontal="left" vertical="top" wrapText="1" indent="1"/>
    </xf>
    <xf numFmtId="0" fontId="7" fillId="0" borderId="0" xfId="84" applyFont="1" applyAlignment="1">
      <alignment horizontal="left" vertical="top" wrapText="1" indent="1"/>
    </xf>
    <xf numFmtId="0" fontId="21" fillId="0" borderId="0" xfId="88" applyFont="1" applyAlignment="1">
      <alignment horizontal="center" wrapText="1" shrinkToFit="1"/>
    </xf>
    <xf numFmtId="0" fontId="3" fillId="0" borderId="0" xfId="88" applyFont="1" applyAlignment="1">
      <alignment horizontal="center"/>
    </xf>
    <xf numFmtId="0" fontId="11" fillId="0" borderId="0" xfId="88" applyFont="1" applyAlignment="1">
      <alignment horizontal="center"/>
    </xf>
    <xf numFmtId="0" fontId="3" fillId="0" borderId="0" xfId="115" applyFont="1" applyAlignment="1">
      <alignment horizontal="center" vertical="center"/>
    </xf>
    <xf numFmtId="0" fontId="43" fillId="20" borderId="15" xfId="0" applyFont="1" applyFill="1" applyBorder="1" applyAlignment="1">
      <alignment horizontal="center" wrapText="1"/>
    </xf>
    <xf numFmtId="164" fontId="7" fillId="0" borderId="4" xfId="0" applyNumberFormat="1" applyFont="1" applyBorder="1" applyAlignment="1">
      <alignment horizontal="center" shrinkToFit="1"/>
    </xf>
    <xf numFmtId="164" fontId="7" fillId="0" borderId="4" xfId="0" applyNumberFormat="1" applyFont="1" applyBorder="1" applyAlignment="1" applyProtection="1">
      <alignment horizontal="center" shrinkToFit="1"/>
      <protection locked="0"/>
    </xf>
    <xf numFmtId="0" fontId="7" fillId="0" borderId="0" xfId="0" applyFont="1" applyAlignment="1">
      <alignment horizontal="center"/>
    </xf>
    <xf numFmtId="0" fontId="4" fillId="0" borderId="1" xfId="0" applyFont="1" applyBorder="1" applyAlignment="1" applyProtection="1">
      <alignment horizontal="center"/>
      <protection locked="0"/>
    </xf>
    <xf numFmtId="0" fontId="7" fillId="0" borderId="0" xfId="0" applyFont="1" applyAlignment="1">
      <alignment horizontal="right"/>
    </xf>
    <xf numFmtId="0" fontId="7" fillId="0" borderId="1" xfId="0" applyFont="1" applyBorder="1" applyAlignment="1" applyProtection="1">
      <alignment horizontal="center"/>
      <protection locked="0"/>
    </xf>
    <xf numFmtId="0" fontId="2" fillId="0" borderId="0" xfId="0" applyFont="1" applyAlignment="1">
      <alignment horizontal="left" vertical="top" wrapText="1"/>
    </xf>
    <xf numFmtId="0" fontId="0" fillId="0" borderId="0" xfId="0" applyAlignment="1">
      <alignment vertical="top" wrapText="1"/>
    </xf>
    <xf numFmtId="0" fontId="7" fillId="0" borderId="1" xfId="0" applyFont="1" applyBorder="1" applyAlignment="1" applyProtection="1">
      <alignment horizontal="left"/>
      <protection locked="0"/>
    </xf>
    <xf numFmtId="14" fontId="7" fillId="0" borderId="23" xfId="0" applyNumberFormat="1" applyFont="1" applyBorder="1" applyAlignment="1" applyProtection="1">
      <alignment horizontal="center"/>
      <protection locked="0"/>
    </xf>
    <xf numFmtId="14" fontId="7" fillId="0" borderId="4" xfId="0" applyNumberFormat="1" applyFont="1" applyBorder="1" applyAlignment="1" applyProtection="1">
      <alignment horizontal="center"/>
      <protection locked="0"/>
    </xf>
    <xf numFmtId="14" fontId="7" fillId="0" borderId="33" xfId="0" applyNumberFormat="1" applyFont="1" applyBorder="1" applyAlignment="1" applyProtection="1">
      <alignment horizontal="center"/>
      <protection locked="0"/>
    </xf>
    <xf numFmtId="0" fontId="43" fillId="20" borderId="21" xfId="0" applyFont="1" applyFill="1" applyBorder="1" applyAlignment="1">
      <alignment horizontal="center" vertical="top" wrapText="1"/>
    </xf>
    <xf numFmtId="0" fontId="43" fillId="20" borderId="8" xfId="0" applyFont="1" applyFill="1" applyBorder="1" applyAlignment="1">
      <alignment horizontal="center" vertical="top" wrapText="1"/>
    </xf>
    <xf numFmtId="0" fontId="43" fillId="20" borderId="9" xfId="0" applyFont="1" applyFill="1" applyBorder="1" applyAlignment="1">
      <alignment horizontal="center" vertical="top" wrapText="1"/>
    </xf>
    <xf numFmtId="0" fontId="43" fillId="20" borderId="12" xfId="0" applyFont="1" applyFill="1" applyBorder="1" applyAlignment="1">
      <alignment horizontal="center" vertical="top" wrapText="1"/>
    </xf>
    <xf numFmtId="0" fontId="43" fillId="20" borderId="1" xfId="0" applyFont="1" applyFill="1" applyBorder="1" applyAlignment="1">
      <alignment horizontal="center" vertical="top" wrapText="1"/>
    </xf>
    <xf numFmtId="0" fontId="43" fillId="20" borderId="13" xfId="0" applyFont="1" applyFill="1" applyBorder="1" applyAlignment="1">
      <alignment horizontal="center" vertical="top" wrapText="1"/>
    </xf>
    <xf numFmtId="0" fontId="7" fillId="0" borderId="0" xfId="0" applyFont="1" applyAlignment="1">
      <alignment horizontal="left"/>
    </xf>
    <xf numFmtId="0" fontId="43" fillId="20" borderId="5" xfId="0" applyFont="1" applyFill="1" applyBorder="1" applyAlignment="1">
      <alignment horizontal="center" wrapText="1"/>
    </xf>
    <xf numFmtId="177" fontId="7" fillId="0" borderId="23" xfId="0" applyNumberFormat="1" applyFont="1" applyBorder="1" applyAlignment="1" applyProtection="1">
      <alignment horizontal="center"/>
      <protection locked="0"/>
    </xf>
    <xf numFmtId="177" fontId="7" fillId="0" borderId="4" xfId="0" applyNumberFormat="1" applyFont="1" applyBorder="1" applyAlignment="1" applyProtection="1">
      <alignment horizontal="center"/>
      <protection locked="0"/>
    </xf>
    <xf numFmtId="177" fontId="7" fillId="0" borderId="33" xfId="0" applyNumberFormat="1" applyFont="1" applyBorder="1" applyAlignment="1" applyProtection="1">
      <alignment horizontal="center"/>
      <protection locked="0"/>
    </xf>
    <xf numFmtId="10" fontId="7" fillId="0" borderId="4" xfId="0" applyNumberFormat="1" applyFont="1" applyBorder="1" applyAlignment="1" applyProtection="1">
      <alignment horizontal="center"/>
      <protection locked="0"/>
    </xf>
    <xf numFmtId="10" fontId="7" fillId="0" borderId="33" xfId="0" applyNumberFormat="1" applyFont="1" applyBorder="1" applyAlignment="1" applyProtection="1">
      <alignment horizontal="center"/>
      <protection locked="0"/>
    </xf>
    <xf numFmtId="10" fontId="7" fillId="0" borderId="23" xfId="0" applyNumberFormat="1" applyFont="1" applyBorder="1" applyAlignment="1" applyProtection="1">
      <alignment horizontal="center"/>
      <protection locked="0"/>
    </xf>
    <xf numFmtId="0" fontId="135" fillId="20" borderId="21" xfId="0" applyFont="1" applyFill="1" applyBorder="1" applyAlignment="1">
      <alignment horizontal="center" vertical="center" wrapText="1"/>
    </xf>
    <xf numFmtId="0" fontId="135" fillId="20" borderId="8" xfId="0" applyFont="1" applyFill="1" applyBorder="1" applyAlignment="1">
      <alignment horizontal="center" vertical="center" wrapText="1"/>
    </xf>
    <xf numFmtId="0" fontId="135" fillId="20" borderId="9" xfId="0" applyFont="1" applyFill="1" applyBorder="1" applyAlignment="1">
      <alignment horizontal="center" vertical="center" wrapText="1"/>
    </xf>
    <xf numFmtId="0" fontId="135" fillId="20" borderId="10" xfId="0" applyFont="1" applyFill="1" applyBorder="1" applyAlignment="1">
      <alignment horizontal="center" vertical="center" wrapText="1"/>
    </xf>
    <xf numFmtId="0" fontId="135" fillId="20" borderId="0" xfId="0" applyFont="1" applyFill="1" applyAlignment="1">
      <alignment horizontal="center" vertical="center" wrapText="1"/>
    </xf>
    <xf numFmtId="0" fontId="135" fillId="20" borderId="11" xfId="0" applyFont="1" applyFill="1" applyBorder="1" applyAlignment="1">
      <alignment horizontal="center" vertical="center" wrapText="1"/>
    </xf>
    <xf numFmtId="0" fontId="135" fillId="20" borderId="12" xfId="0" applyFont="1" applyFill="1" applyBorder="1" applyAlignment="1">
      <alignment horizontal="center" vertical="center" wrapText="1"/>
    </xf>
    <xf numFmtId="0" fontId="135" fillId="20" borderId="1" xfId="0" applyFont="1" applyFill="1" applyBorder="1" applyAlignment="1">
      <alignment horizontal="center" vertical="center" wrapText="1"/>
    </xf>
    <xf numFmtId="0" fontId="135" fillId="20" borderId="13" xfId="0" applyFont="1" applyFill="1" applyBorder="1" applyAlignment="1">
      <alignment horizontal="center" vertical="center" wrapText="1"/>
    </xf>
    <xf numFmtId="0" fontId="2" fillId="0" borderId="1" xfId="0" applyFont="1" applyBorder="1" applyProtection="1">
      <protection locked="0"/>
    </xf>
    <xf numFmtId="0" fontId="0" fillId="0" borderId="1" xfId="0" applyBorder="1"/>
    <xf numFmtId="0" fontId="2" fillId="0" borderId="1" xfId="0" applyFont="1" applyBorder="1"/>
    <xf numFmtId="0" fontId="2" fillId="0" borderId="4" xfId="0" applyFont="1" applyBorder="1" applyProtection="1">
      <protection locked="0"/>
    </xf>
    <xf numFmtId="0" fontId="2" fillId="0" borderId="4" xfId="0" applyFont="1" applyBorder="1"/>
    <xf numFmtId="0" fontId="43" fillId="20" borderId="23" xfId="0" applyFont="1" applyFill="1" applyBorder="1" applyAlignment="1">
      <alignment horizontal="center" wrapText="1"/>
    </xf>
    <xf numFmtId="0" fontId="43" fillId="20" borderId="4" xfId="0" applyFont="1" applyFill="1" applyBorder="1" applyAlignment="1">
      <alignment horizontal="center" wrapText="1"/>
    </xf>
    <xf numFmtId="0" fontId="43" fillId="20" borderId="33" xfId="0" applyFont="1" applyFill="1" applyBorder="1" applyAlignment="1">
      <alignment horizontal="center" wrapText="1"/>
    </xf>
    <xf numFmtId="0" fontId="4" fillId="0" borderId="0" xfId="0" applyFont="1" applyAlignment="1" applyProtection="1">
      <alignment horizontal="right"/>
      <protection locked="0"/>
    </xf>
    <xf numFmtId="0" fontId="7" fillId="0" borderId="0" xfId="0" applyFont="1" applyAlignment="1" applyProtection="1">
      <alignment horizontal="center"/>
      <protection locked="0"/>
    </xf>
    <xf numFmtId="0" fontId="242" fillId="0" borderId="0" xfId="0" applyFont="1" applyAlignment="1">
      <alignment horizontal="left"/>
    </xf>
    <xf numFmtId="0" fontId="15" fillId="0" borderId="0" xfId="0" applyFont="1"/>
    <xf numFmtId="49" fontId="183" fillId="0" borderId="0" xfId="0" applyNumberFormat="1" applyFont="1"/>
    <xf numFmtId="49" fontId="119" fillId="0" borderId="0" xfId="0" applyNumberFormat="1" applyFont="1"/>
    <xf numFmtId="0" fontId="7" fillId="0" borderId="4" xfId="93" applyFont="1" applyBorder="1" applyAlignment="1">
      <alignment horizontal="center" shrinkToFit="1"/>
    </xf>
    <xf numFmtId="0" fontId="7" fillId="0" borderId="1" xfId="89" applyFont="1" applyBorder="1" applyAlignment="1">
      <alignment horizontal="center"/>
    </xf>
    <xf numFmtId="0" fontId="0" fillId="0" borderId="1" xfId="0" applyBorder="1" applyAlignment="1">
      <alignment horizontal="center"/>
    </xf>
    <xf numFmtId="164" fontId="7" fillId="0" borderId="4" xfId="93" applyNumberFormat="1" applyFont="1" applyBorder="1" applyAlignment="1" applyProtection="1">
      <alignment horizontal="center" shrinkToFit="1"/>
      <protection locked="0"/>
    </xf>
    <xf numFmtId="49" fontId="175" fillId="0" borderId="0" xfId="57" applyNumberFormat="1" applyFont="1" applyAlignment="1" applyProtection="1"/>
    <xf numFmtId="0" fontId="175" fillId="0" borderId="0" xfId="57" applyFont="1" applyAlignment="1" applyProtection="1"/>
    <xf numFmtId="0" fontId="7" fillId="0" borderId="1" xfId="93" applyFont="1" applyBorder="1" applyAlignment="1">
      <alignment horizontal="center" shrinkToFit="1"/>
    </xf>
    <xf numFmtId="0" fontId="5" fillId="0" borderId="0" xfId="57" applyFont="1" applyAlignment="1" applyProtection="1">
      <alignment horizontal="left"/>
    </xf>
    <xf numFmtId="185" fontId="2" fillId="0" borderId="0" xfId="115" applyNumberFormat="1" applyFont="1" applyAlignment="1">
      <alignment horizontal="center"/>
    </xf>
    <xf numFmtId="185" fontId="2" fillId="0" borderId="1" xfId="115" applyNumberFormat="1" applyFont="1" applyBorder="1" applyAlignment="1" applyProtection="1">
      <alignment horizontal="center"/>
      <protection locked="0"/>
    </xf>
    <xf numFmtId="0" fontId="4" fillId="8" borderId="0" xfId="94" applyFont="1" applyFill="1"/>
    <xf numFmtId="164" fontId="7" fillId="0" borderId="1" xfId="93" applyNumberFormat="1" applyFont="1" applyBorder="1" applyAlignment="1" applyProtection="1">
      <alignment horizontal="center" shrinkToFit="1"/>
      <protection locked="0"/>
    </xf>
    <xf numFmtId="0" fontId="2" fillId="0" borderId="0" xfId="0" applyFont="1" applyAlignment="1">
      <alignment horizontal="left" wrapText="1" indent="2"/>
    </xf>
    <xf numFmtId="0" fontId="7" fillId="0" borderId="0" xfId="0" applyFont="1" applyAlignment="1">
      <alignment horizontal="left" wrapText="1" indent="2"/>
    </xf>
    <xf numFmtId="0" fontId="4" fillId="0" borderId="1" xfId="0" applyFont="1" applyBorder="1" applyAlignment="1">
      <alignment horizontal="center"/>
    </xf>
    <xf numFmtId="0" fontId="7" fillId="0" borderId="0" xfId="0" applyFont="1" applyAlignment="1">
      <alignment wrapText="1"/>
    </xf>
    <xf numFmtId="0" fontId="4" fillId="0" borderId="0" xfId="0" applyFont="1" applyAlignment="1">
      <alignment horizontal="center"/>
    </xf>
    <xf numFmtId="0" fontId="18" fillId="0" borderId="0" xfId="89" applyFont="1" applyAlignment="1">
      <alignment horizontal="center"/>
    </xf>
    <xf numFmtId="0" fontId="7" fillId="0" borderId="0" xfId="89" applyFont="1" applyAlignment="1">
      <alignment horizontal="center"/>
    </xf>
    <xf numFmtId="0" fontId="175" fillId="0" borderId="0" xfId="57" applyFont="1" applyAlignment="1" applyProtection="1">
      <alignment horizontal="left" vertical="center"/>
    </xf>
    <xf numFmtId="164" fontId="2" fillId="0" borderId="0" xfId="99" applyNumberFormat="1" applyAlignment="1">
      <alignment horizontal="center"/>
    </xf>
    <xf numFmtId="0" fontId="183" fillId="0" borderId="0" xfId="0" applyFont="1" applyAlignment="1">
      <alignment horizontal="left"/>
    </xf>
    <xf numFmtId="49" fontId="44" fillId="0" borderId="1" xfId="89" applyNumberFormat="1" applyFont="1" applyBorder="1" applyAlignment="1" applyProtection="1">
      <alignment horizontal="left"/>
      <protection locked="0"/>
    </xf>
    <xf numFmtId="49" fontId="44" fillId="0" borderId="4" xfId="89" applyNumberFormat="1" applyFont="1" applyBorder="1" applyAlignment="1" applyProtection="1">
      <alignment horizontal="left"/>
      <protection locked="0"/>
    </xf>
    <xf numFmtId="0" fontId="0" fillId="0" borderId="4" xfId="0" applyBorder="1" applyAlignment="1">
      <alignment horizontal="left"/>
    </xf>
    <xf numFmtId="0" fontId="12" fillId="0" borderId="0" xfId="89" applyAlignment="1">
      <alignment horizontal="left"/>
    </xf>
    <xf numFmtId="0" fontId="119" fillId="0" borderId="0" xfId="0" applyFont="1" applyAlignment="1">
      <alignment horizontal="left"/>
    </xf>
    <xf numFmtId="0" fontId="0" fillId="0" borderId="0" xfId="0" applyAlignment="1">
      <alignment horizontal="left"/>
    </xf>
    <xf numFmtId="49" fontId="2" fillId="0" borderId="4" xfId="89" applyNumberFormat="1" applyFont="1" applyBorder="1" applyAlignment="1" applyProtection="1">
      <alignment horizontal="center"/>
      <protection locked="0"/>
    </xf>
    <xf numFmtId="49" fontId="7" fillId="0" borderId="4" xfId="89" applyNumberFormat="1" applyFont="1" applyBorder="1" applyAlignment="1" applyProtection="1">
      <alignment horizontal="center"/>
      <protection locked="0"/>
    </xf>
    <xf numFmtId="0" fontId="7" fillId="0" borderId="1" xfId="93" applyFont="1" applyBorder="1" applyAlignment="1">
      <alignment horizontal="left"/>
    </xf>
    <xf numFmtId="164" fontId="7" fillId="0" borderId="4" xfId="0" applyNumberFormat="1" applyFont="1" applyBorder="1" applyAlignment="1" applyProtection="1">
      <alignment horizontal="left"/>
      <protection locked="0"/>
    </xf>
    <xf numFmtId="0" fontId="0" fillId="0" borderId="4" xfId="0" applyBorder="1" applyProtection="1">
      <protection locked="0"/>
    </xf>
    <xf numFmtId="164" fontId="7" fillId="0" borderId="4" xfId="93" applyNumberFormat="1" applyFont="1" applyBorder="1" applyAlignment="1" applyProtection="1">
      <alignment horizontal="left"/>
      <protection locked="0"/>
    </xf>
    <xf numFmtId="0" fontId="183" fillId="0" borderId="1" xfId="0" applyFont="1" applyBorder="1" applyAlignment="1">
      <alignment horizontal="center"/>
    </xf>
    <xf numFmtId="0" fontId="7" fillId="0" borderId="1" xfId="0" applyFont="1" applyBorder="1" applyAlignment="1">
      <alignment horizontal="center"/>
    </xf>
    <xf numFmtId="0" fontId="50" fillId="0" borderId="0" xfId="89" applyFont="1" applyAlignment="1">
      <alignment horizontal="center"/>
    </xf>
    <xf numFmtId="0" fontId="50" fillId="0" borderId="1" xfId="89" applyFont="1" applyBorder="1" applyAlignment="1">
      <alignment horizontal="center"/>
    </xf>
    <xf numFmtId="0" fontId="2" fillId="0" borderId="0" xfId="102" applyFont="1"/>
    <xf numFmtId="0" fontId="4" fillId="0" borderId="0" xfId="102" applyFont="1"/>
    <xf numFmtId="49" fontId="2" fillId="0" borderId="1" xfId="89" applyNumberFormat="1" applyFont="1" applyBorder="1" applyAlignment="1" applyProtection="1">
      <alignment horizontal="left"/>
      <protection locked="0"/>
    </xf>
    <xf numFmtId="0" fontId="7" fillId="0" borderId="0" xfId="89" applyFont="1" applyAlignment="1">
      <alignment horizontal="left" indent="2"/>
    </xf>
    <xf numFmtId="0" fontId="0" fillId="0" borderId="0" xfId="0" applyAlignment="1">
      <alignment horizontal="left" indent="2"/>
    </xf>
    <xf numFmtId="0" fontId="7" fillId="0" borderId="0" xfId="102" applyFont="1"/>
    <xf numFmtId="0" fontId="4" fillId="0" borderId="1" xfId="89" applyFont="1" applyBorder="1" applyAlignment="1">
      <alignment horizontal="center"/>
    </xf>
    <xf numFmtId="0" fontId="243" fillId="0" borderId="0" xfId="0" applyFont="1" applyAlignment="1">
      <alignment horizontal="left"/>
    </xf>
    <xf numFmtId="0" fontId="185" fillId="0" borderId="0" xfId="0" applyFont="1"/>
    <xf numFmtId="0" fontId="243" fillId="0" borderId="4" xfId="0" applyFont="1" applyBorder="1" applyAlignment="1" applyProtection="1">
      <alignment horizontal="left"/>
      <protection locked="0"/>
    </xf>
    <xf numFmtId="164" fontId="7" fillId="0" borderId="1" xfId="0" applyNumberFormat="1" applyFont="1" applyBorder="1" applyAlignment="1">
      <alignment horizontal="center"/>
    </xf>
    <xf numFmtId="0" fontId="2" fillId="0" borderId="1" xfId="0" applyFont="1" applyBorder="1" applyAlignment="1" applyProtection="1">
      <alignment horizontal="center"/>
      <protection locked="0"/>
    </xf>
    <xf numFmtId="164" fontId="7" fillId="0" borderId="0" xfId="0" applyNumberFormat="1" applyFont="1" applyAlignment="1">
      <alignment horizontal="center"/>
    </xf>
    <xf numFmtId="0" fontId="4" fillId="6" borderId="8" xfId="0" applyFont="1" applyFill="1" applyBorder="1"/>
    <xf numFmtId="0" fontId="0" fillId="0" borderId="8" xfId="0" applyBorder="1"/>
    <xf numFmtId="0" fontId="101" fillId="6" borderId="0" xfId="115" applyFont="1" applyFill="1" applyAlignment="1">
      <alignment horizontal="left"/>
    </xf>
    <xf numFmtId="0" fontId="7" fillId="0" borderId="4" xfId="0" applyFont="1" applyBorder="1" applyProtection="1">
      <protection locked="0"/>
    </xf>
    <xf numFmtId="176" fontId="7" fillId="0" borderId="1" xfId="0" applyNumberFormat="1" applyFont="1" applyBorder="1" applyProtection="1">
      <protection locked="0"/>
    </xf>
    <xf numFmtId="0" fontId="7" fillId="0" borderId="1" xfId="0" applyFont="1" applyBorder="1" applyProtection="1">
      <protection locked="0"/>
    </xf>
    <xf numFmtId="192" fontId="4" fillId="0" borderId="0" xfId="95" applyNumberFormat="1" applyFont="1"/>
    <xf numFmtId="192" fontId="4" fillId="0" borderId="0" xfId="0" applyNumberFormat="1" applyFont="1"/>
    <xf numFmtId="0" fontId="18" fillId="0" borderId="0" xfId="95" applyFont="1" applyAlignment="1">
      <alignment horizontal="center"/>
    </xf>
    <xf numFmtId="192" fontId="2" fillId="0" borderId="0" xfId="95" applyNumberFormat="1" applyFont="1"/>
    <xf numFmtId="192" fontId="0" fillId="0" borderId="0" xfId="0" applyNumberFormat="1"/>
    <xf numFmtId="0" fontId="0" fillId="6" borderId="0" xfId="0" applyFill="1"/>
    <xf numFmtId="0" fontId="6" fillId="0" borderId="0" xfId="0" applyFont="1" applyAlignment="1">
      <alignment horizontal="center"/>
    </xf>
    <xf numFmtId="164" fontId="7" fillId="0" borderId="4" xfId="0" applyNumberFormat="1" applyFont="1" applyBorder="1" applyAlignment="1">
      <alignment horizontal="center"/>
    </xf>
    <xf numFmtId="191" fontId="7" fillId="0" borderId="1" xfId="0" applyNumberFormat="1" applyFont="1" applyBorder="1" applyAlignment="1" applyProtection="1">
      <alignment horizontal="center"/>
      <protection locked="0"/>
    </xf>
    <xf numFmtId="164" fontId="2" fillId="0" borderId="4" xfId="0" applyNumberFormat="1" applyFont="1" applyBorder="1" applyAlignment="1" applyProtection="1">
      <alignment horizontal="center"/>
      <protection locked="0"/>
    </xf>
    <xf numFmtId="164" fontId="2" fillId="0" borderId="1" xfId="0" applyNumberFormat="1" applyFont="1" applyBorder="1" applyAlignment="1" applyProtection="1">
      <alignment horizontal="center"/>
      <protection locked="0"/>
    </xf>
    <xf numFmtId="0" fontId="4" fillId="0" borderId="0" xfId="0" applyFont="1" applyAlignment="1">
      <alignment horizontal="right"/>
    </xf>
    <xf numFmtId="164" fontId="7" fillId="0" borderId="4" xfId="69" applyNumberFormat="1" applyFont="1" applyBorder="1" applyAlignment="1" applyProtection="1">
      <alignment horizontal="center" shrinkToFit="1"/>
      <protection locked="0"/>
    </xf>
    <xf numFmtId="164" fontId="3" fillId="0" borderId="0" xfId="69" applyNumberFormat="1" applyFont="1" applyAlignment="1">
      <alignment horizontal="center"/>
    </xf>
    <xf numFmtId="0" fontId="3" fillId="0" borderId="0" xfId="81" applyFont="1" applyAlignment="1">
      <alignment horizontal="center"/>
    </xf>
    <xf numFmtId="164" fontId="7" fillId="0" borderId="0" xfId="69" applyNumberFormat="1" applyFont="1" applyAlignment="1">
      <alignment horizontal="center" shrinkToFit="1"/>
    </xf>
    <xf numFmtId="164" fontId="7" fillId="0" borderId="1" xfId="69" applyNumberFormat="1" applyFont="1" applyBorder="1" applyAlignment="1">
      <alignment horizontal="center" shrinkToFit="1"/>
    </xf>
    <xf numFmtId="0" fontId="38" fillId="0" borderId="0" xfId="81" applyFont="1" applyAlignment="1" applyProtection="1">
      <alignment horizontal="left"/>
      <protection locked="0"/>
    </xf>
    <xf numFmtId="0" fontId="2" fillId="0" borderId="0" xfId="0" applyFont="1" applyAlignment="1">
      <alignment horizontal="left"/>
    </xf>
    <xf numFmtId="0" fontId="2" fillId="0" borderId="0" xfId="0" applyFont="1" applyAlignment="1">
      <alignment horizontal="left" indent="1"/>
    </xf>
    <xf numFmtId="0" fontId="0" fillId="0" borderId="0" xfId="0" applyAlignment="1">
      <alignment horizontal="center"/>
    </xf>
    <xf numFmtId="164" fontId="2" fillId="0" borderId="0" xfId="69" applyNumberFormat="1" applyFont="1" applyAlignment="1">
      <alignment horizontal="center" shrinkToFit="1"/>
    </xf>
    <xf numFmtId="0" fontId="2" fillId="58" borderId="0" xfId="0" applyFont="1" applyFill="1" applyAlignment="1">
      <alignment horizontal="left"/>
    </xf>
    <xf numFmtId="0" fontId="2" fillId="58" borderId="0" xfId="0" applyFont="1" applyFill="1"/>
    <xf numFmtId="0" fontId="38" fillId="58" borderId="0" xfId="81" applyFont="1" applyFill="1" applyAlignment="1" applyProtection="1">
      <alignment horizontal="left"/>
      <protection locked="0"/>
    </xf>
    <xf numFmtId="0" fontId="81" fillId="58" borderId="0" xfId="57" applyFont="1" applyFill="1" applyAlignment="1" applyProtection="1">
      <alignment horizontal="center"/>
    </xf>
    <xf numFmtId="0" fontId="0" fillId="58" borderId="0" xfId="57" applyFont="1" applyFill="1" applyAlignment="1" applyProtection="1">
      <alignment horizontal="center"/>
    </xf>
    <xf numFmtId="0" fontId="3" fillId="58" borderId="0" xfId="81" applyFont="1" applyFill="1" applyAlignment="1">
      <alignment horizontal="center"/>
    </xf>
    <xf numFmtId="0" fontId="0" fillId="58" borderId="0" xfId="0" applyFill="1" applyAlignment="1">
      <alignment horizontal="center"/>
    </xf>
    <xf numFmtId="164" fontId="2" fillId="58" borderId="0" xfId="69" applyNumberFormat="1" applyFont="1" applyFill="1" applyAlignment="1">
      <alignment horizontal="center" shrinkToFit="1"/>
    </xf>
    <xf numFmtId="164" fontId="2" fillId="58" borderId="1" xfId="69" applyNumberFormat="1" applyFont="1" applyFill="1" applyBorder="1" applyAlignment="1" applyProtection="1">
      <alignment horizontal="center" shrinkToFit="1"/>
      <protection locked="0"/>
    </xf>
    <xf numFmtId="0" fontId="4" fillId="58" borderId="0" xfId="0" applyFont="1" applyFill="1" applyAlignment="1">
      <alignment horizontal="left"/>
    </xf>
    <xf numFmtId="0" fontId="3" fillId="0" borderId="0" xfId="91" applyFont="1" applyAlignment="1">
      <alignment horizontal="center"/>
    </xf>
    <xf numFmtId="0" fontId="4" fillId="0" borderId="23" xfId="69" applyFont="1" applyBorder="1" applyAlignment="1">
      <alignment vertical="top" wrapText="1"/>
    </xf>
    <xf numFmtId="0" fontId="7" fillId="0" borderId="4" xfId="69" applyFont="1" applyBorder="1" applyAlignment="1">
      <alignment vertical="top" wrapText="1"/>
    </xf>
    <xf numFmtId="0" fontId="247" fillId="0" borderId="4" xfId="69" applyBorder="1" applyAlignment="1">
      <alignment vertical="top" wrapText="1"/>
    </xf>
    <xf numFmtId="0" fontId="247" fillId="0" borderId="33" xfId="69" applyBorder="1" applyAlignment="1">
      <alignment vertical="top" wrapText="1"/>
    </xf>
    <xf numFmtId="0" fontId="110" fillId="0" borderId="0" xfId="69" applyFont="1" applyAlignment="1">
      <alignment horizontal="right"/>
    </xf>
    <xf numFmtId="176" fontId="7" fillId="5" borderId="15" xfId="91" applyNumberFormat="1" applyFont="1" applyFill="1" applyBorder="1"/>
    <xf numFmtId="0" fontId="247" fillId="5" borderId="15" xfId="69" applyFill="1" applyBorder="1"/>
    <xf numFmtId="0" fontId="151" fillId="0" borderId="0" xfId="69" applyFont="1" applyAlignment="1">
      <alignment horizontal="right"/>
    </xf>
    <xf numFmtId="0" fontId="7" fillId="0" borderId="0" xfId="69" applyFont="1" applyAlignment="1">
      <alignment wrapText="1"/>
    </xf>
    <xf numFmtId="0" fontId="7" fillId="0" borderId="0" xfId="91" applyFont="1" applyAlignment="1">
      <alignment wrapText="1"/>
    </xf>
    <xf numFmtId="0" fontId="247" fillId="0" borderId="0" xfId="69"/>
    <xf numFmtId="0" fontId="247" fillId="0" borderId="11" xfId="69" applyBorder="1"/>
    <xf numFmtId="0" fontId="2" fillId="0" borderId="0" xfId="69" applyFont="1" applyProtection="1">
      <protection locked="0"/>
    </xf>
    <xf numFmtId="0" fontId="7" fillId="0" borderId="0" xfId="69" applyFont="1" applyProtection="1">
      <protection locked="0"/>
    </xf>
    <xf numFmtId="0" fontId="220" fillId="0" borderId="1" xfId="69" applyFont="1" applyBorder="1"/>
    <xf numFmtId="0" fontId="157" fillId="0" borderId="8" xfId="91" applyFont="1" applyBorder="1" applyAlignment="1">
      <alignment vertical="top" wrapText="1"/>
    </xf>
    <xf numFmtId="0" fontId="230" fillId="0" borderId="8" xfId="69" applyFont="1" applyBorder="1" applyAlignment="1">
      <alignment wrapText="1"/>
    </xf>
    <xf numFmtId="0" fontId="230" fillId="0" borderId="0" xfId="69" applyFont="1" applyAlignment="1">
      <alignment wrapText="1"/>
    </xf>
    <xf numFmtId="0" fontId="2" fillId="0" borderId="1" xfId="0" applyFont="1" applyBorder="1" applyAlignment="1">
      <alignment wrapText="1"/>
    </xf>
    <xf numFmtId="0" fontId="2" fillId="0" borderId="0" xfId="69" applyFont="1"/>
    <xf numFmtId="0" fontId="0" fillId="0" borderId="11" xfId="0" applyBorder="1"/>
    <xf numFmtId="0" fontId="247" fillId="0" borderId="11" xfId="69" applyBorder="1" applyAlignment="1">
      <alignment wrapText="1"/>
    </xf>
    <xf numFmtId="0" fontId="2" fillId="0" borderId="0" xfId="69" applyFont="1" applyAlignment="1" applyProtection="1">
      <alignment horizontal="left"/>
      <protection locked="0"/>
    </xf>
    <xf numFmtId="0" fontId="2" fillId="0" borderId="11" xfId="69" applyFont="1" applyBorder="1" applyAlignment="1" applyProtection="1">
      <alignment horizontal="left"/>
      <protection locked="0"/>
    </xf>
    <xf numFmtId="0" fontId="75" fillId="0" borderId="0" xfId="69" applyFont="1" applyAlignment="1">
      <alignment horizontal="left"/>
    </xf>
    <xf numFmtId="0" fontId="4" fillId="0" borderId="0" xfId="91" applyFont="1" applyAlignment="1">
      <alignment wrapText="1"/>
    </xf>
    <xf numFmtId="0" fontId="4" fillId="0" borderId="0" xfId="69" applyFont="1"/>
    <xf numFmtId="0" fontId="4" fillId="0" borderId="11" xfId="69" applyFont="1" applyBorder="1"/>
    <xf numFmtId="0" fontId="193" fillId="0" borderId="0" xfId="69" applyFont="1" applyAlignment="1">
      <alignment vertical="top" wrapText="1"/>
    </xf>
    <xf numFmtId="0" fontId="247" fillId="0" borderId="0" xfId="69" applyAlignment="1">
      <alignment wrapText="1"/>
    </xf>
    <xf numFmtId="0" fontId="4" fillId="0" borderId="0" xfId="69" applyFont="1" applyAlignment="1">
      <alignment wrapText="1"/>
    </xf>
    <xf numFmtId="0" fontId="4" fillId="0" borderId="1" xfId="69" applyFont="1" applyBorder="1" applyAlignment="1">
      <alignment horizontal="center"/>
    </xf>
    <xf numFmtId="0" fontId="220" fillId="0" borderId="4" xfId="69" applyFont="1" applyBorder="1"/>
    <xf numFmtId="0" fontId="7" fillId="0" borderId="0" xfId="69" applyFont="1"/>
    <xf numFmtId="0" fontId="180" fillId="0" borderId="0" xfId="69" applyFont="1" applyAlignment="1">
      <alignment horizontal="left"/>
    </xf>
    <xf numFmtId="0" fontId="187" fillId="0" borderId="0" xfId="69" applyFont="1" applyAlignment="1">
      <alignment horizontal="left" wrapText="1"/>
    </xf>
    <xf numFmtId="0" fontId="4" fillId="0" borderId="0" xfId="0" applyFont="1" applyAlignment="1">
      <alignment horizontal="left" wrapText="1"/>
    </xf>
    <xf numFmtId="0" fontId="64" fillId="0" borderId="0" xfId="90" applyFont="1" applyAlignment="1" applyProtection="1">
      <alignment horizontal="center" shrinkToFit="1"/>
      <protection locked="0"/>
    </xf>
    <xf numFmtId="0" fontId="3" fillId="0" borderId="0" xfId="90" applyFont="1" applyAlignment="1">
      <alignment horizontal="center"/>
    </xf>
    <xf numFmtId="0" fontId="68" fillId="0" borderId="1" xfId="90" applyFont="1" applyBorder="1" applyAlignment="1">
      <alignment horizontal="center"/>
    </xf>
    <xf numFmtId="0" fontId="12" fillId="0" borderId="4" xfId="90" applyFont="1" applyBorder="1" applyAlignment="1">
      <alignment horizontal="center"/>
    </xf>
    <xf numFmtId="0" fontId="2" fillId="0" borderId="0" xfId="69" applyFont="1" applyAlignment="1">
      <alignment wrapText="1"/>
    </xf>
    <xf numFmtId="0" fontId="7" fillId="0" borderId="11" xfId="69" applyFont="1" applyBorder="1" applyAlignment="1">
      <alignment wrapText="1"/>
    </xf>
    <xf numFmtId="0" fontId="64" fillId="0" borderId="1" xfId="90" applyFont="1" applyBorder="1" applyAlignment="1" applyProtection="1">
      <alignment horizontal="center" shrinkToFit="1"/>
      <protection locked="0"/>
    </xf>
    <xf numFmtId="0" fontId="64" fillId="0" borderId="4" xfId="90" applyFont="1" applyBorder="1" applyAlignment="1" applyProtection="1">
      <alignment horizontal="center" shrinkToFit="1"/>
      <protection locked="0"/>
    </xf>
    <xf numFmtId="0" fontId="58" fillId="0" borderId="0" xfId="115" applyFont="1" applyAlignment="1">
      <alignment horizontal="center"/>
    </xf>
    <xf numFmtId="164" fontId="7" fillId="0" borderId="1" xfId="115" applyNumberFormat="1" applyFont="1" applyBorder="1" applyAlignment="1" applyProtection="1">
      <alignment horizontal="center" shrinkToFit="1"/>
      <protection locked="0"/>
    </xf>
    <xf numFmtId="164" fontId="7" fillId="0" borderId="1" xfId="115" applyNumberFormat="1" applyFont="1" applyBorder="1" applyAlignment="1">
      <alignment horizontal="center" shrinkToFit="1"/>
    </xf>
    <xf numFmtId="0" fontId="8" fillId="0" borderId="1" xfId="115" applyBorder="1" applyAlignment="1" applyProtection="1">
      <alignment horizontal="left"/>
      <protection locked="0"/>
    </xf>
    <xf numFmtId="0" fontId="0" fillId="0" borderId="1" xfId="0" applyBorder="1" applyAlignment="1" applyProtection="1">
      <alignment horizontal="left"/>
      <protection locked="0"/>
    </xf>
    <xf numFmtId="164" fontId="7" fillId="0" borderId="4" xfId="115" applyNumberFormat="1" applyFont="1" applyBorder="1" applyAlignment="1" applyProtection="1">
      <alignment horizontal="center" shrinkToFit="1"/>
      <protection locked="0"/>
    </xf>
    <xf numFmtId="0" fontId="4" fillId="6" borderId="0" xfId="115" applyFont="1" applyFill="1" applyAlignment="1">
      <alignment horizontal="left"/>
    </xf>
    <xf numFmtId="0" fontId="2" fillId="0" borderId="0" xfId="115" applyFont="1" applyAlignment="1">
      <alignment vertical="center" wrapText="1"/>
    </xf>
    <xf numFmtId="0" fontId="0" fillId="0" borderId="0" xfId="0" applyAlignment="1">
      <alignment vertical="center" wrapText="1"/>
    </xf>
    <xf numFmtId="0" fontId="101" fillId="6" borderId="0" xfId="115" applyFont="1" applyFill="1" applyAlignment="1" applyProtection="1">
      <alignment horizontal="left"/>
      <protection locked="0"/>
    </xf>
    <xf numFmtId="0" fontId="0" fillId="0" borderId="0" xfId="0" applyProtection="1">
      <protection locked="0"/>
    </xf>
    <xf numFmtId="0" fontId="2" fillId="0" borderId="1" xfId="81" applyFont="1" applyBorder="1" applyAlignment="1">
      <alignment horizontal="center"/>
    </xf>
    <xf numFmtId="164" fontId="3" fillId="0" borderId="0" xfId="0" applyNumberFormat="1" applyFont="1" applyAlignment="1">
      <alignment horizontal="center"/>
    </xf>
    <xf numFmtId="0" fontId="76" fillId="0" borderId="0" xfId="81" applyFont="1" applyAlignment="1">
      <alignment horizontal="center"/>
    </xf>
    <xf numFmtId="176" fontId="2" fillId="3" borderId="4" xfId="81" applyNumberFormat="1" applyFont="1" applyFill="1" applyBorder="1"/>
    <xf numFmtId="0" fontId="2" fillId="0" borderId="0" xfId="81" applyFont="1" applyAlignment="1">
      <alignment horizontal="center"/>
    </xf>
    <xf numFmtId="176" fontId="2" fillId="0" borderId="4" xfId="81" applyNumberFormat="1" applyFont="1" applyBorder="1" applyProtection="1">
      <protection locked="0"/>
    </xf>
    <xf numFmtId="0" fontId="2" fillId="0" borderId="4" xfId="81" applyFont="1" applyBorder="1" applyProtection="1">
      <protection locked="0"/>
    </xf>
    <xf numFmtId="16" fontId="2" fillId="0" borderId="0" xfId="81" applyNumberFormat="1" applyFont="1" applyAlignment="1">
      <alignment horizontal="center"/>
    </xf>
    <xf numFmtId="176" fontId="2" fillId="60" borderId="4" xfId="81" applyNumberFormat="1" applyFont="1" applyFill="1" applyBorder="1" applyAlignment="1" applyProtection="1">
      <alignment horizontal="right"/>
      <protection locked="0"/>
    </xf>
    <xf numFmtId="0" fontId="2" fillId="0" borderId="0" xfId="81" applyFont="1" applyAlignment="1">
      <alignment horizontal="left"/>
    </xf>
    <xf numFmtId="189" fontId="2" fillId="0" borderId="0" xfId="81" applyNumberFormat="1" applyFont="1" applyAlignment="1">
      <alignment horizontal="center"/>
    </xf>
    <xf numFmtId="0" fontId="2" fillId="0" borderId="4" xfId="81" applyFont="1" applyBorder="1" applyAlignment="1">
      <alignment horizontal="center"/>
    </xf>
    <xf numFmtId="0" fontId="2" fillId="0" borderId="0" xfId="88" applyFont="1" applyAlignment="1" applyProtection="1">
      <alignment horizontal="left"/>
      <protection hidden="1"/>
    </xf>
    <xf numFmtId="39" fontId="2" fillId="0" borderId="3" xfId="81" applyNumberFormat="1" applyFont="1" applyBorder="1"/>
    <xf numFmtId="176" fontId="2" fillId="60" borderId="4" xfId="81" applyNumberFormat="1" applyFont="1" applyFill="1" applyBorder="1" applyProtection="1">
      <protection locked="0"/>
    </xf>
    <xf numFmtId="0" fontId="2" fillId="0" borderId="0" xfId="88" applyFont="1" applyProtection="1">
      <protection hidden="1"/>
    </xf>
    <xf numFmtId="0" fontId="2" fillId="0" borderId="0" xfId="81" applyFont="1" applyProtection="1">
      <protection locked="0"/>
    </xf>
    <xf numFmtId="176" fontId="2" fillId="0" borderId="0" xfId="81" applyNumberFormat="1" applyFont="1" applyProtection="1">
      <protection locked="0"/>
    </xf>
    <xf numFmtId="39" fontId="2" fillId="0" borderId="4" xfId="81" applyNumberFormat="1" applyFont="1" applyBorder="1"/>
    <xf numFmtId="0" fontId="2" fillId="0" borderId="1" xfId="81" applyFont="1" applyBorder="1" applyAlignment="1" applyProtection="1">
      <alignment horizontal="center"/>
      <protection locked="0"/>
    </xf>
    <xf numFmtId="176" fontId="2" fillId="0" borderId="4" xfId="81" applyNumberFormat="1" applyFont="1" applyBorder="1" applyAlignment="1" applyProtection="1">
      <alignment horizontal="right"/>
      <protection locked="0"/>
    </xf>
    <xf numFmtId="39" fontId="2" fillId="0" borderId="3" xfId="81" applyNumberFormat="1" applyFont="1" applyBorder="1" applyAlignment="1">
      <alignment horizontal="right"/>
    </xf>
    <xf numFmtId="0" fontId="2" fillId="0" borderId="38" xfId="81" applyFont="1" applyBorder="1" applyAlignment="1">
      <alignment horizontal="center"/>
    </xf>
    <xf numFmtId="0" fontId="2" fillId="0" borderId="1" xfId="81" applyFont="1" applyBorder="1" applyAlignment="1">
      <alignment horizontal="left"/>
    </xf>
    <xf numFmtId="0" fontId="2" fillId="0" borderId="4" xfId="81" applyFont="1" applyBorder="1" applyAlignment="1" applyProtection="1">
      <alignment horizontal="left"/>
      <protection locked="0"/>
    </xf>
    <xf numFmtId="0" fontId="2" fillId="0" borderId="0" xfId="81" applyFont="1" applyAlignment="1" applyProtection="1">
      <alignment horizontal="left"/>
      <protection locked="0"/>
    </xf>
    <xf numFmtId="0" fontId="143" fillId="0" borderId="0" xfId="81" applyFont="1" applyAlignment="1">
      <alignment horizontal="center"/>
    </xf>
    <xf numFmtId="0" fontId="61" fillId="0" borderId="0" xfId="81" applyFont="1"/>
    <xf numFmtId="0" fontId="61" fillId="0" borderId="0" xfId="0" applyFont="1"/>
    <xf numFmtId="164" fontId="7" fillId="0" borderId="0" xfId="0" applyNumberFormat="1" applyFont="1" applyAlignment="1">
      <alignment horizontal="center" shrinkToFit="1"/>
    </xf>
    <xf numFmtId="0" fontId="61" fillId="0" borderId="0" xfId="107" applyFont="1" applyAlignment="1" applyProtection="1">
      <alignment horizontal="center"/>
      <protection hidden="1"/>
    </xf>
    <xf numFmtId="0" fontId="2" fillId="0" borderId="1" xfId="107" applyFont="1" applyBorder="1" applyAlignment="1" applyProtection="1">
      <alignment horizontal="center" shrinkToFit="1"/>
      <protection locked="0"/>
    </xf>
    <xf numFmtId="0" fontId="3" fillId="0" borderId="0" xfId="107" applyFont="1" applyAlignment="1">
      <alignment horizontal="center"/>
    </xf>
    <xf numFmtId="0" fontId="7" fillId="0" borderId="1" xfId="107" applyFont="1" applyBorder="1" applyAlignment="1">
      <alignment horizontal="center"/>
    </xf>
    <xf numFmtId="0" fontId="2" fillId="0" borderId="4" xfId="107" applyFont="1" applyBorder="1" applyAlignment="1" applyProtection="1">
      <alignment horizontal="center"/>
      <protection locked="0"/>
    </xf>
    <xf numFmtId="0" fontId="4" fillId="0" borderId="16" xfId="109" applyFont="1" applyBorder="1" applyAlignment="1">
      <alignment horizontal="center"/>
    </xf>
    <xf numFmtId="0" fontId="3" fillId="0" borderId="0" xfId="108" applyFont="1" applyAlignment="1">
      <alignment horizontal="center"/>
    </xf>
    <xf numFmtId="0" fontId="4" fillId="0" borderId="2" xfId="109" applyFont="1" applyBorder="1" applyAlignment="1" applyProtection="1">
      <alignment horizontal="center"/>
      <protection locked="0"/>
    </xf>
    <xf numFmtId="0" fontId="3" fillId="0" borderId="0" xfId="115" applyFont="1" applyAlignment="1" applyProtection="1">
      <alignment horizontal="center" vertical="center"/>
      <protection locked="0"/>
    </xf>
    <xf numFmtId="0" fontId="7" fillId="0" borderId="1" xfId="108" applyFont="1" applyBorder="1" applyAlignment="1">
      <alignment horizontal="center" shrinkToFit="1"/>
    </xf>
    <xf numFmtId="0" fontId="7" fillId="0" borderId="1" xfId="107" applyFont="1" applyBorder="1" applyAlignment="1" applyProtection="1">
      <alignment horizontal="center" shrinkToFit="1"/>
      <protection locked="0"/>
    </xf>
    <xf numFmtId="0" fontId="7" fillId="0" borderId="4" xfId="108" applyFont="1" applyBorder="1" applyAlignment="1" applyProtection="1">
      <alignment horizontal="center" shrinkToFit="1"/>
      <protection locked="0"/>
    </xf>
    <xf numFmtId="0" fontId="4" fillId="0" borderId="16" xfId="108" applyFont="1" applyBorder="1" applyAlignment="1">
      <alignment horizontal="center"/>
    </xf>
    <xf numFmtId="0" fontId="3" fillId="0" borderId="0" xfId="110" applyFont="1" applyAlignment="1">
      <alignment horizontal="center"/>
    </xf>
    <xf numFmtId="0" fontId="11" fillId="0" borderId="0" xfId="110" applyFont="1"/>
    <xf numFmtId="0" fontId="22" fillId="0" borderId="0" xfId="110" applyFont="1"/>
    <xf numFmtId="0" fontId="4" fillId="0" borderId="2" xfId="108" applyFont="1" applyBorder="1" applyAlignment="1">
      <alignment horizontal="center"/>
    </xf>
    <xf numFmtId="0" fontId="5" fillId="0" borderId="0" xfId="110" applyFont="1"/>
    <xf numFmtId="0" fontId="5" fillId="0" borderId="0" xfId="110" applyFont="1" applyAlignment="1">
      <alignment horizontal="left"/>
    </xf>
    <xf numFmtId="0" fontId="2" fillId="0" borderId="1" xfId="139" applyFont="1" applyBorder="1" applyAlignment="1">
      <alignment horizontal="left" shrinkToFit="1"/>
    </xf>
    <xf numFmtId="0" fontId="2" fillId="0" borderId="1" xfId="139" applyFont="1" applyBorder="1" applyAlignment="1" applyProtection="1">
      <alignment horizontal="left" shrinkToFit="1"/>
      <protection locked="0"/>
    </xf>
    <xf numFmtId="0" fontId="4" fillId="0" borderId="2" xfId="139" applyFont="1" applyBorder="1" applyAlignment="1">
      <alignment horizontal="center"/>
    </xf>
    <xf numFmtId="0" fontId="4" fillId="0" borderId="0" xfId="139" applyFont="1" applyAlignment="1">
      <alignment horizontal="center" vertical="center"/>
    </xf>
    <xf numFmtId="0" fontId="61" fillId="0" borderId="0" xfId="139" applyFont="1" applyAlignment="1">
      <alignment horizontal="center" vertical="center"/>
    </xf>
    <xf numFmtId="0" fontId="3" fillId="0" borderId="0" xfId="112" applyFont="1" applyAlignment="1">
      <alignment horizontal="center"/>
    </xf>
    <xf numFmtId="0" fontId="3" fillId="0" borderId="0" xfId="139" applyFont="1" applyAlignment="1">
      <alignment horizontal="center"/>
    </xf>
    <xf numFmtId="0" fontId="2" fillId="0" borderId="1" xfId="138" applyFont="1" applyBorder="1" applyAlignment="1" applyProtection="1">
      <alignment horizontal="left" shrinkToFit="1"/>
      <protection locked="0"/>
    </xf>
    <xf numFmtId="0" fontId="81" fillId="0" borderId="0" xfId="59" applyFont="1" applyAlignment="1" applyProtection="1">
      <alignment horizontal="center"/>
    </xf>
    <xf numFmtId="0" fontId="76" fillId="0" borderId="0" xfId="112" applyFont="1" applyAlignment="1">
      <alignment horizontal="center"/>
    </xf>
    <xf numFmtId="0" fontId="2" fillId="0" borderId="0" xfId="139" applyFont="1" applyAlignment="1">
      <alignment horizontal="left"/>
    </xf>
    <xf numFmtId="0" fontId="2" fillId="0" borderId="4" xfId="139" applyFont="1" applyBorder="1" applyAlignment="1">
      <alignment horizontal="left" shrinkToFit="1"/>
    </xf>
    <xf numFmtId="0" fontId="2" fillId="0" borderId="4" xfId="139" applyFont="1" applyBorder="1" applyAlignment="1" applyProtection="1">
      <alignment horizontal="left" shrinkToFit="1"/>
      <protection locked="0"/>
    </xf>
    <xf numFmtId="0" fontId="3" fillId="0" borderId="0" xfId="136" applyFont="1" applyAlignment="1">
      <alignment horizontal="center"/>
    </xf>
    <xf numFmtId="0" fontId="2" fillId="0" borderId="1" xfId="138" applyFont="1" applyBorder="1" applyAlignment="1" applyProtection="1">
      <alignment horizontal="left" vertical="top" shrinkToFit="1"/>
      <protection locked="0"/>
    </xf>
    <xf numFmtId="0" fontId="4" fillId="0" borderId="59" xfId="136" applyFont="1" applyBorder="1" applyAlignment="1">
      <alignment horizontal="center"/>
    </xf>
    <xf numFmtId="0" fontId="4" fillId="0" borderId="22" xfId="136" applyFont="1" applyBorder="1" applyAlignment="1">
      <alignment horizontal="center"/>
    </xf>
    <xf numFmtId="0" fontId="4" fillId="0" borderId="60" xfId="136" applyFont="1" applyBorder="1" applyAlignment="1">
      <alignment horizontal="center"/>
    </xf>
    <xf numFmtId="0" fontId="2" fillId="0" borderId="4" xfId="137" applyFont="1" applyBorder="1" applyAlignment="1">
      <alignment horizontal="left" shrinkToFit="1"/>
    </xf>
    <xf numFmtId="0" fontId="2" fillId="0" borderId="4" xfId="136" applyFont="1" applyBorder="1" applyAlignment="1" applyProtection="1">
      <alignment horizontal="left"/>
      <protection locked="0"/>
    </xf>
    <xf numFmtId="0" fontId="2" fillId="0" borderId="4" xfId="137" applyFont="1" applyBorder="1" applyAlignment="1" applyProtection="1">
      <alignment horizontal="left" vertical="top" shrinkToFit="1"/>
      <protection locked="0"/>
    </xf>
    <xf numFmtId="0" fontId="59" fillId="0" borderId="0" xfId="139" applyFont="1" applyAlignment="1">
      <alignment horizontal="center" vertical="center"/>
    </xf>
    <xf numFmtId="0" fontId="273" fillId="0" borderId="0" xfId="139" applyFont="1" applyAlignment="1">
      <alignment horizontal="center" vertical="center"/>
    </xf>
    <xf numFmtId="0" fontId="2" fillId="0" borderId="4" xfId="139" applyFont="1" applyBorder="1" applyAlignment="1">
      <alignment shrinkToFit="1"/>
    </xf>
    <xf numFmtId="0" fontId="7" fillId="0" borderId="1" xfId="111" applyFont="1" applyBorder="1" applyAlignment="1">
      <alignment horizontal="center" shrinkToFit="1"/>
    </xf>
    <xf numFmtId="0" fontId="3" fillId="0" borderId="0" xfId="104" applyFont="1" applyAlignment="1">
      <alignment horizontal="center"/>
    </xf>
    <xf numFmtId="0" fontId="7" fillId="0" borderId="4" xfId="111" applyFont="1" applyBorder="1" applyAlignment="1" applyProtection="1">
      <alignment horizontal="center" shrinkToFit="1"/>
      <protection locked="0"/>
    </xf>
    <xf numFmtId="0" fontId="38" fillId="0" borderId="4" xfId="81" applyFont="1" applyBorder="1" applyAlignment="1" applyProtection="1">
      <alignment horizontal="left"/>
      <protection locked="0"/>
    </xf>
    <xf numFmtId="0" fontId="48" fillId="0" borderId="0" xfId="81" applyFont="1" applyAlignment="1">
      <alignment horizontal="center"/>
    </xf>
    <xf numFmtId="176" fontId="38" fillId="0" borderId="4" xfId="81" applyNumberFormat="1" applyFont="1" applyBorder="1" applyProtection="1">
      <protection locked="0"/>
    </xf>
    <xf numFmtId="0" fontId="38" fillId="0" borderId="1" xfId="81" applyFont="1" applyBorder="1" applyAlignment="1" applyProtection="1">
      <alignment horizontal="center"/>
      <protection locked="0"/>
    </xf>
    <xf numFmtId="0" fontId="38" fillId="0" borderId="1" xfId="81" applyFont="1" applyBorder="1" applyAlignment="1">
      <alignment horizontal="center"/>
    </xf>
    <xf numFmtId="0" fontId="38" fillId="0" borderId="0" xfId="81" applyFont="1" applyAlignment="1">
      <alignment horizontal="left"/>
    </xf>
    <xf numFmtId="0" fontId="38" fillId="0" borderId="4" xfId="81" applyFont="1" applyBorder="1" applyProtection="1">
      <protection locked="0"/>
    </xf>
    <xf numFmtId="4" fontId="2" fillId="0" borderId="1" xfId="92" applyNumberFormat="1" applyFont="1" applyBorder="1" applyAlignment="1" applyProtection="1">
      <alignment horizontal="right"/>
      <protection locked="0"/>
    </xf>
    <xf numFmtId="4" fontId="7" fillId="0" borderId="1" xfId="92" applyNumberFormat="1" applyFont="1" applyBorder="1" applyAlignment="1" applyProtection="1">
      <alignment horizontal="right"/>
      <protection locked="0"/>
    </xf>
    <xf numFmtId="0" fontId="7" fillId="0" borderId="1" xfId="92" applyFont="1" applyBorder="1" applyAlignment="1">
      <alignment horizontal="center"/>
    </xf>
    <xf numFmtId="0" fontId="7" fillId="0" borderId="0" xfId="92" applyFont="1" applyAlignment="1">
      <alignment horizontal="center"/>
    </xf>
    <xf numFmtId="0" fontId="3" fillId="0" borderId="0" xfId="92" applyFont="1" applyAlignment="1">
      <alignment horizontal="center"/>
    </xf>
    <xf numFmtId="0" fontId="4" fillId="0" borderId="1" xfId="92" applyFont="1" applyBorder="1" applyAlignment="1">
      <alignment horizontal="center"/>
    </xf>
    <xf numFmtId="176" fontId="2" fillId="0" borderId="2" xfId="92" applyNumberFormat="1" applyFont="1" applyBorder="1" applyProtection="1">
      <protection locked="0"/>
    </xf>
    <xf numFmtId="176" fontId="7" fillId="0" borderId="2" xfId="92" applyNumberFormat="1" applyFont="1" applyBorder="1" applyProtection="1">
      <protection locked="0"/>
    </xf>
    <xf numFmtId="0" fontId="2" fillId="0" borderId="0" xfId="92" applyFont="1" applyAlignment="1">
      <alignment vertical="top" wrapText="1"/>
    </xf>
    <xf numFmtId="0" fontId="7" fillId="0" borderId="0" xfId="92" applyFont="1" applyAlignment="1">
      <alignment vertical="top" wrapText="1"/>
    </xf>
    <xf numFmtId="0" fontId="4" fillId="0" borderId="0" xfId="92" applyFont="1" applyAlignment="1">
      <alignment horizontal="center"/>
    </xf>
    <xf numFmtId="172" fontId="4" fillId="0" borderId="0" xfId="92" applyNumberFormat="1" applyFont="1" applyAlignment="1">
      <alignment horizontal="center"/>
    </xf>
    <xf numFmtId="0" fontId="7" fillId="0" borderId="0" xfId="92" applyFont="1"/>
    <xf numFmtId="0" fontId="7" fillId="0" borderId="10" xfId="92" applyFont="1" applyBorder="1" applyAlignment="1">
      <alignment vertical="top" wrapText="1"/>
    </xf>
    <xf numFmtId="0" fontId="7" fillId="0" borderId="11" xfId="92" applyFont="1" applyBorder="1" applyAlignment="1">
      <alignment vertical="top" wrapText="1"/>
    </xf>
    <xf numFmtId="0" fontId="7" fillId="0" borderId="12" xfId="92" applyFont="1" applyBorder="1" applyAlignment="1">
      <alignment vertical="top" wrapText="1"/>
    </xf>
    <xf numFmtId="0" fontId="7" fillId="0" borderId="1" xfId="92" applyFont="1" applyBorder="1" applyAlignment="1">
      <alignment vertical="top" wrapText="1"/>
    </xf>
    <xf numFmtId="0" fontId="7" fillId="0" borderId="13" xfId="92" applyFont="1" applyBorder="1" applyAlignment="1">
      <alignment vertical="top" wrapText="1"/>
    </xf>
    <xf numFmtId="0" fontId="7" fillId="0" borderId="21" xfId="92" applyFont="1" applyBorder="1" applyAlignment="1">
      <alignment vertical="top" wrapText="1"/>
    </xf>
    <xf numFmtId="0" fontId="7" fillId="0" borderId="8" xfId="92" applyFont="1" applyBorder="1" applyAlignment="1">
      <alignment vertical="top" wrapText="1"/>
    </xf>
    <xf numFmtId="0" fontId="7" fillId="0" borderId="9" xfId="92" applyFont="1" applyBorder="1" applyAlignment="1">
      <alignment vertical="top" wrapText="1"/>
    </xf>
    <xf numFmtId="176" fontId="7" fillId="0" borderId="2" xfId="92" applyNumberFormat="1" applyFont="1" applyBorder="1"/>
    <xf numFmtId="176" fontId="7" fillId="0" borderId="14" xfId="92" applyNumberFormat="1" applyFont="1" applyBorder="1"/>
    <xf numFmtId="0" fontId="7" fillId="0" borderId="27" xfId="92" applyFont="1" applyBorder="1" applyAlignment="1">
      <alignment horizontal="center" vertical="top" shrinkToFit="1"/>
    </xf>
    <xf numFmtId="176" fontId="64" fillId="0" borderId="0" xfId="0" applyNumberFormat="1" applyFont="1"/>
    <xf numFmtId="176" fontId="64" fillId="0" borderId="0" xfId="0" applyNumberFormat="1" applyFont="1" applyProtection="1">
      <protection locked="0"/>
    </xf>
    <xf numFmtId="0" fontId="64" fillId="0" borderId="4" xfId="0" applyFont="1" applyBorder="1" applyProtection="1">
      <protection locked="0"/>
    </xf>
    <xf numFmtId="0" fontId="64" fillId="0" borderId="1" xfId="0" applyFont="1" applyBorder="1"/>
    <xf numFmtId="176" fontId="64" fillId="0" borderId="4" xfId="0" applyNumberFormat="1" applyFont="1" applyBorder="1" applyProtection="1">
      <protection locked="0"/>
    </xf>
    <xf numFmtId="170" fontId="64" fillId="0" borderId="0" xfId="0" applyNumberFormat="1" applyFont="1"/>
    <xf numFmtId="0" fontId="64" fillId="0" borderId="23" xfId="0" applyFont="1" applyBorder="1" applyAlignment="1">
      <alignment horizontal="center"/>
    </xf>
    <xf numFmtId="0" fontId="64" fillId="0" borderId="4" xfId="0" applyFont="1" applyBorder="1" applyAlignment="1">
      <alignment horizontal="center"/>
    </xf>
    <xf numFmtId="0" fontId="64" fillId="0" borderId="33" xfId="0" applyFont="1" applyBorder="1" applyAlignment="1">
      <alignment horizontal="center"/>
    </xf>
    <xf numFmtId="39" fontId="64" fillId="0" borderId="1" xfId="0" applyNumberFormat="1" applyFont="1" applyBorder="1" applyProtection="1">
      <protection locked="0"/>
    </xf>
    <xf numFmtId="0" fontId="59" fillId="0" borderId="0" xfId="115" applyFont="1" applyProtection="1">
      <protection locked="0"/>
    </xf>
    <xf numFmtId="0" fontId="2" fillId="0" borderId="0" xfId="0" applyFont="1" applyProtection="1">
      <protection locked="0"/>
    </xf>
    <xf numFmtId="0" fontId="64" fillId="0" borderId="4" xfId="0" applyFont="1" applyBorder="1"/>
    <xf numFmtId="0" fontId="59" fillId="9" borderId="0" xfId="115" applyFont="1" applyFill="1"/>
    <xf numFmtId="0" fontId="2" fillId="9" borderId="0" xfId="0" applyFont="1" applyFill="1"/>
    <xf numFmtId="0" fontId="68" fillId="0" borderId="1" xfId="90" applyFont="1" applyBorder="1" applyAlignment="1">
      <alignment horizontal="center" shrinkToFit="1"/>
    </xf>
    <xf numFmtId="0" fontId="4" fillId="0" borderId="4" xfId="0" applyFont="1" applyBorder="1" applyProtection="1">
      <protection locked="0"/>
    </xf>
    <xf numFmtId="0" fontId="68" fillId="0" borderId="4" xfId="90" applyFont="1" applyBorder="1" applyAlignment="1">
      <alignment horizontal="center" shrinkToFit="1"/>
    </xf>
    <xf numFmtId="0" fontId="68" fillId="0" borderId="1" xfId="90" applyFont="1" applyBorder="1" applyAlignment="1" applyProtection="1">
      <alignment horizontal="center" shrinkToFit="1"/>
      <protection locked="0"/>
    </xf>
    <xf numFmtId="164" fontId="68" fillId="0" borderId="4" xfId="90" applyNumberFormat="1" applyFont="1" applyBorder="1" applyAlignment="1" applyProtection="1">
      <alignment horizontal="center" shrinkToFit="1"/>
      <protection locked="0"/>
    </xf>
    <xf numFmtId="176" fontId="64" fillId="0" borderId="1" xfId="0" applyNumberFormat="1" applyFont="1" applyBorder="1" applyProtection="1">
      <protection locked="0"/>
    </xf>
    <xf numFmtId="164" fontId="12" fillId="0" borderId="5" xfId="106" applyNumberFormat="1" applyFont="1" applyBorder="1" applyAlignment="1" applyProtection="1">
      <alignment horizontal="center" wrapText="1"/>
      <protection locked="0"/>
    </xf>
    <xf numFmtId="164" fontId="17" fillId="0" borderId="6" xfId="106" applyNumberFormat="1" applyFont="1" applyBorder="1" applyAlignment="1" applyProtection="1">
      <alignment horizontal="center" wrapText="1"/>
      <protection locked="0"/>
    </xf>
    <xf numFmtId="164" fontId="17" fillId="0" borderId="7" xfId="106" applyNumberFormat="1" applyFont="1" applyBorder="1" applyAlignment="1" applyProtection="1">
      <alignment horizontal="center" wrapText="1"/>
      <protection locked="0"/>
    </xf>
    <xf numFmtId="164" fontId="17" fillId="0" borderId="23" xfId="106" applyNumberFormat="1" applyFont="1" applyBorder="1" applyAlignment="1">
      <alignment horizontal="center"/>
    </xf>
    <xf numFmtId="164" fontId="17" fillId="0" borderId="4" xfId="106" applyNumberFormat="1" applyFont="1" applyBorder="1" applyAlignment="1">
      <alignment horizontal="center"/>
    </xf>
    <xf numFmtId="164" fontId="17" fillId="0" borderId="33" xfId="106" applyNumberFormat="1" applyFont="1" applyBorder="1" applyAlignment="1">
      <alignment horizontal="center"/>
    </xf>
    <xf numFmtId="164" fontId="18" fillId="0" borderId="0" xfId="106" applyNumberFormat="1" applyFont="1" applyAlignment="1">
      <alignment horizontal="center"/>
    </xf>
    <xf numFmtId="0" fontId="74" fillId="0" borderId="1" xfId="106" applyFont="1" applyBorder="1" applyAlignment="1">
      <alignment horizontal="left" shrinkToFit="1"/>
    </xf>
    <xf numFmtId="164" fontId="7" fillId="0" borderId="1" xfId="106" applyNumberFormat="1" applyFont="1" applyBorder="1" applyAlignment="1" applyProtection="1">
      <alignment horizontal="center" shrinkToFit="1"/>
      <protection locked="0"/>
    </xf>
    <xf numFmtId="164" fontId="7" fillId="0" borderId="4" xfId="106" applyNumberFormat="1" applyFont="1" applyBorder="1" applyAlignment="1" applyProtection="1">
      <alignment horizontal="center" shrinkToFit="1"/>
      <protection locked="0"/>
    </xf>
    <xf numFmtId="164" fontId="71" fillId="0" borderId="4" xfId="106" applyNumberFormat="1" applyFont="1" applyBorder="1" applyProtection="1">
      <protection locked="0"/>
    </xf>
    <xf numFmtId="0" fontId="71" fillId="0" borderId="4" xfId="0" applyFont="1" applyBorder="1"/>
    <xf numFmtId="164" fontId="32" fillId="0" borderId="4" xfId="106" applyNumberFormat="1" applyFont="1" applyBorder="1" applyProtection="1">
      <protection locked="0"/>
    </xf>
    <xf numFmtId="164" fontId="2" fillId="0" borderId="2" xfId="106" applyNumberFormat="1" applyFont="1" applyBorder="1" applyAlignment="1">
      <alignment horizontal="center"/>
    </xf>
    <xf numFmtId="164" fontId="71" fillId="0" borderId="1" xfId="106" applyNumberFormat="1" applyFont="1" applyBorder="1" applyProtection="1">
      <protection locked="0"/>
    </xf>
    <xf numFmtId="0" fontId="2" fillId="0" borderId="1" xfId="106" applyFont="1" applyBorder="1" applyAlignment="1" applyProtection="1">
      <alignment horizontal="left" shrinkToFit="1"/>
      <protection locked="0"/>
    </xf>
    <xf numFmtId="164" fontId="2" fillId="0" borderId="1" xfId="106" applyNumberFormat="1" applyFont="1" applyBorder="1" applyAlignment="1">
      <alignment horizontal="center"/>
    </xf>
    <xf numFmtId="0" fontId="44" fillId="0" borderId="4" xfId="0" applyFont="1" applyBorder="1"/>
    <xf numFmtId="164" fontId="7" fillId="0" borderId="1" xfId="106" applyNumberFormat="1" applyFont="1" applyBorder="1" applyAlignment="1">
      <alignment horizontal="center" shrinkToFit="1"/>
    </xf>
    <xf numFmtId="0" fontId="2" fillId="0" borderId="4" xfId="0" applyFont="1" applyBorder="1" applyAlignment="1" applyProtection="1">
      <alignment horizontal="left"/>
      <protection locked="0"/>
    </xf>
    <xf numFmtId="168" fontId="64" fillId="0" borderId="1" xfId="83" applyFont="1" applyBorder="1" applyAlignment="1">
      <alignment horizontal="center" shrinkToFit="1"/>
      <protection locked="0"/>
    </xf>
    <xf numFmtId="168" fontId="3" fillId="0" borderId="0" xfId="83" applyFont="1" applyAlignment="1" applyProtection="1">
      <alignment horizontal="center"/>
    </xf>
    <xf numFmtId="1" fontId="7" fillId="0" borderId="1" xfId="83" applyNumberFormat="1" applyFont="1" applyBorder="1" applyAlignment="1" applyProtection="1">
      <alignment horizontal="center" shrinkToFit="1"/>
    </xf>
    <xf numFmtId="168" fontId="7" fillId="0" borderId="1" xfId="83" applyFont="1" applyBorder="1" applyAlignment="1" applyProtection="1">
      <alignment horizontal="center" shrinkToFit="1"/>
    </xf>
    <xf numFmtId="168" fontId="36" fillId="0" borderId="12" xfId="83" applyFont="1" applyBorder="1" applyAlignment="1" applyProtection="1">
      <alignment horizontal="center"/>
    </xf>
    <xf numFmtId="168" fontId="36" fillId="0" borderId="1" xfId="83" applyFont="1" applyBorder="1" applyAlignment="1" applyProtection="1">
      <alignment horizontal="center"/>
    </xf>
    <xf numFmtId="168" fontId="36" fillId="0" borderId="13" xfId="83" applyFont="1" applyBorder="1" applyAlignment="1" applyProtection="1">
      <alignment horizontal="center"/>
    </xf>
    <xf numFmtId="168" fontId="64" fillId="0" borderId="4" xfId="83" applyFont="1" applyBorder="1" applyAlignment="1">
      <alignment horizontal="center"/>
      <protection locked="0"/>
    </xf>
    <xf numFmtId="0" fontId="2" fillId="0" borderId="1" xfId="113" applyFont="1" applyBorder="1" applyProtection="1">
      <protection locked="0"/>
    </xf>
    <xf numFmtId="0" fontId="7" fillId="0" borderId="1" xfId="113" applyFont="1" applyBorder="1" applyProtection="1">
      <protection locked="0"/>
    </xf>
    <xf numFmtId="0" fontId="12" fillId="0" borderId="4" xfId="105" applyBorder="1" applyAlignment="1" applyProtection="1">
      <alignment horizontal="left" vertical="top" wrapText="1"/>
      <protection locked="0"/>
    </xf>
    <xf numFmtId="0" fontId="12" fillId="0" borderId="4" xfId="113" applyBorder="1" applyAlignment="1" applyProtection="1">
      <alignment wrapText="1"/>
      <protection locked="0"/>
    </xf>
    <xf numFmtId="0" fontId="7" fillId="0" borderId="1" xfId="113" applyFont="1" applyBorder="1" applyAlignment="1">
      <alignment horizontal="center" shrinkToFit="1"/>
    </xf>
    <xf numFmtId="0" fontId="7" fillId="0" borderId="4" xfId="113" applyFont="1" applyBorder="1" applyAlignment="1" applyProtection="1">
      <alignment horizontal="center" shrinkToFit="1"/>
      <protection locked="0"/>
    </xf>
    <xf numFmtId="164" fontId="7" fillId="0" borderId="1" xfId="113" applyNumberFormat="1" applyFont="1" applyBorder="1" applyAlignment="1" applyProtection="1">
      <alignment horizontal="center" shrinkToFit="1"/>
      <protection locked="0"/>
    </xf>
    <xf numFmtId="0" fontId="3" fillId="0" borderId="0" xfId="113" applyFont="1" applyAlignment="1">
      <alignment horizontal="center"/>
    </xf>
    <xf numFmtId="0" fontId="7" fillId="0" borderId="1" xfId="113" applyFont="1" applyBorder="1" applyAlignment="1" applyProtection="1">
      <alignment horizontal="center" shrinkToFit="1"/>
      <protection locked="0"/>
    </xf>
    <xf numFmtId="0" fontId="4" fillId="0" borderId="1" xfId="113" applyFont="1" applyBorder="1" applyAlignment="1">
      <alignment horizontal="center"/>
    </xf>
    <xf numFmtId="0" fontId="2" fillId="0" borderId="4" xfId="113" applyFont="1" applyBorder="1" applyProtection="1">
      <protection locked="0"/>
    </xf>
    <xf numFmtId="0" fontId="7" fillId="0" borderId="4" xfId="113" applyFont="1" applyBorder="1" applyProtection="1">
      <protection locked="0"/>
    </xf>
    <xf numFmtId="0" fontId="4" fillId="0" borderId="1" xfId="113" applyFont="1" applyBorder="1" applyAlignment="1">
      <alignment horizontal="left" wrapText="1"/>
    </xf>
    <xf numFmtId="166" fontId="15" fillId="0" borderId="0" xfId="0" applyNumberFormat="1" applyFont="1"/>
    <xf numFmtId="178" fontId="15" fillId="0" borderId="0" xfId="0" applyNumberFormat="1" applyFont="1"/>
    <xf numFmtId="178" fontId="21" fillId="0" borderId="0" xfId="0" applyNumberFormat="1" applyFont="1"/>
    <xf numFmtId="178" fontId="21" fillId="0" borderId="0" xfId="0" quotePrefix="1" applyNumberFormat="1" applyFont="1"/>
    <xf numFmtId="178" fontId="15" fillId="0" borderId="0" xfId="0" quotePrefix="1" applyNumberFormat="1" applyFont="1"/>
    <xf numFmtId="178" fontId="15" fillId="0" borderId="0" xfId="0" quotePrefix="1" applyNumberFormat="1" applyFont="1" applyAlignment="1">
      <alignment horizontal="center"/>
    </xf>
    <xf numFmtId="178" fontId="21" fillId="0" borderId="0" xfId="0" quotePrefix="1" applyNumberFormat="1" applyFont="1" applyAlignment="1">
      <alignment horizontal="center"/>
    </xf>
    <xf numFmtId="0" fontId="12" fillId="0" borderId="1" xfId="0" applyFont="1" applyBorder="1" applyAlignment="1" applyProtection="1">
      <alignment horizontal="center"/>
      <protection locked="0"/>
    </xf>
    <xf numFmtId="0" fontId="17" fillId="0" borderId="1" xfId="0" applyFont="1" applyBorder="1" applyAlignment="1" applyProtection="1">
      <alignment horizontal="center"/>
      <protection locked="0"/>
    </xf>
    <xf numFmtId="0" fontId="17" fillId="0" borderId="4" xfId="0" applyFont="1" applyBorder="1" applyAlignment="1" applyProtection="1">
      <alignment horizontal="center"/>
      <protection locked="0"/>
    </xf>
    <xf numFmtId="0" fontId="7" fillId="0" borderId="1" xfId="100" applyFont="1" applyBorder="1" applyAlignment="1" applyProtection="1">
      <alignment horizontal="center"/>
      <protection locked="0"/>
    </xf>
    <xf numFmtId="0" fontId="7" fillId="0" borderId="1" xfId="100" applyFont="1" applyBorder="1" applyAlignment="1">
      <alignment horizontal="center"/>
    </xf>
    <xf numFmtId="164" fontId="3" fillId="0" borderId="0" xfId="97" applyNumberFormat="1" applyFont="1" applyAlignment="1">
      <alignment horizontal="center"/>
    </xf>
    <xf numFmtId="164" fontId="3" fillId="0" borderId="0" xfId="100" applyNumberFormat="1" applyFont="1" applyAlignment="1">
      <alignment horizontal="center"/>
    </xf>
    <xf numFmtId="0" fontId="7" fillId="0" borderId="1" xfId="97" applyFont="1" applyBorder="1" applyAlignment="1">
      <alignment horizontal="center" shrinkToFit="1"/>
    </xf>
    <xf numFmtId="0" fontId="7" fillId="0" borderId="4" xfId="97" applyFont="1" applyBorder="1" applyAlignment="1" applyProtection="1">
      <alignment horizontal="center" shrinkToFit="1"/>
      <protection locked="0"/>
    </xf>
    <xf numFmtId="0" fontId="7" fillId="0" borderId="1" xfId="97" applyFont="1" applyBorder="1" applyAlignment="1" applyProtection="1">
      <alignment horizontal="center" shrinkToFit="1"/>
      <protection locked="0"/>
    </xf>
    <xf numFmtId="5" fontId="0" fillId="0" borderId="4" xfId="0" applyNumberFormat="1" applyBorder="1" applyAlignment="1" applyProtection="1">
      <alignment horizontal="left"/>
      <protection locked="0"/>
    </xf>
    <xf numFmtId="0" fontId="0" fillId="0" borderId="4" xfId="0" applyBorder="1" applyAlignment="1">
      <alignment horizontal="center"/>
    </xf>
    <xf numFmtId="0" fontId="270" fillId="0" borderId="0" xfId="57" applyFont="1" applyAlignment="1" applyProtection="1">
      <alignment horizontal="center"/>
    </xf>
    <xf numFmtId="0" fontId="271" fillId="0" borderId="0" xfId="0" applyFont="1" applyAlignment="1">
      <alignment horizontal="center"/>
    </xf>
    <xf numFmtId="5" fontId="0" fillId="0" borderId="1" xfId="0" applyNumberFormat="1" applyBorder="1" applyAlignment="1" applyProtection="1">
      <alignment horizontal="left"/>
      <protection locked="0"/>
    </xf>
    <xf numFmtId="0" fontId="49" fillId="0" borderId="0" xfId="57" applyAlignment="1" applyProtection="1">
      <alignment horizontal="left"/>
    </xf>
    <xf numFmtId="0" fontId="69" fillId="0" borderId="4" xfId="0" applyFont="1" applyBorder="1" applyAlignment="1" applyProtection="1">
      <alignment horizontal="left"/>
      <protection locked="0"/>
    </xf>
    <xf numFmtId="0" fontId="0" fillId="0" borderId="4" xfId="0" applyBorder="1" applyAlignment="1" applyProtection="1">
      <alignment horizontal="left"/>
      <protection locked="0"/>
    </xf>
    <xf numFmtId="0" fontId="2" fillId="0" borderId="1" xfId="98" applyFont="1" applyBorder="1" applyAlignment="1">
      <alignment horizontal="center" shrinkToFit="1"/>
    </xf>
    <xf numFmtId="0" fontId="2" fillId="0" borderId="4" xfId="98" applyFont="1" applyBorder="1" applyAlignment="1" applyProtection="1">
      <alignment horizontal="center" shrinkToFit="1"/>
      <protection locked="0"/>
    </xf>
    <xf numFmtId="0" fontId="2" fillId="0" borderId="1" xfId="98" applyFont="1" applyBorder="1" applyAlignment="1" applyProtection="1">
      <alignment horizontal="center" shrinkToFit="1"/>
      <protection locked="0"/>
    </xf>
    <xf numFmtId="0" fontId="7" fillId="0" borderId="1" xfId="98" applyFont="1" applyBorder="1" applyAlignment="1">
      <alignment horizontal="center"/>
    </xf>
    <xf numFmtId="0" fontId="3" fillId="0" borderId="0" xfId="98" applyFont="1" applyAlignment="1">
      <alignment horizontal="center"/>
    </xf>
    <xf numFmtId="49" fontId="12" fillId="0" borderId="1" xfId="98" applyNumberFormat="1" applyBorder="1" applyProtection="1">
      <protection locked="0"/>
    </xf>
    <xf numFmtId="49" fontId="12" fillId="0" borderId="4" xfId="98" applyNumberFormat="1" applyBorder="1" applyProtection="1">
      <protection locked="0"/>
    </xf>
    <xf numFmtId="49" fontId="12" fillId="0" borderId="4" xfId="98" applyNumberFormat="1" applyBorder="1" applyAlignment="1" applyProtection="1">
      <alignment horizontal="center"/>
      <protection locked="0"/>
    </xf>
    <xf numFmtId="0" fontId="45" fillId="0" borderId="1" xfId="98" applyFont="1" applyBorder="1" applyAlignment="1">
      <alignment horizontal="center"/>
    </xf>
    <xf numFmtId="0" fontId="45" fillId="0" borderId="0" xfId="98" applyFont="1" applyAlignment="1">
      <alignment horizontal="center"/>
    </xf>
    <xf numFmtId="0" fontId="21" fillId="0" borderId="1" xfId="101" applyFont="1" applyBorder="1" applyAlignment="1" applyProtection="1">
      <alignment horizontal="left"/>
      <protection locked="0"/>
    </xf>
    <xf numFmtId="0" fontId="15" fillId="0" borderId="1" xfId="101" applyFont="1" applyBorder="1" applyAlignment="1" applyProtection="1">
      <alignment horizontal="left"/>
      <protection locked="0"/>
    </xf>
    <xf numFmtId="0" fontId="3" fillId="0" borderId="0" xfId="101" applyFont="1" applyAlignment="1">
      <alignment horizontal="center"/>
    </xf>
    <xf numFmtId="0" fontId="37" fillId="0" borderId="1" xfId="101" applyFont="1" applyBorder="1" applyAlignment="1">
      <alignment horizontal="center" shrinkToFit="1"/>
    </xf>
    <xf numFmtId="0" fontId="28" fillId="0" borderId="1" xfId="101" applyFont="1" applyBorder="1" applyAlignment="1">
      <alignment horizontal="center"/>
    </xf>
    <xf numFmtId="0" fontId="72" fillId="0" borderId="22" xfId="101" applyFont="1" applyBorder="1" applyAlignment="1">
      <alignment horizontal="center"/>
    </xf>
    <xf numFmtId="0" fontId="82" fillId="0" borderId="2" xfId="101" applyFont="1" applyBorder="1" applyAlignment="1">
      <alignment horizontal="center"/>
    </xf>
    <xf numFmtId="0" fontId="37" fillId="0" borderId="1" xfId="101" applyFont="1" applyBorder="1" applyAlignment="1" applyProtection="1">
      <alignment horizontal="center" shrinkToFit="1"/>
      <protection locked="0"/>
    </xf>
    <xf numFmtId="164" fontId="37" fillId="0" borderId="1" xfId="101" applyNumberFormat="1" applyFont="1" applyBorder="1" applyAlignment="1" applyProtection="1">
      <alignment horizontal="center" shrinkToFit="1"/>
      <protection locked="0"/>
    </xf>
    <xf numFmtId="49" fontId="12" fillId="0" borderId="1" xfId="98" quotePrefix="1" applyNumberFormat="1" applyBorder="1" applyProtection="1">
      <protection locked="0"/>
    </xf>
    <xf numFmtId="0" fontId="2" fillId="0" borderId="1" xfId="0" applyFont="1" applyBorder="1" applyAlignment="1">
      <alignment horizontal="center"/>
    </xf>
    <xf numFmtId="0" fontId="15" fillId="0" borderId="0" xfId="0" quotePrefix="1" applyFont="1" applyAlignment="1">
      <alignment horizontal="right"/>
    </xf>
    <xf numFmtId="0" fontId="15" fillId="0" borderId="0" xfId="0" applyFont="1" applyAlignment="1">
      <alignment horizontal="right"/>
    </xf>
    <xf numFmtId="0" fontId="15" fillId="0" borderId="1" xfId="0" applyFont="1" applyBorder="1" applyAlignment="1">
      <alignment horizontal="center"/>
    </xf>
    <xf numFmtId="0" fontId="15" fillId="0" borderId="1" xfId="0" applyFont="1" applyBorder="1" applyAlignment="1" applyProtection="1">
      <alignment horizontal="left"/>
      <protection locked="0"/>
    </xf>
    <xf numFmtId="49" fontId="12" fillId="0" borderId="1" xfId="0" applyNumberFormat="1" applyFont="1" applyBorder="1" applyAlignment="1">
      <alignment horizontal="center"/>
    </xf>
    <xf numFmtId="0" fontId="12" fillId="0" borderId="1" xfId="0" applyFont="1" applyBorder="1" applyAlignment="1">
      <alignment horizontal="center"/>
    </xf>
    <xf numFmtId="0" fontId="12" fillId="0" borderId="4" xfId="0" applyFont="1" applyBorder="1" applyAlignment="1">
      <alignment horizontal="center"/>
    </xf>
    <xf numFmtId="0" fontId="12" fillId="0" borderId="4" xfId="0" applyFont="1" applyBorder="1" applyAlignment="1" applyProtection="1">
      <alignment horizontal="center"/>
      <protection locked="0"/>
    </xf>
    <xf numFmtId="164" fontId="12" fillId="0" borderId="4" xfId="0" applyNumberFormat="1" applyFont="1" applyBorder="1" applyAlignment="1" applyProtection="1">
      <alignment horizontal="center"/>
      <protection locked="0"/>
    </xf>
    <xf numFmtId="49" fontId="15" fillId="0" borderId="4" xfId="0" applyNumberFormat="1" applyFont="1" applyBorder="1" applyAlignment="1" applyProtection="1">
      <alignment horizontal="center"/>
      <protection locked="0"/>
    </xf>
    <xf numFmtId="0" fontId="14" fillId="0" borderId="0" xfId="0" applyFont="1" applyAlignment="1">
      <alignment horizontal="center"/>
    </xf>
    <xf numFmtId="0" fontId="14" fillId="0" borderId="1" xfId="0" applyFont="1" applyBorder="1" applyAlignment="1">
      <alignment horizontal="center"/>
    </xf>
    <xf numFmtId="0" fontId="15" fillId="0" borderId="0" xfId="0" applyFont="1" applyAlignment="1">
      <alignment horizontal="center"/>
    </xf>
    <xf numFmtId="0" fontId="11" fillId="0" borderId="1" xfId="0" applyFont="1" applyBorder="1" applyAlignment="1">
      <alignment horizontal="center"/>
    </xf>
    <xf numFmtId="49" fontId="15" fillId="0" borderId="4" xfId="0" applyNumberFormat="1" applyFont="1" applyBorder="1" applyProtection="1">
      <protection locked="0"/>
    </xf>
    <xf numFmtId="49" fontId="15" fillId="0" borderId="1" xfId="0" applyNumberFormat="1" applyFont="1" applyBorder="1" applyProtection="1">
      <protection locked="0"/>
    </xf>
    <xf numFmtId="0" fontId="21" fillId="0" borderId="1" xfId="0" applyFont="1" applyBorder="1" applyAlignment="1">
      <alignment horizontal="center"/>
    </xf>
    <xf numFmtId="0" fontId="15" fillId="0" borderId="8" xfId="0" applyFont="1" applyBorder="1" applyAlignment="1">
      <alignment horizontal="center"/>
    </xf>
    <xf numFmtId="49" fontId="15" fillId="0" borderId="1" xfId="0" applyNumberFormat="1" applyFont="1" applyBorder="1" applyAlignment="1" applyProtection="1">
      <alignment horizontal="center"/>
      <protection locked="0"/>
    </xf>
    <xf numFmtId="0" fontId="11" fillId="0" borderId="0" xfId="0" applyFont="1" applyAlignment="1">
      <alignment wrapText="1"/>
    </xf>
    <xf numFmtId="0" fontId="22" fillId="0" borderId="0" xfId="0" applyFont="1" applyAlignment="1">
      <alignment wrapText="1"/>
    </xf>
    <xf numFmtId="0" fontId="11" fillId="0" borderId="0" xfId="101" applyFont="1" applyAlignment="1">
      <alignment horizontal="left" wrapText="1"/>
    </xf>
    <xf numFmtId="49" fontId="15" fillId="0" borderId="1" xfId="0" applyNumberFormat="1" applyFont="1" applyBorder="1" applyAlignment="1" applyProtection="1">
      <alignment horizontal="left"/>
      <protection locked="0"/>
    </xf>
    <xf numFmtId="49" fontId="15" fillId="0" borderId="8" xfId="0" applyNumberFormat="1" applyFont="1" applyBorder="1" applyAlignment="1">
      <alignment horizontal="center" vertical="top"/>
    </xf>
    <xf numFmtId="0" fontId="22" fillId="0" borderId="1" xfId="0" applyFont="1" applyBorder="1" applyAlignment="1">
      <alignment horizontal="center"/>
    </xf>
    <xf numFmtId="0" fontId="28" fillId="0" borderId="1" xfId="101" applyFont="1" applyBorder="1" applyAlignment="1">
      <alignment horizontal="center" shrinkToFit="1"/>
    </xf>
    <xf numFmtId="0" fontId="28" fillId="0" borderId="1" xfId="101" applyFont="1" applyBorder="1" applyAlignment="1" applyProtection="1">
      <alignment horizontal="center" shrinkToFit="1"/>
      <protection locked="0"/>
    </xf>
    <xf numFmtId="164" fontId="28" fillId="0" borderId="1" xfId="101" applyNumberFormat="1" applyFont="1" applyBorder="1" applyAlignment="1" applyProtection="1">
      <alignment horizontal="center" shrinkToFit="1"/>
      <protection locked="0"/>
    </xf>
    <xf numFmtId="0" fontId="4" fillId="6" borderId="10" xfId="0" applyFont="1" applyFill="1" applyBorder="1" applyAlignment="1">
      <alignment horizontal="left"/>
    </xf>
    <xf numFmtId="0" fontId="4" fillId="6" borderId="0" xfId="0" applyFont="1" applyFill="1" applyAlignment="1">
      <alignment horizontal="left"/>
    </xf>
    <xf numFmtId="0" fontId="15" fillId="0" borderId="4" xfId="101" applyFont="1" applyBorder="1" applyAlignment="1" applyProtection="1">
      <alignment horizontal="left"/>
      <protection locked="0"/>
    </xf>
    <xf numFmtId="0" fontId="18" fillId="0" borderId="0" xfId="101" applyFont="1" applyAlignment="1">
      <alignment horizontal="center"/>
    </xf>
    <xf numFmtId="0" fontId="4" fillId="0" borderId="0" xfId="101" applyFont="1" applyAlignment="1">
      <alignment horizontal="center"/>
    </xf>
    <xf numFmtId="49" fontId="154" fillId="0" borderId="4" xfId="101" applyNumberFormat="1" applyFont="1" applyBorder="1" applyProtection="1">
      <protection locked="0"/>
    </xf>
    <xf numFmtId="49" fontId="44" fillId="0" borderId="4" xfId="0" applyNumberFormat="1" applyFont="1" applyBorder="1" applyProtection="1">
      <protection locked="0"/>
    </xf>
    <xf numFmtId="0" fontId="31" fillId="0" borderId="1" xfId="101" applyFont="1" applyBorder="1" applyAlignment="1">
      <alignment horizontal="center"/>
    </xf>
    <xf numFmtId="49" fontId="28" fillId="0" borderId="4" xfId="101" applyNumberFormat="1" applyFont="1" applyBorder="1" applyProtection="1">
      <protection locked="0"/>
    </xf>
    <xf numFmtId="49" fontId="0" fillId="0" borderId="4" xfId="0" applyNumberFormat="1" applyBorder="1" applyProtection="1">
      <protection locked="0"/>
    </xf>
    <xf numFmtId="49" fontId="28" fillId="0" borderId="0" xfId="101" applyNumberFormat="1" applyFont="1"/>
    <xf numFmtId="49" fontId="0" fillId="0" borderId="0" xfId="0" applyNumberFormat="1"/>
    <xf numFmtId="49" fontId="0" fillId="0" borderId="4" xfId="0" applyNumberFormat="1" applyBorder="1"/>
    <xf numFmtId="0" fontId="82" fillId="0" borderId="1" xfId="101" applyFont="1" applyBorder="1" applyAlignment="1">
      <alignment horizontal="center"/>
    </xf>
    <xf numFmtId="166" fontId="15" fillId="0" borderId="0" xfId="0" applyNumberFormat="1" applyFont="1" applyAlignment="1">
      <alignment horizontal="left"/>
    </xf>
    <xf numFmtId="166" fontId="15" fillId="0" borderId="0" xfId="0" applyNumberFormat="1" applyFont="1" applyProtection="1">
      <protection locked="0"/>
    </xf>
    <xf numFmtId="0" fontId="2" fillId="7" borderId="49" xfId="0" applyFont="1" applyFill="1" applyBorder="1" applyAlignment="1" applyProtection="1">
      <alignment horizontal="left"/>
      <protection locked="0"/>
    </xf>
    <xf numFmtId="0" fontId="2" fillId="7" borderId="1" xfId="0" applyFont="1" applyFill="1" applyBorder="1" applyAlignment="1" applyProtection="1">
      <alignment horizontal="left"/>
      <protection locked="0"/>
    </xf>
    <xf numFmtId="166" fontId="15" fillId="0" borderId="0" xfId="0" applyNumberFormat="1" applyFont="1" applyAlignment="1">
      <alignment horizontal="center"/>
    </xf>
    <xf numFmtId="166" fontId="15" fillId="0" borderId="0" xfId="0" applyNumberFormat="1" applyFont="1" applyAlignment="1">
      <alignment horizontal="left" indent="1"/>
    </xf>
    <xf numFmtId="14" fontId="0" fillId="7" borderId="1" xfId="0" applyNumberFormat="1" applyFill="1" applyBorder="1" applyAlignment="1" applyProtection="1">
      <alignment horizontal="left"/>
      <protection locked="0"/>
    </xf>
    <xf numFmtId="14" fontId="0" fillId="7" borderId="48" xfId="0" applyNumberFormat="1" applyFill="1" applyBorder="1" applyAlignment="1" applyProtection="1">
      <alignment horizontal="left"/>
      <protection locked="0"/>
    </xf>
    <xf numFmtId="0" fontId="11" fillId="0" borderId="0" xfId="0" applyFont="1" applyAlignment="1">
      <alignment horizontal="center"/>
    </xf>
    <xf numFmtId="0" fontId="113" fillId="0" borderId="1" xfId="114" applyFont="1" applyBorder="1" applyAlignment="1">
      <alignment horizontal="left" shrinkToFit="1"/>
    </xf>
    <xf numFmtId="166" fontId="15" fillId="54" borderId="0" xfId="0" applyNumberFormat="1" applyFont="1" applyFill="1"/>
    <xf numFmtId="0" fontId="3" fillId="8" borderId="0" xfId="0" applyFont="1" applyFill="1" applyAlignment="1">
      <alignment horizontal="center" vertical="top" wrapText="1"/>
    </xf>
    <xf numFmtId="0" fontId="11" fillId="8" borderId="0" xfId="0" applyFont="1" applyFill="1" applyAlignment="1">
      <alignment horizontal="center"/>
    </xf>
    <xf numFmtId="0" fontId="2" fillId="0" borderId="1" xfId="114" applyFont="1" applyBorder="1" applyAlignment="1" applyProtection="1">
      <alignment horizontal="center" shrinkToFit="1"/>
      <protection locked="0"/>
    </xf>
    <xf numFmtId="164" fontId="2" fillId="0" borderId="4" xfId="114" applyNumberFormat="1" applyFont="1" applyBorder="1" applyAlignment="1" applyProtection="1">
      <alignment horizontal="center"/>
      <protection locked="0"/>
    </xf>
    <xf numFmtId="0" fontId="15" fillId="8" borderId="23" xfId="95" applyFont="1" applyFill="1" applyBorder="1" applyAlignment="1">
      <alignment horizontal="left" vertical="top" wrapText="1"/>
    </xf>
    <xf numFmtId="0" fontId="15" fillId="8" borderId="4" xfId="95" applyFont="1" applyFill="1" applyBorder="1" applyAlignment="1">
      <alignment horizontal="left" vertical="top"/>
    </xf>
    <xf numFmtId="0" fontId="15" fillId="8" borderId="33" xfId="95" applyFont="1" applyFill="1" applyBorder="1" applyAlignment="1">
      <alignment horizontal="left" vertical="top"/>
    </xf>
    <xf numFmtId="166" fontId="15" fillId="54" borderId="0" xfId="0" applyNumberFormat="1" applyFont="1" applyFill="1" applyAlignment="1">
      <alignment horizontal="left" indent="1"/>
    </xf>
    <xf numFmtId="0" fontId="3" fillId="18" borderId="0" xfId="0" applyFont="1" applyFill="1" applyAlignment="1">
      <alignment horizontal="center" wrapText="1"/>
    </xf>
    <xf numFmtId="0" fontId="15" fillId="8" borderId="4" xfId="95" applyFont="1" applyFill="1" applyBorder="1" applyAlignment="1">
      <alignment horizontal="left" vertical="top" wrapText="1"/>
    </xf>
    <xf numFmtId="0" fontId="15" fillId="8" borderId="33" xfId="95" applyFont="1" applyFill="1" applyBorder="1" applyAlignment="1">
      <alignment horizontal="left" vertical="top" wrapText="1"/>
    </xf>
    <xf numFmtId="0" fontId="2" fillId="0" borderId="1" xfId="114" applyFont="1" applyBorder="1" applyAlignment="1" applyProtection="1">
      <alignment horizontal="center"/>
      <protection locked="0"/>
    </xf>
    <xf numFmtId="187" fontId="21" fillId="0" borderId="0" xfId="27" applyFont="1"/>
    <xf numFmtId="187" fontId="15" fillId="0" borderId="0" xfId="27" applyFont="1"/>
    <xf numFmtId="0" fontId="15" fillId="8" borderId="23" xfId="95" applyFont="1" applyFill="1" applyBorder="1" applyAlignment="1">
      <alignment horizontal="left"/>
    </xf>
    <xf numFmtId="0" fontId="15" fillId="8" borderId="4" xfId="95" applyFont="1" applyFill="1" applyBorder="1" applyAlignment="1">
      <alignment horizontal="left"/>
    </xf>
    <xf numFmtId="0" fontId="15" fillId="8" borderId="33" xfId="95" applyFont="1" applyFill="1" applyBorder="1" applyAlignment="1">
      <alignment horizontal="left"/>
    </xf>
    <xf numFmtId="0" fontId="2" fillId="0" borderId="1" xfId="114" applyFont="1" applyBorder="1" applyAlignment="1">
      <alignment horizontal="center" shrinkToFit="1"/>
    </xf>
    <xf numFmtId="0" fontId="3" fillId="0" borderId="0" xfId="0" applyFont="1" applyAlignment="1">
      <alignment horizontal="center" wrapText="1"/>
    </xf>
    <xf numFmtId="183" fontId="21" fillId="0" borderId="0" xfId="0" applyNumberFormat="1" applyFont="1" applyAlignment="1">
      <alignment horizontal="left"/>
    </xf>
    <xf numFmtId="187" fontId="15" fillId="0" borderId="0" xfId="27" applyFont="1" applyAlignment="1">
      <alignment horizontal="center"/>
    </xf>
    <xf numFmtId="187" fontId="21" fillId="0" borderId="0" xfId="27" applyFont="1" applyAlignment="1">
      <alignment horizontal="center"/>
    </xf>
    <xf numFmtId="187" fontId="21" fillId="0" borderId="0" xfId="27" applyFont="1" applyAlignment="1">
      <alignment horizontal="left"/>
    </xf>
    <xf numFmtId="0" fontId="101" fillId="0" borderId="0" xfId="0" applyFont="1" applyAlignment="1">
      <alignment horizontal="left"/>
    </xf>
    <xf numFmtId="187" fontId="15" fillId="0" borderId="0" xfId="27" applyFont="1" applyAlignment="1">
      <alignment horizontal="left"/>
    </xf>
    <xf numFmtId="166" fontId="21" fillId="0" borderId="0" xfId="0" applyNumberFormat="1" applyFont="1" applyAlignment="1">
      <alignment horizontal="left"/>
    </xf>
    <xf numFmtId="0" fontId="21" fillId="0" borderId="0" xfId="0" applyFont="1" applyAlignment="1">
      <alignment horizontal="left"/>
    </xf>
    <xf numFmtId="173" fontId="15" fillId="0" borderId="0" xfId="27" applyNumberFormat="1" applyFont="1" applyAlignment="1">
      <alignment horizontal="left"/>
    </xf>
    <xf numFmtId="173" fontId="21" fillId="0" borderId="0" xfId="27" applyNumberFormat="1" applyFont="1" applyAlignment="1">
      <alignment horizontal="left"/>
    </xf>
    <xf numFmtId="166" fontId="21" fillId="0" borderId="0" xfId="0" applyNumberFormat="1" applyFont="1" applyAlignment="1">
      <alignment horizontal="center"/>
    </xf>
    <xf numFmtId="0" fontId="0" fillId="0" borderId="1" xfId="0" applyBorder="1" applyAlignment="1" applyProtection="1">
      <alignment shrinkToFit="1"/>
      <protection locked="0"/>
    </xf>
    <xf numFmtId="183" fontId="15" fillId="54" borderId="0" xfId="0" applyNumberFormat="1" applyFont="1" applyFill="1"/>
    <xf numFmtId="183" fontId="15" fillId="0" borderId="0" xfId="0" applyNumberFormat="1" applyFont="1"/>
    <xf numFmtId="166" fontId="15" fillId="58" borderId="0" xfId="0" applyNumberFormat="1" applyFont="1" applyFill="1"/>
    <xf numFmtId="166" fontId="21" fillId="0" borderId="0" xfId="0" applyNumberFormat="1" applyFont="1"/>
    <xf numFmtId="0" fontId="2" fillId="0" borderId="1" xfId="114" applyFont="1" applyBorder="1" applyAlignment="1">
      <alignment horizontal="center"/>
    </xf>
    <xf numFmtId="0" fontId="2" fillId="0" borderId="4" xfId="114" applyFont="1" applyBorder="1" applyAlignment="1" applyProtection="1">
      <alignment horizontal="center"/>
      <protection locked="0"/>
    </xf>
    <xf numFmtId="0" fontId="3" fillId="0" borderId="0" xfId="57" applyFont="1" applyAlignment="1" applyProtection="1">
      <alignment horizontal="center"/>
    </xf>
    <xf numFmtId="0" fontId="76" fillId="0" borderId="0" xfId="0" applyFont="1" applyAlignment="1">
      <alignment horizontal="center" wrapText="1"/>
    </xf>
    <xf numFmtId="183" fontId="15" fillId="0" borderId="0" xfId="0" applyNumberFormat="1" applyFont="1" applyAlignment="1">
      <alignment horizontal="left"/>
    </xf>
    <xf numFmtId="0" fontId="6" fillId="0" borderId="4" xfId="89" applyFont="1" applyBorder="1" applyProtection="1">
      <protection locked="0"/>
    </xf>
    <xf numFmtId="164" fontId="7" fillId="0" borderId="1" xfId="80" applyNumberFormat="1" applyFont="1" applyBorder="1" applyAlignment="1">
      <alignment horizontal="center" shrinkToFit="1"/>
    </xf>
    <xf numFmtId="164" fontId="7" fillId="0" borderId="4" xfId="80" applyNumberFormat="1" applyFont="1" applyBorder="1" applyAlignment="1">
      <alignment horizontal="center" shrinkToFit="1"/>
    </xf>
    <xf numFmtId="164" fontId="7" fillId="0" borderId="4" xfId="80" applyNumberFormat="1" applyFont="1" applyBorder="1" applyAlignment="1" applyProtection="1">
      <alignment horizontal="center" shrinkToFit="1"/>
      <protection locked="0"/>
    </xf>
    <xf numFmtId="0" fontId="3" fillId="0" borderId="1" xfId="89" applyFont="1" applyBorder="1" applyAlignment="1">
      <alignment horizontal="center"/>
    </xf>
    <xf numFmtId="49" fontId="5" fillId="0" borderId="0" xfId="117" applyNumberFormat="1" applyFont="1"/>
    <xf numFmtId="49" fontId="2" fillId="0" borderId="0" xfId="117" applyNumberFormat="1"/>
    <xf numFmtId="0" fontId="2" fillId="0" borderId="4" xfId="89" applyFont="1" applyBorder="1" applyAlignment="1" applyProtection="1">
      <alignment horizontal="left"/>
      <protection locked="0"/>
    </xf>
    <xf numFmtId="0" fontId="2" fillId="0" borderId="1" xfId="89" applyFont="1" applyBorder="1" applyAlignment="1" applyProtection="1">
      <alignment horizontal="left"/>
      <protection locked="0"/>
    </xf>
    <xf numFmtId="49" fontId="7" fillId="0" borderId="0" xfId="89" applyNumberFormat="1" applyFont="1" applyAlignment="1">
      <alignment horizontal="left"/>
    </xf>
    <xf numFmtId="0" fontId="272" fillId="57" borderId="0" xfId="0" applyFont="1" applyFill="1" applyAlignment="1">
      <alignment horizontal="center"/>
    </xf>
    <xf numFmtId="0" fontId="81" fillId="0" borderId="0" xfId="57" applyFont="1" applyAlignment="1" applyProtection="1">
      <alignment horizontal="left"/>
    </xf>
    <xf numFmtId="0" fontId="60" fillId="0" borderId="0" xfId="0" applyFont="1"/>
    <xf numFmtId="0" fontId="69" fillId="0" borderId="0" xfId="74" applyFont="1" applyAlignment="1">
      <alignment horizontal="left" wrapText="1"/>
    </xf>
    <xf numFmtId="0" fontId="2" fillId="0" borderId="45" xfId="0" applyFont="1" applyBorder="1" applyAlignment="1">
      <alignment horizontal="left" vertical="top"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0" borderId="31" xfId="0" applyBorder="1" applyAlignment="1">
      <alignment horizontal="left" vertical="top" wrapText="1"/>
    </xf>
    <xf numFmtId="0" fontId="0" fillId="0" borderId="2" xfId="0" applyBorder="1" applyAlignment="1">
      <alignment horizontal="left" vertical="top" wrapText="1"/>
    </xf>
    <xf numFmtId="0" fontId="0" fillId="0" borderId="32" xfId="0" applyBorder="1" applyAlignment="1">
      <alignment horizontal="left" vertical="top" wrapText="1"/>
    </xf>
    <xf numFmtId="0" fontId="112" fillId="0" borderId="0" xfId="0" applyFont="1" applyAlignment="1">
      <alignment horizontal="left"/>
    </xf>
    <xf numFmtId="166" fontId="15" fillId="0" borderId="0" xfId="0" applyNumberFormat="1" applyFont="1" applyAlignment="1" applyProtection="1">
      <alignment horizontal="center"/>
      <protection locked="0"/>
    </xf>
    <xf numFmtId="166" fontId="15" fillId="54" borderId="0" xfId="0" applyNumberFormat="1" applyFont="1" applyFill="1" applyAlignment="1">
      <alignment horizontal="left"/>
    </xf>
    <xf numFmtId="164" fontId="2" fillId="0" borderId="1" xfId="114" applyNumberFormat="1" applyFont="1" applyBorder="1" applyAlignment="1">
      <alignment horizontal="center"/>
    </xf>
    <xf numFmtId="0" fontId="63" fillId="0" borderId="0" xfId="115" applyFont="1" applyAlignment="1" applyProtection="1">
      <alignment horizontal="center" vertical="center"/>
      <protection locked="0"/>
    </xf>
    <xf numFmtId="0" fontId="4" fillId="0" borderId="0" xfId="0" applyFont="1" applyAlignment="1">
      <alignment horizontal="center" wrapText="1"/>
    </xf>
    <xf numFmtId="187" fontId="21" fillId="0" borderId="0" xfId="27" applyFont="1" applyAlignment="1" applyProtection="1">
      <alignment horizontal="left"/>
      <protection locked="0"/>
    </xf>
    <xf numFmtId="187" fontId="21" fillId="0" borderId="0" xfId="27" applyFont="1" applyProtection="1">
      <protection locked="0"/>
    </xf>
    <xf numFmtId="183" fontId="21" fillId="0" borderId="0" xfId="0" applyNumberFormat="1" applyFont="1" applyAlignment="1" applyProtection="1">
      <alignment horizontal="left"/>
      <protection locked="0"/>
    </xf>
    <xf numFmtId="0" fontId="21" fillId="0" borderId="0" xfId="0" applyFont="1" applyAlignment="1" applyProtection="1">
      <alignment horizontal="left"/>
      <protection locked="0"/>
    </xf>
    <xf numFmtId="173" fontId="21" fillId="0" borderId="0" xfId="27" applyNumberFormat="1" applyFont="1" applyAlignment="1" applyProtection="1">
      <alignment horizontal="left"/>
      <protection locked="0"/>
    </xf>
    <xf numFmtId="187" fontId="15" fillId="0" borderId="0" xfId="27" applyFont="1" applyAlignment="1" applyProtection="1">
      <alignment horizontal="center"/>
      <protection locked="0"/>
    </xf>
    <xf numFmtId="187" fontId="21" fillId="0" borderId="0" xfId="27" applyFont="1" applyAlignment="1" applyProtection="1">
      <alignment horizontal="center"/>
      <protection locked="0"/>
    </xf>
    <xf numFmtId="166" fontId="21" fillId="0" borderId="0" xfId="0" applyNumberFormat="1" applyFont="1" applyAlignment="1" applyProtection="1">
      <alignment horizontal="left"/>
      <protection locked="0"/>
    </xf>
    <xf numFmtId="166" fontId="21" fillId="0" borderId="0" xfId="0" applyNumberFormat="1" applyFont="1" applyAlignment="1" applyProtection="1">
      <alignment horizontal="center"/>
      <protection locked="0"/>
    </xf>
    <xf numFmtId="0" fontId="101" fillId="0" borderId="0" xfId="0" applyFont="1" applyAlignment="1" applyProtection="1">
      <alignment horizontal="left"/>
      <protection locked="0"/>
    </xf>
    <xf numFmtId="187" fontId="15" fillId="0" borderId="0" xfId="27" applyFont="1" applyAlignment="1" applyProtection="1">
      <alignment horizontal="left"/>
      <protection locked="0"/>
    </xf>
    <xf numFmtId="166" fontId="15" fillId="0" borderId="0" xfId="0" applyNumberFormat="1" applyFont="1" applyAlignment="1" applyProtection="1">
      <alignment horizontal="left"/>
      <protection locked="0"/>
    </xf>
    <xf numFmtId="0" fontId="51" fillId="0" borderId="23" xfId="0" applyFont="1" applyBorder="1" applyAlignment="1" applyProtection="1">
      <alignment horizontal="center"/>
      <protection hidden="1"/>
    </xf>
    <xf numFmtId="0" fontId="51" fillId="0" borderId="33" xfId="0" applyFont="1" applyBorder="1" applyAlignment="1" applyProtection="1">
      <alignment horizontal="center"/>
      <protection hidden="1"/>
    </xf>
  </cellXfs>
  <cellStyles count="156">
    <cellStyle name="20% - Accent1" xfId="1" builtinId="30" customBuiltin="1"/>
    <cellStyle name="20% - Accent1 2" xfId="140" xr:uid="{913AB230-AECA-462F-BA6A-A08AD403998F}"/>
    <cellStyle name="20% - Accent2" xfId="2" builtinId="34" customBuiltin="1"/>
    <cellStyle name="20% - Accent2 2" xfId="141" xr:uid="{9591E0AF-6B93-4718-816C-1A7FBA31DF2A}"/>
    <cellStyle name="20% - Accent3" xfId="3" builtinId="38" customBuiltin="1"/>
    <cellStyle name="20% - Accent3 2" xfId="142" xr:uid="{B1CB5223-624E-4E58-8168-FC229108715B}"/>
    <cellStyle name="20% - Accent4" xfId="4" builtinId="42" customBuiltin="1"/>
    <cellStyle name="20% - Accent4 2" xfId="143" xr:uid="{19655590-7C48-429B-9ACA-D097E1ADF208}"/>
    <cellStyle name="20% - Accent5" xfId="5" builtinId="46" customBuiltin="1"/>
    <cellStyle name="20% - Accent5 2" xfId="144" xr:uid="{AF449C6B-D563-4134-9D43-D80C6792F4F3}"/>
    <cellStyle name="20% - Accent6" xfId="6" builtinId="50" customBuiltin="1"/>
    <cellStyle name="20% - Accent6 2" xfId="145" xr:uid="{425082D8-4206-4630-B326-32152329B3C8}"/>
    <cellStyle name="40% - Accent1" xfId="7" builtinId="31" customBuiltin="1"/>
    <cellStyle name="40% - Accent1 2" xfId="146" xr:uid="{A134F4E6-D323-4407-B8A6-57568652815F}"/>
    <cellStyle name="40% - Accent2" xfId="8" builtinId="35" customBuiltin="1"/>
    <cellStyle name="40% - Accent2 2" xfId="147" xr:uid="{8296FBED-2792-4F46-998C-46A0A330B219}"/>
    <cellStyle name="40% - Accent3" xfId="9" builtinId="39" customBuiltin="1"/>
    <cellStyle name="40% - Accent3 2" xfId="148" xr:uid="{7AD64DF3-3F7E-4C24-BE78-421403720E62}"/>
    <cellStyle name="40% - Accent4" xfId="10" builtinId="43" customBuiltin="1"/>
    <cellStyle name="40% - Accent4 2" xfId="149" xr:uid="{5FF8AD78-B60D-4351-8816-639A7F8A90BF}"/>
    <cellStyle name="40% - Accent5" xfId="11" builtinId="47" customBuiltin="1"/>
    <cellStyle name="40% - Accent5 2" xfId="150" xr:uid="{92ECC5E5-1001-4865-AC90-0E189F03E394}"/>
    <cellStyle name="40% - Accent6" xfId="12" builtinId="51" customBuiltin="1"/>
    <cellStyle name="40% - Accent6 2" xfId="151" xr:uid="{6D4245D7-CEB4-476A-8D17-EA65FA2FDCB5}"/>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ptionDots..." xfId="27" xr:uid="{00000000-0005-0000-0000-00001A000000}"/>
    <cellStyle name="Check Cell" xfId="28" builtinId="23" customBuiltin="1"/>
    <cellStyle name="Comma" xfId="29" builtinId="3"/>
    <cellStyle name="Comma 2" xfId="30" xr:uid="{00000000-0005-0000-0000-00001D000000}"/>
    <cellStyle name="Comma 2 2" xfId="31" xr:uid="{00000000-0005-0000-0000-00001E000000}"/>
    <cellStyle name="Comma 2 3" xfId="32" xr:uid="{00000000-0005-0000-0000-00001F000000}"/>
    <cellStyle name="Comma 2 3 2" xfId="152" xr:uid="{FD63B23C-EB04-4076-BBBE-D49AD185C3E7}"/>
    <cellStyle name="Comma 3" xfId="33" xr:uid="{00000000-0005-0000-0000-000020000000}"/>
    <cellStyle name="Comma 3 2" xfId="34" xr:uid="{00000000-0005-0000-0000-000021000000}"/>
    <cellStyle name="Comma 4" xfId="35" xr:uid="{00000000-0005-0000-0000-000022000000}"/>
    <cellStyle name="Comma 7" xfId="36" xr:uid="{00000000-0005-0000-0000-000023000000}"/>
    <cellStyle name="Comma 8" xfId="37" xr:uid="{00000000-0005-0000-0000-000024000000}"/>
    <cellStyle name="Comma_a4p02" xfId="38" xr:uid="{00000000-0005-0000-0000-000025000000}"/>
    <cellStyle name="Comma_a4p05" xfId="39" xr:uid="{00000000-0005-0000-0000-000026000000}"/>
    <cellStyle name="Currency" xfId="40" builtinId="4"/>
    <cellStyle name="Currency 2" xfId="41" xr:uid="{00000000-0005-0000-0000-000028000000}"/>
    <cellStyle name="Currency 3" xfId="42" xr:uid="{00000000-0005-0000-0000-000029000000}"/>
    <cellStyle name="Exhibit No." xfId="43" xr:uid="{00000000-0005-0000-0000-00002A000000}"/>
    <cellStyle name="Exhibit No. 2" xfId="44" xr:uid="{00000000-0005-0000-0000-00002B000000}"/>
    <cellStyle name="Exhibit No. 3" xfId="45" xr:uid="{00000000-0005-0000-0000-00002C000000}"/>
    <cellStyle name="Explanatory Text" xfId="46" builtinId="53" customBuiltin="1"/>
    <cellStyle name="Good" xfId="47" builtinId="26" customBuiltin="1"/>
    <cellStyle name="Heading 1" xfId="48" builtinId="16" customBuiltin="1"/>
    <cellStyle name="Heading 2" xfId="49" builtinId="17" customBuiltin="1"/>
    <cellStyle name="Heading 3" xfId="50" builtinId="18" customBuiltin="1"/>
    <cellStyle name="Heading 4" xfId="51" builtinId="19" customBuiltin="1"/>
    <cellStyle name="HeadStateofNC" xfId="52" xr:uid="{00000000-0005-0000-0000-000033000000}"/>
    <cellStyle name="HeadStateofNC 2" xfId="53" xr:uid="{00000000-0005-0000-0000-000034000000}"/>
    <cellStyle name="HeadTitles" xfId="54" xr:uid="{00000000-0005-0000-0000-000035000000}"/>
    <cellStyle name="HeadTitles 2" xfId="55" xr:uid="{00000000-0005-0000-0000-000036000000}"/>
    <cellStyle name="HeadYE_Date" xfId="56" xr:uid="{00000000-0005-0000-0000-000037000000}"/>
    <cellStyle name="Hyperlink" xfId="57" builtinId="8" customBuiltin="1"/>
    <cellStyle name="Hyperlink 2" xfId="58" xr:uid="{00000000-0005-0000-0000-000039000000}"/>
    <cellStyle name="Hyperlink 2 2" xfId="59" xr:uid="{00000000-0005-0000-0000-00003A000000}"/>
    <cellStyle name="Hyperlink 2 3" xfId="60" xr:uid="{00000000-0005-0000-0000-00003B000000}"/>
    <cellStyle name="Hyperlink 3" xfId="61" xr:uid="{00000000-0005-0000-0000-00003C000000}"/>
    <cellStyle name="Input" xfId="62" builtinId="20" customBuiltin="1"/>
    <cellStyle name="Linked Cell" xfId="63" builtinId="24" customBuiltin="1"/>
    <cellStyle name="Neutral" xfId="64" builtinId="28" customBuiltin="1"/>
    <cellStyle name="Normal" xfId="0" builtinId="0"/>
    <cellStyle name="Normal 2" xfId="65" xr:uid="{00000000-0005-0000-0000-000041000000}"/>
    <cellStyle name="Normal 2 2" xfId="66" xr:uid="{00000000-0005-0000-0000-000042000000}"/>
    <cellStyle name="Normal 2 2 2" xfId="67" xr:uid="{00000000-0005-0000-0000-000043000000}"/>
    <cellStyle name="Normal 2 3" xfId="68" xr:uid="{00000000-0005-0000-0000-000044000000}"/>
    <cellStyle name="Normal 2 5" xfId="135" xr:uid="{00000000-0005-0000-0000-000045000000}"/>
    <cellStyle name="Normal 3" xfId="69" xr:uid="{00000000-0005-0000-0000-000046000000}"/>
    <cellStyle name="Normal 3 2" xfId="70" xr:uid="{00000000-0005-0000-0000-000047000000}"/>
    <cellStyle name="Normal 3 2 2" xfId="154" xr:uid="{898039F3-AA11-4B2F-91B5-F13099C703EA}"/>
    <cellStyle name="Normal 3 3" xfId="71" xr:uid="{00000000-0005-0000-0000-000048000000}"/>
    <cellStyle name="Normal 3 4" xfId="72" xr:uid="{00000000-0005-0000-0000-000049000000}"/>
    <cellStyle name="Normal 3 5" xfId="153" xr:uid="{DC21F60A-4C3E-4186-B3A0-1DE12634EC44}"/>
    <cellStyle name="Normal 4" xfId="73" xr:uid="{00000000-0005-0000-0000-00004A000000}"/>
    <cellStyle name="Normal 5" xfId="74" xr:uid="{00000000-0005-0000-0000-00004B000000}"/>
    <cellStyle name="Normal 5 2" xfId="75" xr:uid="{00000000-0005-0000-0000-00004C000000}"/>
    <cellStyle name="Normal 5 3" xfId="76" xr:uid="{00000000-0005-0000-0000-00004D000000}"/>
    <cellStyle name="Normal 5 4" xfId="77" xr:uid="{00000000-0005-0000-0000-00004E000000}"/>
    <cellStyle name="Normal 6" xfId="78" xr:uid="{00000000-0005-0000-0000-00004F000000}"/>
    <cellStyle name="Normal 6 2" xfId="79" xr:uid="{00000000-0005-0000-0000-000050000000}"/>
    <cellStyle name="Normal_2002 pkg changesMartha" xfId="80" xr:uid="{00000000-0005-0000-0000-000051000000}"/>
    <cellStyle name="Normal_a3p04" xfId="81" xr:uid="{00000000-0005-0000-0000-000052000000}"/>
    <cellStyle name="Normal_a3p04_2002NCASfawhsts" xfId="82" xr:uid="{00000000-0005-0000-0000-000053000000}"/>
    <cellStyle name="Normal_a3p04_attch5" xfId="83" xr:uid="{00000000-0005-0000-0000-000054000000}"/>
    <cellStyle name="Normal_a3p06_1" xfId="84" xr:uid="{00000000-0005-0000-0000-000055000000}"/>
    <cellStyle name="Normal_a3p06_2002NCASfawhsts" xfId="85" xr:uid="{00000000-0005-0000-0000-000056000000}"/>
    <cellStyle name="Normal_a3p07_attch3" xfId="86" xr:uid="{00000000-0005-0000-0000-000057000000}"/>
    <cellStyle name="Normal_a3p07_NCAS a3p08" xfId="87" xr:uid="{00000000-0005-0000-0000-000058000000}"/>
    <cellStyle name="Normal_a3p08" xfId="88" xr:uid="{00000000-0005-0000-0000-000059000000}"/>
    <cellStyle name="Normal_a3p09" xfId="89" xr:uid="{00000000-0005-0000-0000-00005A000000}"/>
    <cellStyle name="Normal_a3p10-15" xfId="90" xr:uid="{00000000-0005-0000-0000-00005B000000}"/>
    <cellStyle name="Normal_a3p10-15 2" xfId="91" xr:uid="{00000000-0005-0000-0000-00005C000000}"/>
    <cellStyle name="Normal_a3p11" xfId="92" xr:uid="{00000000-0005-0000-0000-00005D000000}"/>
    <cellStyle name="Normal_a3p14" xfId="93" xr:uid="{00000000-0005-0000-0000-00005E000000}"/>
    <cellStyle name="Normal_a3p15" xfId="94" xr:uid="{00000000-0005-0000-0000-00005F000000}"/>
    <cellStyle name="Normal_a3p19" xfId="95" xr:uid="{00000000-0005-0000-0000-000060000000}"/>
    <cellStyle name="Normal_a4p01_CmCoExcl" xfId="96" xr:uid="{00000000-0005-0000-0000-000061000000}"/>
    <cellStyle name="Normal_a4p01_segment2" xfId="97" xr:uid="{00000000-0005-0000-0000-000062000000}"/>
    <cellStyle name="Normal_a4p02" xfId="98" xr:uid="{00000000-0005-0000-0000-000063000000}"/>
    <cellStyle name="Normal_a4p02_CmCoExcl" xfId="99" xr:uid="{00000000-0005-0000-0000-000064000000}"/>
    <cellStyle name="Normal_a4p02_segment2" xfId="100" xr:uid="{00000000-0005-0000-0000-000065000000}"/>
    <cellStyle name="Normal_a4p05" xfId="101" xr:uid="{00000000-0005-0000-0000-000066000000}"/>
    <cellStyle name="Normal_a4p08" xfId="102" xr:uid="{00000000-0005-0000-0000-000068000000}"/>
    <cellStyle name="Normal_a5p07-09" xfId="103" xr:uid="{00000000-0005-0000-0000-000069000000}"/>
    <cellStyle name="Normal_a5p09" xfId="104" xr:uid="{00000000-0005-0000-0000-00006A000000}"/>
    <cellStyle name="Normal_a5p10" xfId="105" xr:uid="{00000000-0005-0000-0000-00006B000000}"/>
    <cellStyle name="Normal_a5p11" xfId="106" xr:uid="{00000000-0005-0000-0000-00006C000000}"/>
    <cellStyle name="Normal_a7p01" xfId="107" xr:uid="{00000000-0005-0000-0000-00006D000000}"/>
    <cellStyle name="Normal_a7p02" xfId="108" xr:uid="{00000000-0005-0000-0000-00006E000000}"/>
    <cellStyle name="Normal_a7p02 2" xfId="109" xr:uid="{00000000-0005-0000-0000-00006F000000}"/>
    <cellStyle name="Normal_a7p03" xfId="110" xr:uid="{00000000-0005-0000-0000-000070000000}"/>
    <cellStyle name="Normal_a7p04" xfId="111" xr:uid="{00000000-0005-0000-0000-000071000000}"/>
    <cellStyle name="Normal_a7p05" xfId="112" xr:uid="{00000000-0005-0000-0000-000072000000}"/>
    <cellStyle name="Normal_a7p07" xfId="138" xr:uid="{00000000-0005-0000-0000-000073000000}"/>
    <cellStyle name="Normal_a7p08" xfId="139" xr:uid="{00000000-0005-0000-0000-000074000000}"/>
    <cellStyle name="Normal_a7p09" xfId="137" xr:uid="{00000000-0005-0000-0000-000075000000}"/>
    <cellStyle name="Normal_a7p10" xfId="136" xr:uid="{00000000-0005-0000-0000-000076000000}"/>
    <cellStyle name="Normal_a7p12" xfId="113" xr:uid="{00000000-0005-0000-0000-000077000000}"/>
    <cellStyle name="Normal_allocation_worksheet" xfId="114" xr:uid="{00000000-0005-0000-0000-000078000000}"/>
    <cellStyle name="Normal_CmCoExcl" xfId="115" xr:uid="{00000000-0005-0000-0000-000079000000}"/>
    <cellStyle name="Normal_CmCoExcl 2" xfId="116" xr:uid="{00000000-0005-0000-0000-00007A000000}"/>
    <cellStyle name="Normal_Related_Party" xfId="117" xr:uid="{00000000-0005-0000-0000-00007B000000}"/>
    <cellStyle name="Normal_Sheet1" xfId="118" xr:uid="{00000000-0005-0000-0000-00007C000000}"/>
    <cellStyle name="Normal_UnivExcl" xfId="119" xr:uid="{00000000-0005-0000-0000-00007D000000}"/>
    <cellStyle name="Note 2" xfId="120" xr:uid="{00000000-0005-0000-0000-00007E000000}"/>
    <cellStyle name="Note 2 2" xfId="155" xr:uid="{41DBA68D-DA9B-46C6-9CA4-A38660632CE5}"/>
    <cellStyle name="Number$ -" xfId="121" xr:uid="{00000000-0005-0000-0000-00007F000000}"/>
    <cellStyle name="Number-no $ -" xfId="122" xr:uid="{00000000-0005-0000-0000-000080000000}"/>
    <cellStyle name="Number-no $ -_2006Agencyproforma" xfId="123" xr:uid="{00000000-0005-0000-0000-000081000000}"/>
    <cellStyle name="NumberTotal$ -" xfId="124" xr:uid="{00000000-0005-0000-0000-000082000000}"/>
    <cellStyle name="NumberTotal-no $ -" xfId="125" xr:uid="{00000000-0005-0000-0000-000083000000}"/>
    <cellStyle name="NumNo$" xfId="126" xr:uid="{00000000-0005-0000-0000-000084000000}"/>
    <cellStyle name="NumTotD" xfId="127" xr:uid="{00000000-0005-0000-0000-000085000000}"/>
    <cellStyle name="NumTotNo$" xfId="128" xr:uid="{00000000-0005-0000-0000-000086000000}"/>
    <cellStyle name="Output" xfId="129" builtinId="21" customBuiltin="1"/>
    <cellStyle name="Percent" xfId="130" builtinId="5"/>
    <cellStyle name="Percent 2" xfId="131" xr:uid="{00000000-0005-0000-0000-000089000000}"/>
    <cellStyle name="Title" xfId="132" builtinId="15" customBuiltin="1"/>
    <cellStyle name="Total" xfId="133" builtinId="25" customBuiltin="1"/>
    <cellStyle name="Warning Text" xfId="134" builtinId="11" customBuiltin="1"/>
  </cellStyles>
  <dxfs count="273">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ont>
        <color rgb="FF0000FF"/>
      </font>
    </dxf>
    <dxf>
      <font>
        <color rgb="FFFF0000"/>
      </font>
    </dxf>
    <dxf>
      <font>
        <color rgb="FF0000FF"/>
      </font>
    </dxf>
    <dxf>
      <font>
        <color rgb="FFFF0000"/>
      </font>
    </dxf>
    <dxf>
      <font>
        <color rgb="FF0000FF"/>
      </font>
    </dxf>
    <dxf>
      <font>
        <color rgb="FFFF0000"/>
      </font>
    </dxf>
    <dxf>
      <font>
        <color rgb="FFFF0000"/>
      </font>
    </dxf>
    <dxf>
      <font>
        <color rgb="FF0000FF"/>
      </font>
    </dxf>
    <dxf>
      <font>
        <color rgb="FF0000FF"/>
      </font>
    </dxf>
    <dxf>
      <font>
        <color rgb="FFFF0000"/>
      </font>
    </dxf>
    <dxf>
      <font>
        <color rgb="FFFF0000"/>
      </font>
    </dxf>
    <dxf>
      <font>
        <color rgb="FF0000FF"/>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FF0000"/>
      </font>
    </dxf>
    <dxf>
      <font>
        <color rgb="FF0000FF"/>
      </font>
    </dxf>
    <dxf>
      <font>
        <color rgb="FFFF0000"/>
      </font>
    </dxf>
    <dxf>
      <font>
        <color rgb="FF0000FF"/>
      </font>
    </dxf>
    <dxf>
      <font>
        <color rgb="FF0000FF"/>
      </font>
    </dxf>
    <dxf>
      <font>
        <color rgb="FFFF0000"/>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FF0000"/>
      </font>
    </dxf>
    <dxf>
      <font>
        <color rgb="FF0000FF"/>
      </font>
    </dxf>
    <dxf>
      <font>
        <color rgb="FFFF0000"/>
      </font>
    </dxf>
    <dxf>
      <font>
        <color rgb="FF0000FF"/>
      </font>
    </dxf>
    <dxf>
      <font>
        <color rgb="FF0000FF"/>
      </font>
    </dxf>
    <dxf>
      <font>
        <color rgb="FFFF0000"/>
      </font>
    </dxf>
    <dxf>
      <font>
        <color rgb="FF0000FF"/>
      </font>
    </dxf>
    <dxf>
      <font>
        <color rgb="FFFF0000"/>
      </font>
    </dxf>
    <dxf>
      <font>
        <color rgb="FF0000FF"/>
      </font>
    </dxf>
    <dxf>
      <font>
        <color rgb="FFFF0000"/>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0000FF"/>
      </font>
    </dxf>
    <dxf>
      <font>
        <color rgb="FFFF0000"/>
      </font>
    </dxf>
    <dxf>
      <font>
        <color rgb="FF0000FF"/>
      </font>
    </dxf>
    <dxf>
      <font>
        <color rgb="FFFF0000"/>
      </font>
    </dxf>
    <dxf>
      <fill>
        <patternFill>
          <bgColor indexed="26"/>
        </patternFill>
      </fill>
    </dxf>
  </dxfs>
  <tableStyles count="0" defaultTableStyle="TableStyleMedium9" defaultPivotStyle="PivotStyleLight16"/>
  <colors>
    <mruColors>
      <color rgb="FF0000FF"/>
      <color rgb="FFCCCCFF"/>
      <color rgb="FF0066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19050</xdr:colOff>
      <xdr:row>61</xdr:row>
      <xdr:rowOff>0</xdr:rowOff>
    </xdr:from>
    <xdr:to>
      <xdr:col>10</xdr:col>
      <xdr:colOff>331478</xdr:colOff>
      <xdr:row>67</xdr:row>
      <xdr:rowOff>123825</xdr:rowOff>
    </xdr:to>
    <xdr:sp macro="" textlink="">
      <xdr:nvSpPr>
        <xdr:cNvPr id="37889" name="Text Box 1">
          <a:extLst>
            <a:ext uri="{FF2B5EF4-FFF2-40B4-BE49-F238E27FC236}">
              <a16:creationId xmlns:a16="http://schemas.microsoft.com/office/drawing/2014/main" id="{00000000-0008-0000-0A00-000001940000}"/>
            </a:ext>
          </a:extLst>
        </xdr:cNvPr>
        <xdr:cNvSpPr txBox="1">
          <a:spLocks noChangeArrowheads="1"/>
        </xdr:cNvSpPr>
      </xdr:nvSpPr>
      <xdr:spPr bwMode="auto">
        <a:xfrm>
          <a:off x="219075" y="8410575"/>
          <a:ext cx="4017653" cy="942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1" strike="noStrike">
              <a:solidFill>
                <a:srgbClr val="000000"/>
              </a:solidFill>
              <a:latin typeface="Arial"/>
              <a:cs typeface="Arial"/>
            </a:rPr>
            <a:t>Note:  The impairment loss should be reported net of the associated insurance recovery when the recovery and loss occur in the same year.  Insurance recoveries reported in subsequent years should be reported only when realized or realizable.  For example, if an insurer has admitted or acknowledged coverage, an insurance recovery would be realizable (GASB 42, paragraph 21).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57150</xdr:colOff>
      <xdr:row>33</xdr:row>
      <xdr:rowOff>150497</xdr:rowOff>
    </xdr:from>
    <xdr:to>
      <xdr:col>16</xdr:col>
      <xdr:colOff>1257330</xdr:colOff>
      <xdr:row>38</xdr:row>
      <xdr:rowOff>47631</xdr:rowOff>
    </xdr:to>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3181350" y="5372102"/>
          <a:ext cx="4648200" cy="7143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900"/>
            </a:lnSpc>
          </a:pPr>
          <a:r>
            <a:rPr lang="en-US" sz="1000" b="0" i="0" u="none" strike="noStrike">
              <a:solidFill>
                <a:schemeClr val="dk1"/>
              </a:solidFill>
              <a:latin typeface="Arial" pitchFamily="34" charset="0"/>
              <a:ea typeface="+mn-ea"/>
              <a:cs typeface="Arial" pitchFamily="34" charset="0"/>
            </a:rPr>
            <a:t>Note: Hedging derivative instruments must meet </a:t>
          </a:r>
          <a:r>
            <a:rPr lang="en-US" sz="1000" b="0" i="0" u="sng" strike="noStrike">
              <a:solidFill>
                <a:schemeClr val="dk1"/>
              </a:solidFill>
              <a:latin typeface="Arial" pitchFamily="34" charset="0"/>
              <a:ea typeface="+mn-ea"/>
              <a:cs typeface="Arial" pitchFamily="34" charset="0"/>
            </a:rPr>
            <a:t>annual</a:t>
          </a:r>
          <a:r>
            <a:rPr lang="en-US" sz="1000" b="0" i="0" u="none" strike="noStrike">
              <a:solidFill>
                <a:schemeClr val="dk1"/>
              </a:solidFill>
              <a:latin typeface="Arial" pitchFamily="34" charset="0"/>
              <a:ea typeface="+mn-ea"/>
              <a:cs typeface="Arial" pitchFamily="34" charset="0"/>
            </a:rPr>
            <a:t> effectiveness</a:t>
          </a:r>
          <a:r>
            <a:rPr lang="en-US" sz="1000" b="0" i="0" u="none" strike="noStrike" baseline="0">
              <a:solidFill>
                <a:schemeClr val="dk1"/>
              </a:solidFill>
              <a:latin typeface="Arial" pitchFamily="34" charset="0"/>
              <a:ea typeface="+mn-ea"/>
              <a:cs typeface="Arial" pitchFamily="34" charset="0"/>
            </a:rPr>
            <a:t> tests.  Indicate the method(s) used to determine effectiveness by </a:t>
          </a:r>
          <a:r>
            <a:rPr lang="en-US" sz="1000" b="1" i="0" u="none" strike="noStrike" baseline="0">
              <a:solidFill>
                <a:schemeClr val="dk1"/>
              </a:solidFill>
              <a:latin typeface="Arial" pitchFamily="34" charset="0"/>
              <a:ea typeface="+mn-ea"/>
              <a:cs typeface="Arial" pitchFamily="34" charset="0"/>
            </a:rPr>
            <a:t>keying the line numbers</a:t>
          </a:r>
          <a:r>
            <a:rPr lang="en-US" sz="1000" b="0" i="0" u="none" strike="noStrike" baseline="0">
              <a:solidFill>
                <a:schemeClr val="dk1"/>
              </a:solidFill>
              <a:latin typeface="Arial" pitchFamily="34" charset="0"/>
              <a:ea typeface="+mn-ea"/>
              <a:cs typeface="Arial" pitchFamily="34" charset="0"/>
            </a:rPr>
            <a:t> of the hedging derivative instruments above. A method can have more than one line number.</a:t>
          </a:r>
          <a:endParaRPr lang="en-US" sz="10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17</xdr:row>
      <xdr:rowOff>38102</xdr:rowOff>
    </xdr:from>
    <xdr:to>
      <xdr:col>16</xdr:col>
      <xdr:colOff>0</xdr:colOff>
      <xdr:row>22</xdr:row>
      <xdr:rowOff>149334</xdr:rowOff>
    </xdr:to>
    <xdr:pic>
      <xdr:nvPicPr>
        <xdr:cNvPr id="5" name="Picture 4">
          <a:extLst>
            <a:ext uri="{FF2B5EF4-FFF2-40B4-BE49-F238E27FC236}">
              <a16:creationId xmlns:a16="http://schemas.microsoft.com/office/drawing/2014/main" id="{5A8EAF82-F773-4F5F-8EE5-CE554DD2DABD}"/>
            </a:ext>
          </a:extLst>
        </xdr:cNvPr>
        <xdr:cNvPicPr>
          <a:picLocks noChangeAspect="1"/>
        </xdr:cNvPicPr>
      </xdr:nvPicPr>
      <xdr:blipFill>
        <a:blip xmlns:r="http://schemas.openxmlformats.org/officeDocument/2006/relationships" r:embed="rId1"/>
        <a:stretch>
          <a:fillRect/>
        </a:stretch>
      </xdr:blipFill>
      <xdr:spPr>
        <a:xfrm>
          <a:off x="38100" y="3276602"/>
          <a:ext cx="6305550" cy="1063732"/>
        </a:xfrm>
        <a:prstGeom prst="rect">
          <a:avLst/>
        </a:prstGeom>
      </xdr:spPr>
    </xdr:pic>
    <xdr:clientData/>
  </xdr:twoCellAnchor>
  <xdr:twoCellAnchor editAs="oneCell">
    <xdr:from>
      <xdr:col>0</xdr:col>
      <xdr:colOff>0</xdr:colOff>
      <xdr:row>34</xdr:row>
      <xdr:rowOff>0</xdr:rowOff>
    </xdr:from>
    <xdr:to>
      <xdr:col>16</xdr:col>
      <xdr:colOff>0</xdr:colOff>
      <xdr:row>39</xdr:row>
      <xdr:rowOff>65769</xdr:rowOff>
    </xdr:to>
    <xdr:pic>
      <xdr:nvPicPr>
        <xdr:cNvPr id="7" name="Picture 6">
          <a:extLst>
            <a:ext uri="{FF2B5EF4-FFF2-40B4-BE49-F238E27FC236}">
              <a16:creationId xmlns:a16="http://schemas.microsoft.com/office/drawing/2014/main" id="{88EFF593-320D-4EE8-A485-7D9579CF96BE}"/>
            </a:ext>
          </a:extLst>
        </xdr:cNvPr>
        <xdr:cNvPicPr>
          <a:picLocks noChangeAspect="1"/>
        </xdr:cNvPicPr>
      </xdr:nvPicPr>
      <xdr:blipFill>
        <a:blip xmlns:r="http://schemas.openxmlformats.org/officeDocument/2006/relationships" r:embed="rId2"/>
        <a:stretch>
          <a:fillRect/>
        </a:stretch>
      </xdr:blipFill>
      <xdr:spPr>
        <a:xfrm>
          <a:off x="0" y="6477000"/>
          <a:ext cx="6324600" cy="1022079"/>
        </a:xfrm>
        <a:prstGeom prst="rect">
          <a:avLst/>
        </a:prstGeom>
      </xdr:spPr>
    </xdr:pic>
    <xdr:clientData/>
  </xdr:twoCellAnchor>
  <xdr:twoCellAnchor editAs="oneCell">
    <xdr:from>
      <xdr:col>0</xdr:col>
      <xdr:colOff>0</xdr:colOff>
      <xdr:row>51</xdr:row>
      <xdr:rowOff>0</xdr:rowOff>
    </xdr:from>
    <xdr:to>
      <xdr:col>16</xdr:col>
      <xdr:colOff>0</xdr:colOff>
      <xdr:row>56</xdr:row>
      <xdr:rowOff>114300</xdr:rowOff>
    </xdr:to>
    <xdr:pic>
      <xdr:nvPicPr>
        <xdr:cNvPr id="8" name="Picture 7">
          <a:extLst>
            <a:ext uri="{FF2B5EF4-FFF2-40B4-BE49-F238E27FC236}">
              <a16:creationId xmlns:a16="http://schemas.microsoft.com/office/drawing/2014/main" id="{60A9523C-C110-4F4B-8E3A-91DB3050DC43}"/>
            </a:ext>
          </a:extLst>
        </xdr:cNvPr>
        <xdr:cNvPicPr>
          <a:picLocks noChangeAspect="1"/>
        </xdr:cNvPicPr>
      </xdr:nvPicPr>
      <xdr:blipFill>
        <a:blip xmlns:r="http://schemas.openxmlformats.org/officeDocument/2006/relationships" r:embed="rId3"/>
        <a:stretch>
          <a:fillRect/>
        </a:stretch>
      </xdr:blipFill>
      <xdr:spPr>
        <a:xfrm>
          <a:off x="0" y="9486900"/>
          <a:ext cx="6328372" cy="1066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xdr:row>
      <xdr:rowOff>76200</xdr:rowOff>
    </xdr:from>
    <xdr:to>
      <xdr:col>21</xdr:col>
      <xdr:colOff>866563</xdr:colOff>
      <xdr:row>13</xdr:row>
      <xdr:rowOff>912395</xdr:rowOff>
    </xdr:to>
    <xdr:sp macro="" textlink="">
      <xdr:nvSpPr>
        <xdr:cNvPr id="24629" name="Text Box 1">
          <a:extLst>
            <a:ext uri="{FF2B5EF4-FFF2-40B4-BE49-F238E27FC236}">
              <a16:creationId xmlns:a16="http://schemas.microsoft.com/office/drawing/2014/main" id="{00000000-0008-0000-3700-000035600000}"/>
            </a:ext>
          </a:extLst>
        </xdr:cNvPr>
        <xdr:cNvSpPr txBox="1">
          <a:spLocks noChangeArrowheads="1"/>
        </xdr:cNvSpPr>
      </xdr:nvSpPr>
      <xdr:spPr bwMode="auto">
        <a:xfrm>
          <a:off x="0" y="1600200"/>
          <a:ext cx="9474870" cy="1788695"/>
        </a:xfrm>
        <a:prstGeom prst="rect">
          <a:avLst/>
        </a:prstGeom>
        <a:no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For each </a:t>
          </a:r>
          <a:r>
            <a:rPr lang="en-US" sz="900" b="1" i="0" strike="noStrike">
              <a:solidFill>
                <a:srgbClr val="000000"/>
              </a:solidFill>
              <a:latin typeface="Arial"/>
              <a:cs typeface="Arial"/>
            </a:rPr>
            <a:t>GASB fund number</a:t>
          </a:r>
          <a:r>
            <a:rPr lang="en-US" sz="900" b="0" i="0" strike="noStrike">
              <a:solidFill>
                <a:srgbClr val="000000"/>
              </a:solidFill>
              <a:latin typeface="Arial"/>
              <a:cs typeface="Arial"/>
            </a:rPr>
            <a:t>, analyze </a:t>
          </a:r>
          <a:r>
            <a:rPr lang="en-US" sz="900" b="1" i="0" strike="noStrike">
              <a:solidFill>
                <a:srgbClr val="000000"/>
              </a:solidFill>
              <a:latin typeface="Arial"/>
              <a:cs typeface="Arial"/>
            </a:rPr>
            <a:t>SIGNIFICANT INCREASES/DECREASES</a:t>
          </a:r>
          <a:r>
            <a:rPr lang="en-US" sz="900" b="0" i="0" strike="noStrike">
              <a:solidFill>
                <a:srgbClr val="000000"/>
              </a:solidFill>
              <a:latin typeface="Arial"/>
              <a:cs typeface="Arial"/>
            </a:rPr>
            <a:t> from the prior year at the financial statement report caption level . The threshold for significant is defined as a change of 15% AND a dollar amount of $15 million or greater for primary government agencies/</a:t>
          </a:r>
          <a:r>
            <a:rPr lang="en-US" sz="900" b="0" i="0" strike="noStrike" baseline="0">
              <a:solidFill>
                <a:srgbClr val="000000"/>
              </a:solidFill>
              <a:latin typeface="Arial"/>
              <a:cs typeface="Arial"/>
            </a:rPr>
            <a:t> $40 million or greater for UNC Chapel Hill and the UNC Health Care System/ $30 million or greater for North Carolina State University/</a:t>
          </a:r>
          <a:r>
            <a:rPr lang="en-US" sz="900" b="0" i="0" strike="noStrike">
              <a:solidFill>
                <a:srgbClr val="000000"/>
              </a:solidFill>
              <a:latin typeface="Arial"/>
              <a:cs typeface="Arial"/>
            </a:rPr>
            <a:t> $10 million or greater for all other universities and major component units/ $2 million or greater for colleges and nonmajor component units. Start with the operating statement and analyze revenues and other financing sources, and expenditures/expenses and other uses. </a:t>
          </a:r>
          <a:r>
            <a:rPr lang="en-US" sz="900" b="0" i="0">
              <a:effectLst/>
              <a:latin typeface="Arial" pitchFamily="34" charset="0"/>
              <a:ea typeface="+mn-ea"/>
              <a:cs typeface="Arial" pitchFamily="34" charset="0"/>
            </a:rPr>
            <a:t>First explain the operating statement variances.</a:t>
          </a:r>
          <a:r>
            <a:rPr lang="en-US" sz="1000" b="0" i="0">
              <a:effectLst/>
              <a:latin typeface="+mn-lt"/>
              <a:ea typeface="+mn-ea"/>
              <a:cs typeface="+mn-cs"/>
            </a:rPr>
            <a:t> </a:t>
          </a:r>
          <a:r>
            <a:rPr lang="en-US" sz="900" b="0" i="0" strike="noStrike">
              <a:solidFill>
                <a:srgbClr val="000000"/>
              </a:solidFill>
              <a:latin typeface="Arial"/>
              <a:cs typeface="Arial"/>
            </a:rPr>
            <a:t>Then look at assets and liabilities</a:t>
          </a:r>
          <a:r>
            <a:rPr lang="en-US" sz="900" b="0" i="0" u="sng" strike="noStrike">
              <a:solidFill>
                <a:srgbClr val="000000"/>
              </a:solidFill>
              <a:latin typeface="Arial"/>
              <a:cs typeface="Arial"/>
            </a:rPr>
            <a:t>,</a:t>
          </a:r>
          <a:r>
            <a:rPr lang="en-US" sz="900" b="0" i="0" u="sng" strike="noStrike" baseline="0">
              <a:solidFill>
                <a:srgbClr val="000000"/>
              </a:solidFill>
              <a:latin typeface="Arial"/>
              <a:cs typeface="Arial"/>
            </a:rPr>
            <a:t>deferred outflows and inflows. </a:t>
          </a:r>
          <a:r>
            <a:rPr lang="en-US" sz="900" b="0" i="0" u="sng" strike="noStrike">
              <a:solidFill>
                <a:srgbClr val="000000"/>
              </a:solidFill>
              <a:latin typeface="Arial"/>
              <a:cs typeface="Arial"/>
            </a:rPr>
            <a:t> For BTAs, if</a:t>
          </a:r>
          <a:r>
            <a:rPr lang="en-US" sz="900" b="0" i="0" u="sng" strike="noStrike" baseline="0">
              <a:solidFill>
                <a:srgbClr val="000000"/>
              </a:solidFill>
              <a:latin typeface="Arial"/>
              <a:cs typeface="Arial"/>
            </a:rPr>
            <a:t> it is helpful for your explanation, you may combine the current and noncurrent portions for assets and liabilities to provide one explanation for significant changes.</a:t>
          </a:r>
          <a:r>
            <a:rPr lang="en-US" sz="900" b="0" i="0" strike="noStrike" baseline="0">
              <a:solidFill>
                <a:srgbClr val="000000"/>
              </a:solidFill>
              <a:latin typeface="Arial"/>
              <a:cs typeface="Arial"/>
            </a:rPr>
            <a:t> E</a:t>
          </a:r>
          <a:r>
            <a:rPr lang="en-US" sz="900" b="0" i="0" strike="noStrike">
              <a:solidFill>
                <a:srgbClr val="000000"/>
              </a:solidFill>
              <a:latin typeface="Arial"/>
              <a:cs typeface="Arial"/>
            </a:rPr>
            <a:t>xplain balance sheet variances if not already explained by the operating statement. Write an </a:t>
          </a:r>
          <a:r>
            <a:rPr lang="en-US" sz="900" b="0" i="0" u="sng" strike="noStrike">
              <a:solidFill>
                <a:srgbClr val="000000"/>
              </a:solidFill>
              <a:latin typeface="Arial"/>
              <a:cs typeface="Arial"/>
            </a:rPr>
            <a:t>informative</a:t>
          </a:r>
          <a:r>
            <a:rPr lang="en-US" sz="900" b="0" i="0" strike="noStrike">
              <a:solidFill>
                <a:srgbClr val="000000"/>
              </a:solidFill>
              <a:latin typeface="Arial"/>
              <a:cs typeface="Arial"/>
            </a:rPr>
            <a:t> description to explain variances, indicating the </a:t>
          </a:r>
          <a:r>
            <a:rPr lang="en-US" sz="900" b="1" i="1" u="sng" strike="noStrike">
              <a:solidFill>
                <a:srgbClr val="000000"/>
              </a:solidFill>
              <a:latin typeface="Arial"/>
              <a:cs typeface="Arial"/>
            </a:rPr>
            <a:t>REASON , e.g., Why did sales increase? What happened this year to cause this variance?</a:t>
          </a:r>
          <a:r>
            <a:rPr lang="en-US" sz="900" b="0" i="0" strike="noStrike">
              <a:solidFill>
                <a:srgbClr val="000000"/>
              </a:solidFill>
              <a:latin typeface="Arial"/>
              <a:cs typeface="Arial"/>
            </a:rPr>
            <a:t>  Variances</a:t>
          </a:r>
          <a:r>
            <a:rPr lang="en-US" sz="900" b="0" i="0" strike="noStrike" baseline="0">
              <a:solidFill>
                <a:srgbClr val="000000"/>
              </a:solidFill>
              <a:latin typeface="Arial"/>
              <a:cs typeface="Arial"/>
            </a:rPr>
            <a:t> in fund equity do not require explanation. </a:t>
          </a:r>
          <a:r>
            <a:rPr lang="en-US" sz="900" b="0" i="0" strike="noStrike">
              <a:solidFill>
                <a:srgbClr val="000000"/>
              </a:solidFill>
              <a:latin typeface="Arial"/>
              <a:cs typeface="Arial"/>
            </a:rPr>
            <a:t>The description area is formatted to wrap text, so take as much space as needed to explain, and just increase the height of the row to show the text. Create copies of this page for different GASBs and more space as needed. This worksheet should include unusual and significant items.  NCAS agencies should use DSS COMP reports to accumulate this information, with two-year comparative statements available to assist you. </a:t>
          </a:r>
          <a:r>
            <a:rPr lang="en-US" sz="900" b="0" i="0" u="sng" strike="noStrike">
              <a:solidFill>
                <a:srgbClr val="000000"/>
              </a:solidFill>
              <a:latin typeface="Arial"/>
              <a:cs typeface="Arial"/>
            </a:rPr>
            <a:t>Pay</a:t>
          </a:r>
          <a:r>
            <a:rPr lang="en-US" sz="900" b="0" i="0" u="sng" strike="noStrike" baseline="0">
              <a:solidFill>
                <a:srgbClr val="000000"/>
              </a:solidFill>
              <a:latin typeface="Arial"/>
              <a:cs typeface="Arial"/>
            </a:rPr>
            <a:t> particular attention to 100% or /0 changes where there is a value in the caption in one year, but not the other year.  This could indicate a misclassification which would need to be corrected or a new item/change that would need to be explained. Please use this worksheet as a tool for your own review of the statements to see that amounts are reasonable/expected and big changes can be explained. </a:t>
          </a:r>
          <a:r>
            <a:rPr lang="en-US" sz="900" b="0" i="0" u="sng" strike="noStrike">
              <a:solidFill>
                <a:srgbClr val="000000"/>
              </a:solidFill>
              <a:latin typeface="Arial"/>
              <a:cs typeface="Arial"/>
            </a:rPr>
            <a:t>See instructions for more detail</a:t>
          </a:r>
          <a:r>
            <a:rPr lang="en-US" sz="900" b="0" i="0" u="sng" strike="noStrike" baseline="0">
              <a:solidFill>
                <a:srgbClr val="000000"/>
              </a:solidFill>
              <a:latin typeface="Arial"/>
              <a:cs typeface="Arial"/>
            </a:rPr>
            <a:t> or contact your OSC analyst for additional guidance</a:t>
          </a:r>
          <a:r>
            <a:rPr lang="en-US" sz="900" b="0" i="0" u="sng" strike="noStrike">
              <a:solidFill>
                <a:srgbClr val="000000"/>
              </a:solidFill>
              <a:latin typeface="Arial"/>
              <a:cs typeface="Arial"/>
            </a:rPr>
            <a:t>.</a:t>
          </a:r>
        </a:p>
      </xdr:txBody>
    </xdr:sp>
    <xdr:clientData/>
  </xdr:twoCellAnchor>
  <xdr:twoCellAnchor>
    <xdr:from>
      <xdr:col>1</xdr:col>
      <xdr:colOff>19050</xdr:colOff>
      <xdr:row>25</xdr:row>
      <xdr:rowOff>0</xdr:rowOff>
    </xdr:from>
    <xdr:to>
      <xdr:col>22</xdr:col>
      <xdr:colOff>0</xdr:colOff>
      <xdr:row>27</xdr:row>
      <xdr:rowOff>114300</xdr:rowOff>
    </xdr:to>
    <xdr:sp macro="" textlink="">
      <xdr:nvSpPr>
        <xdr:cNvPr id="24630" name="Text Box 2">
          <a:extLst>
            <a:ext uri="{FF2B5EF4-FFF2-40B4-BE49-F238E27FC236}">
              <a16:creationId xmlns:a16="http://schemas.microsoft.com/office/drawing/2014/main" id="{00000000-0008-0000-3700-000036600000}"/>
            </a:ext>
          </a:extLst>
        </xdr:cNvPr>
        <xdr:cNvSpPr txBox="1">
          <a:spLocks noChangeArrowheads="1"/>
        </xdr:cNvSpPr>
      </xdr:nvSpPr>
      <xdr:spPr bwMode="auto">
        <a:xfrm>
          <a:off x="19050" y="7524750"/>
          <a:ext cx="9267825" cy="495300"/>
        </a:xfrm>
        <a:prstGeom prst="rect">
          <a:avLst/>
        </a:prstGeom>
        <a:no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Based on your </a:t>
          </a:r>
          <a:r>
            <a:rPr lang="en-US" sz="900" b="1" i="1" u="sng" strike="noStrike">
              <a:solidFill>
                <a:srgbClr val="000000"/>
              </a:solidFill>
              <a:latin typeface="Arial"/>
              <a:cs typeface="Arial"/>
            </a:rPr>
            <a:t>professional judgement</a:t>
          </a:r>
          <a:r>
            <a:rPr lang="en-US" sz="900" b="0" i="0" strike="noStrike">
              <a:solidFill>
                <a:srgbClr val="000000"/>
              </a:solidFill>
              <a:latin typeface="Arial"/>
              <a:cs typeface="Arial"/>
            </a:rPr>
            <a:t>, are you aware of any currently known facts, decisions, or conditions that are expected to significantly impact the State's finances in the future (e.g., approved changes in fees/tax rates, new programs, legislative changes, economic/demographic factors, etc.)?  If so, indicate below and provide supporting documentation as necessary in the attached </a:t>
          </a:r>
          <a:r>
            <a:rPr lang="en-US" sz="900" b="1" i="0" strike="noStrike">
              <a:solidFill>
                <a:srgbClr val="000000"/>
              </a:solidFill>
              <a:latin typeface="Arial"/>
              <a:cs typeface="Arial"/>
            </a:rPr>
            <a:t>ACFR Package Narratives</a:t>
          </a:r>
          <a:r>
            <a:rPr lang="en-US" sz="900" b="0" i="0" strike="noStrike">
              <a:solidFill>
                <a:srgbClr val="000000"/>
              </a:solidFill>
              <a:latin typeface="Arial"/>
              <a:cs typeface="Arial"/>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9</xdr:row>
      <xdr:rowOff>104774</xdr:rowOff>
    </xdr:from>
    <xdr:to>
      <xdr:col>12</xdr:col>
      <xdr:colOff>0</xdr:colOff>
      <xdr:row>20</xdr:row>
      <xdr:rowOff>9524</xdr:rowOff>
    </xdr:to>
    <xdr:sp macro="" textlink="">
      <xdr:nvSpPr>
        <xdr:cNvPr id="4" name="TextBox 3">
          <a:extLst>
            <a:ext uri="{FF2B5EF4-FFF2-40B4-BE49-F238E27FC236}">
              <a16:creationId xmlns:a16="http://schemas.microsoft.com/office/drawing/2014/main" id="{00000000-0008-0000-3900-000004000000}"/>
            </a:ext>
          </a:extLst>
        </xdr:cNvPr>
        <xdr:cNvSpPr txBox="1"/>
      </xdr:nvSpPr>
      <xdr:spPr>
        <a:xfrm>
          <a:off x="28575" y="1676399"/>
          <a:ext cx="7115175" cy="1685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GASB Statement 77 establishes</a:t>
          </a:r>
          <a:r>
            <a:rPr lang="en-US" sz="1100" baseline="0">
              <a:latin typeface="Arial" panose="020B0604020202020204" pitchFamily="34" charset="0"/>
              <a:cs typeface="Arial" panose="020B0604020202020204" pitchFamily="34" charset="0"/>
            </a:rPr>
            <a:t> accounting and financial reporting standards for tax abatement disclosures.  GASB 77 defines tax abatements for financial reporting purposes as, "A reduction in tax revenues that results from an agreement between one or more governments and an individual or entity in which (a) one or more governments promise to forgo tax revenues to which they are otherwise entitled and (b) the individual or entity promises to take a specific action after the agreement has been entered into that contributes to economic development or otherwise benefits the governments or the citizens of those governments."</a:t>
          </a:r>
        </a:p>
        <a:p>
          <a:endParaRPr lang="en-US" sz="1100" baseline="0">
            <a:latin typeface="Arial" panose="020B0604020202020204" pitchFamily="34" charset="0"/>
            <a:cs typeface="Arial" panose="020B0604020202020204" pitchFamily="34" charset="0"/>
          </a:endParaRPr>
        </a:p>
        <a:p>
          <a:r>
            <a:rPr lang="en-US" sz="1100" b="1" u="sng" baseline="0">
              <a:latin typeface="Arial" panose="020B0604020202020204" pitchFamily="34" charset="0"/>
              <a:cs typeface="Arial" panose="020B0604020202020204" pitchFamily="34" charset="0"/>
            </a:rPr>
            <a:t>This worksheet applies only to the Department of Commerce</a:t>
          </a:r>
          <a:r>
            <a:rPr lang="en-US" sz="1100" b="0" u="none" baseline="0">
              <a:latin typeface="Arial" panose="020B0604020202020204" pitchFamily="34" charset="0"/>
              <a:cs typeface="Arial" panose="020B0604020202020204" pitchFamily="34" charset="0"/>
            </a:rPr>
            <a:t> (NA for all other agencies and component units).</a:t>
          </a:r>
          <a:endParaRPr lang="en-US" sz="11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605790</xdr:colOff>
      <xdr:row>39</xdr:row>
      <xdr:rowOff>161925</xdr:rowOff>
    </xdr:from>
    <xdr:to>
      <xdr:col>16</xdr:col>
      <xdr:colOff>596265</xdr:colOff>
      <xdr:row>42</xdr:row>
      <xdr:rowOff>19050</xdr:rowOff>
    </xdr:to>
    <xdr:sp macro="" textlink="">
      <xdr:nvSpPr>
        <xdr:cNvPr id="30721" name="Text 2">
          <a:extLst>
            <a:ext uri="{FF2B5EF4-FFF2-40B4-BE49-F238E27FC236}">
              <a16:creationId xmlns:a16="http://schemas.microsoft.com/office/drawing/2014/main" id="{00000000-0008-0000-3B00-000001780000}"/>
            </a:ext>
          </a:extLst>
        </xdr:cNvPr>
        <xdr:cNvSpPr>
          <a:spLocks noChangeArrowheads="1"/>
        </xdr:cNvSpPr>
      </xdr:nvSpPr>
      <xdr:spPr bwMode="auto">
        <a:xfrm>
          <a:off x="4184650" y="6010275"/>
          <a:ext cx="1914525" cy="3524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a:t>
          </a:r>
          <a:r>
            <a:rPr lang="en-US" sz="800" b="0" i="0" strike="noStrike">
              <a:solidFill>
                <a:srgbClr val="000000"/>
              </a:solidFill>
              <a:latin typeface="Arial"/>
              <a:cs typeface="Arial"/>
            </a:rPr>
            <a:t> and</a:t>
          </a:r>
          <a:r>
            <a:rPr lang="en-US" sz="800" b="1" i="0" strike="noStrike">
              <a:solidFill>
                <a:srgbClr val="000000"/>
              </a:solidFill>
              <a:latin typeface="Arial"/>
              <a:cs typeface="Arial"/>
            </a:rPr>
            <a:t> (D)</a:t>
          </a:r>
          <a:r>
            <a:rPr lang="en-US" sz="800" b="0" i="0" strike="noStrike">
              <a:solidFill>
                <a:srgbClr val="000000"/>
              </a:solidFill>
              <a:latin typeface="Arial"/>
              <a:cs typeface="Arial"/>
            </a:rPr>
            <a:t> 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twoCellAnchor>
    <xdr:from>
      <xdr:col>1</xdr:col>
      <xdr:colOff>255270</xdr:colOff>
      <xdr:row>62</xdr:row>
      <xdr:rowOff>87630</xdr:rowOff>
    </xdr:from>
    <xdr:to>
      <xdr:col>10</xdr:col>
      <xdr:colOff>609600</xdr:colOff>
      <xdr:row>67</xdr:row>
      <xdr:rowOff>66675</xdr:rowOff>
    </xdr:to>
    <xdr:sp macro="" textlink="">
      <xdr:nvSpPr>
        <xdr:cNvPr id="30722" name="Text 1">
          <a:extLst>
            <a:ext uri="{FF2B5EF4-FFF2-40B4-BE49-F238E27FC236}">
              <a16:creationId xmlns:a16="http://schemas.microsoft.com/office/drawing/2014/main" id="{00000000-0008-0000-3B00-000002780000}"/>
            </a:ext>
          </a:extLst>
        </xdr:cNvPr>
        <xdr:cNvSpPr>
          <a:spLocks noChangeArrowheads="1"/>
        </xdr:cNvSpPr>
      </xdr:nvSpPr>
      <xdr:spPr bwMode="auto">
        <a:xfrm>
          <a:off x="255270" y="9364980"/>
          <a:ext cx="2754630" cy="779145"/>
        </a:xfrm>
        <a:prstGeom prst="roundRect">
          <a:avLst>
            <a:gd name="adj" fmla="val 16667"/>
          </a:avLst>
        </a:prstGeom>
        <a:solidFill>
          <a:sysClr val="window" lastClr="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Note:</a:t>
          </a:r>
          <a:endParaRPr lang="en-US" sz="900" b="0" i="0" strike="noStrike">
            <a:solidFill>
              <a:srgbClr val="000000"/>
            </a:solidFill>
            <a:latin typeface="Arial"/>
            <a:cs typeface="Arial"/>
          </a:endParaRPr>
        </a:p>
        <a:p>
          <a:pPr algn="ctr" rtl="0">
            <a:defRPr sz="1000"/>
          </a:pPr>
          <a:r>
            <a:rPr lang="en-US" sz="900" b="0" i="1" strike="noStrike">
              <a:solidFill>
                <a:srgbClr val="000000"/>
              </a:solidFill>
              <a:latin typeface="Arial"/>
              <a:cs typeface="Arial"/>
            </a:rPr>
            <a:t>Total must equal 11G/11P/11F/905.  </a:t>
          </a:r>
          <a:r>
            <a:rPr lang="en-US" sz="900" b="1" i="1" strike="noStrike">
              <a:solidFill>
                <a:srgbClr val="000000"/>
              </a:solidFill>
              <a:latin typeface="Arial"/>
              <a:cs typeface="Arial"/>
            </a:rPr>
            <a:t>Exception for Universities:  </a:t>
          </a:r>
          <a:r>
            <a:rPr lang="en-US" sz="900" b="0" i="1" strike="noStrike">
              <a:solidFill>
                <a:srgbClr val="000000"/>
              </a:solidFill>
              <a:latin typeface="Arial"/>
              <a:cs typeface="Arial"/>
            </a:rPr>
            <a:t>Any difference must be equal to GASB 39 foundation investments and/or</a:t>
          </a:r>
          <a:r>
            <a:rPr lang="en-US" sz="900" b="0" i="1" strike="noStrike" baseline="0">
              <a:solidFill>
                <a:srgbClr val="000000"/>
              </a:solidFill>
              <a:latin typeface="Arial"/>
              <a:cs typeface="Arial"/>
            </a:rPr>
            <a:t> external investment pools</a:t>
          </a:r>
          <a:r>
            <a:rPr lang="en-US" sz="900" b="0" i="1" strike="noStrike">
              <a:solidFill>
                <a:srgbClr val="000000"/>
              </a:solidFill>
              <a:latin typeface="Arial"/>
              <a:cs typeface="Arial"/>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66675</xdr:colOff>
      <xdr:row>42</xdr:row>
      <xdr:rowOff>11430</xdr:rowOff>
    </xdr:from>
    <xdr:to>
      <xdr:col>15</xdr:col>
      <xdr:colOff>66675</xdr:colOff>
      <xdr:row>47</xdr:row>
      <xdr:rowOff>133350</xdr:rowOff>
    </xdr:to>
    <xdr:sp macro="" textlink="">
      <xdr:nvSpPr>
        <xdr:cNvPr id="31745" name="Text 2">
          <a:extLst>
            <a:ext uri="{FF2B5EF4-FFF2-40B4-BE49-F238E27FC236}">
              <a16:creationId xmlns:a16="http://schemas.microsoft.com/office/drawing/2014/main" id="{00000000-0008-0000-3E00-0000017C0000}"/>
            </a:ext>
          </a:extLst>
        </xdr:cNvPr>
        <xdr:cNvSpPr>
          <a:spLocks noChangeArrowheads="1"/>
        </xdr:cNvSpPr>
      </xdr:nvSpPr>
      <xdr:spPr bwMode="auto">
        <a:xfrm>
          <a:off x="5057775" y="5915025"/>
          <a:ext cx="2076450" cy="5429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For investments subject to interest rate risk, 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a:t>
          </a:r>
          <a:r>
            <a:rPr lang="en-US" sz="800" b="0" i="0" strike="noStrike">
              <a:solidFill>
                <a:srgbClr val="000000"/>
              </a:solidFill>
              <a:latin typeface="Arial"/>
              <a:cs typeface="Arial"/>
            </a:rPr>
            <a:t> </a:t>
          </a:r>
          <a:r>
            <a:rPr lang="en-US" sz="800" b="1" i="0" strike="noStrike">
              <a:solidFill>
                <a:srgbClr val="000000"/>
              </a:solidFill>
              <a:latin typeface="Arial"/>
              <a:cs typeface="Arial"/>
            </a:rPr>
            <a:t>(D), and (E) </a:t>
          </a:r>
          <a:r>
            <a:rPr lang="en-US" sz="800" b="0" i="0" strike="noStrike">
              <a:solidFill>
                <a:srgbClr val="000000"/>
              </a:solidFill>
              <a:latin typeface="Arial"/>
              <a:cs typeface="Arial"/>
            </a:rPr>
            <a:t>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85725</xdr:colOff>
      <xdr:row>11</xdr:row>
      <xdr:rowOff>57150</xdr:rowOff>
    </xdr:from>
    <xdr:to>
      <xdr:col>11</xdr:col>
      <xdr:colOff>28575</xdr:colOff>
      <xdr:row>15</xdr:row>
      <xdr:rowOff>57150</xdr:rowOff>
    </xdr:to>
    <xdr:sp macro="" textlink="">
      <xdr:nvSpPr>
        <xdr:cNvPr id="2" name="Text 2">
          <a:extLst>
            <a:ext uri="{FF2B5EF4-FFF2-40B4-BE49-F238E27FC236}">
              <a16:creationId xmlns:a16="http://schemas.microsoft.com/office/drawing/2014/main" id="{00000000-0008-0000-4400-000002000000}"/>
            </a:ext>
          </a:extLst>
        </xdr:cNvPr>
        <xdr:cNvSpPr>
          <a:spLocks noChangeArrowheads="1"/>
        </xdr:cNvSpPr>
      </xdr:nvSpPr>
      <xdr:spPr bwMode="auto">
        <a:xfrm>
          <a:off x="1762125" y="1876425"/>
          <a:ext cx="1666875" cy="4667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 (D)</a:t>
          </a:r>
          <a:r>
            <a:rPr lang="en-US" sz="800" b="0" i="0" strike="noStrike">
              <a:solidFill>
                <a:srgbClr val="000000"/>
              </a:solidFill>
              <a:latin typeface="Arial"/>
              <a:cs typeface="Arial"/>
            </a:rPr>
            <a:t>,</a:t>
          </a:r>
          <a:r>
            <a:rPr lang="en-US" sz="800" b="0" i="0" strike="noStrike" baseline="0">
              <a:solidFill>
                <a:srgbClr val="000000"/>
              </a:solidFill>
              <a:latin typeface="Arial"/>
              <a:cs typeface="Arial"/>
            </a:rPr>
            <a:t> and </a:t>
          </a:r>
          <a:r>
            <a:rPr lang="en-US" sz="800" b="1" i="0" strike="noStrike" baseline="0">
              <a:solidFill>
                <a:srgbClr val="000000"/>
              </a:solidFill>
              <a:latin typeface="Arial"/>
              <a:cs typeface="Arial"/>
            </a:rPr>
            <a:t>(E)</a:t>
          </a:r>
          <a:r>
            <a:rPr lang="en-US" sz="800" b="0" i="0" strike="noStrike" baseline="0">
              <a:solidFill>
                <a:srgbClr val="000000"/>
              </a:solidFill>
              <a:latin typeface="Arial"/>
              <a:cs typeface="Arial"/>
            </a:rPr>
            <a:t> </a:t>
          </a:r>
          <a:r>
            <a:rPr lang="en-US" sz="800" b="0" i="0" strike="noStrike">
              <a:solidFill>
                <a:srgbClr val="000000"/>
              </a:solidFill>
              <a:latin typeface="Arial"/>
              <a:cs typeface="Arial"/>
            </a:rPr>
            <a:t>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onga\Desktop\Consolidation%20-%20NC\Macro\All%20Execution\Agency\13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Pkg Updates"/>
      <sheetName val="Index"/>
      <sheetName val="101"/>
      <sheetName val="105"/>
      <sheetName val="110"/>
      <sheetName val="120"/>
      <sheetName val="201 (2702)"/>
      <sheetName val="201 (2706)"/>
      <sheetName val="201 (2714)"/>
      <sheetName val="201 (2723)"/>
      <sheetName val="202"/>
      <sheetName val="203"/>
      <sheetName val="204"/>
      <sheetName val="210 (2702)"/>
      <sheetName val="210 (2706)"/>
      <sheetName val="210 (2714)"/>
      <sheetName val="210 (2723)"/>
      <sheetName val="215"/>
      <sheetName val="220"/>
      <sheetName val="301"/>
      <sheetName val="305"/>
      <sheetName val="310 (2702)"/>
      <sheetName val="310 (2706)"/>
      <sheetName val="310 (2714)"/>
      <sheetName val="310 (2723)"/>
      <sheetName val="310 (2728)"/>
      <sheetName val="315"/>
      <sheetName val="320"/>
      <sheetName val="322"/>
      <sheetName val="325"/>
      <sheetName val="330"/>
      <sheetName val="338"/>
      <sheetName val="340"/>
      <sheetName val="341"/>
      <sheetName val="342"/>
      <sheetName val="345"/>
      <sheetName val="350"/>
      <sheetName val="355"/>
      <sheetName val="365"/>
      <sheetName val="370"/>
      <sheetName val="401"/>
      <sheetName val="405"/>
      <sheetName val="410"/>
      <sheetName val="415"/>
      <sheetName val="420"/>
      <sheetName val="425"/>
      <sheetName val="430G"/>
      <sheetName val="430BTA (2723)"/>
      <sheetName val="431G"/>
      <sheetName val="430BTA (2728)"/>
      <sheetName val="431G "/>
      <sheetName val="431BTA (2723)"/>
      <sheetName val="431BTA (2728)"/>
      <sheetName val="501"/>
      <sheetName val="505"/>
      <sheetName val="510"/>
      <sheetName val="515"/>
      <sheetName val="520"/>
      <sheetName val="525"/>
      <sheetName val="530"/>
      <sheetName val="535"/>
      <sheetName val="540"/>
      <sheetName val="545"/>
      <sheetName val="550 (1100)"/>
      <sheetName val="550 (1200)"/>
      <sheetName val="550 (1400)"/>
      <sheetName val="550 (1426)"/>
      <sheetName val="550 (2714)"/>
      <sheetName val="555 (1100)"/>
      <sheetName val="555 (2714)"/>
      <sheetName val="560"/>
      <sheetName val="565"/>
      <sheetName val="570"/>
      <sheetName val="605"/>
      <sheetName val="610"/>
      <sheetName val="615"/>
      <sheetName val="616"/>
      <sheetName val="620"/>
      <sheetName val="625"/>
      <sheetName val="635"/>
      <sheetName val="640"/>
      <sheetName val="705"/>
      <sheetName val="710"/>
      <sheetName val="715"/>
      <sheetName val="720"/>
      <sheetName val="725"/>
      <sheetName val="730"/>
      <sheetName val="735"/>
      <sheetName val="740"/>
      <sheetName val="745"/>
      <sheetName val="755"/>
      <sheetName val="756"/>
      <sheetName val="760"/>
      <sheetName val="765"/>
      <sheetName val="905"/>
      <sheetName val="For 905-NCAS Acct Roll-up"/>
      <sheetName val="905Hosp"/>
      <sheetName val="906-6B"/>
      <sheetName val="906-6C"/>
      <sheetName val="906-6BC"/>
      <sheetName val="907"/>
      <sheetName val="910"/>
      <sheetName val="910Hosp"/>
      <sheetName val="911-6B"/>
      <sheetName val="911-6C"/>
      <sheetName val="Explanations"/>
      <sheetName val="Comments"/>
      <sheetName val="Agencies"/>
      <sheetName val="Functional"/>
      <sheetName val="NetPosition"/>
      <sheetName val="PriorYr905"/>
      <sheetName val="PriorYr906"/>
      <sheetName val="Data"/>
      <sheetName val="All Agencies"/>
      <sheetName val="OSC Analysts"/>
      <sheetName val="Errors"/>
      <sheetName val="Notes"/>
    </sheetNames>
    <sheetDataSet>
      <sheetData sheetId="0" refreshError="1"/>
      <sheetData sheetId="1" refreshError="1"/>
      <sheetData sheetId="2" refreshError="1">
        <row r="54">
          <cell r="B54"/>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persons/person.xml><?xml version="1.0" encoding="utf-8"?>
<personList xmlns="http://schemas.microsoft.com/office/spreadsheetml/2018/threadedcomments" xmlns:x="http://schemas.openxmlformats.org/spreadsheetml/2006/main">
  <person displayName="Jani, Shivani R" id="{740380A9-CF4E-4B87-8031-BF1D1DE7B644}" userId="S::Shivani.Jani@osc.nc.gov::8bd54d9f-5548-45b6-ba73-81064f073bb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227" dT="2020-05-20T19:11:00.42" personId="{740380A9-CF4E-4B87-8031-BF1D1DE7B644}" id="{A615783C-1191-4045-98F6-5DA93EB3548F}">
    <text>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text>
  </threadedComment>
  <threadedComment ref="B229" dT="2020-05-18T15:55:48.96" personId="{740380A9-CF4E-4B87-8031-BF1D1DE7B644}" id="{E88BAAE7-59B6-49B2-BFA5-5FE8C4DBA888}">
    <text>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ext>
  </threadedComment>
  <threadedComment ref="B231" dT="2021-05-25T21:18:39.96" personId="{740380A9-CF4E-4B87-8031-BF1D1DE7B644}" id="{0665821F-2F78-4D93-BB0F-0CF65F131A8B}">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s>
</file>

<file path=xl/threadedComments/threadedComment2.xml><?xml version="1.0" encoding="utf-8"?>
<ThreadedComments xmlns="http://schemas.microsoft.com/office/spreadsheetml/2018/threadedcomments" xmlns:x="http://schemas.openxmlformats.org/spreadsheetml/2006/main">
  <threadedComment ref="B229" dT="2021-05-25T21:18:39.96" personId="{740380A9-CF4E-4B87-8031-BF1D1DE7B644}" id="{C46C3533-8015-459F-8AF8-C93EA45BF696}">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308.bin"/></Relationships>
</file>

<file path=xl/worksheets/_rels/sheet101.xml.rels><?xml version="1.0" encoding="UTF-8" standalone="yes"?>
<Relationships xmlns="http://schemas.openxmlformats.org/package/2006/relationships"><Relationship Id="rId26" Type="http://schemas.openxmlformats.org/officeDocument/2006/relationships/hyperlink" Target="mailto:dkdryer@northcarolina.edu" TargetMode="External"/><Relationship Id="rId21" Type="http://schemas.openxmlformats.org/officeDocument/2006/relationships/hyperlink" Target="mailto:burckley@ncat.edu" TargetMode="External"/><Relationship Id="rId34" Type="http://schemas.openxmlformats.org/officeDocument/2006/relationships/hyperlink" Target="mailto:carolyna@blueridge.edu" TargetMode="External"/><Relationship Id="rId42" Type="http://schemas.openxmlformats.org/officeDocument/2006/relationships/hyperlink" Target="mailto:jennifer_starsick@davidsondavie.edu" TargetMode="External"/><Relationship Id="rId47" Type="http://schemas.openxmlformats.org/officeDocument/2006/relationships/hyperlink" Target="mailto:alman.shelly@gaston.edu" TargetMode="External"/><Relationship Id="rId50" Type="http://schemas.openxmlformats.org/officeDocument/2006/relationships/hyperlink" Target="mailto:apenson@isothermal.edu" TargetMode="External"/><Relationship Id="rId55" Type="http://schemas.openxmlformats.org/officeDocument/2006/relationships/hyperlink" Target="mailto:dickmauney@mcdowelltech.edu" TargetMode="External"/><Relationship Id="rId63" Type="http://schemas.openxmlformats.org/officeDocument/2006/relationships/hyperlink" Target="mailto:mooreg6174@rockinghamcc.edu" TargetMode="External"/><Relationship Id="rId68" Type="http://schemas.openxmlformats.org/officeDocument/2006/relationships/hyperlink" Target="mailto:kbradshaw9661@stanly.edu" TargetMode="External"/><Relationship Id="rId76" Type="http://schemas.openxmlformats.org/officeDocument/2006/relationships/hyperlink" Target="mailto:Mrobe138@uncc.edu" TargetMode="External"/><Relationship Id="rId84" Type="http://schemas.openxmlformats.org/officeDocument/2006/relationships/hyperlink" Target="mailto:jsjones@wilsoncc.edu" TargetMode="External"/><Relationship Id="rId89" Type="http://schemas.openxmlformats.org/officeDocument/2006/relationships/hyperlink" Target="mailto:jklenke@gbmcpas.com" TargetMode="External"/><Relationship Id="rId97" Type="http://schemas.openxmlformats.org/officeDocument/2006/relationships/hyperlink" Target="mailto:jaddison1@uncfsu.edu" TargetMode="External"/><Relationship Id="rId7" Type="http://schemas.openxmlformats.org/officeDocument/2006/relationships/hyperlink" Target="mailto:jhouse@centauth.com" TargetMode="External"/><Relationship Id="rId71" Type="http://schemas.openxmlformats.org/officeDocument/2006/relationships/hyperlink" Target="mailto:hirthl@vgcc.edu" TargetMode="External"/><Relationship Id="rId92" Type="http://schemas.openxmlformats.org/officeDocument/2006/relationships/hyperlink" Target="mailto:cottlej@communitycolleges.edu" TargetMode="External"/><Relationship Id="rId2" Type="http://schemas.openxmlformats.org/officeDocument/2006/relationships/printerSettings" Target="../printerSettings/printerSettings310.bin"/><Relationship Id="rId16" Type="http://schemas.openxmlformats.org/officeDocument/2006/relationships/hyperlink" Target="mailto:malinda.peters@ncleg.gov" TargetMode="External"/><Relationship Id="rId29" Type="http://schemas.openxmlformats.org/officeDocument/2006/relationships/hyperlink" Target="mailto:jonesjn@wssu.edu" TargetMode="External"/><Relationship Id="rId11" Type="http://schemas.openxmlformats.org/officeDocument/2006/relationships/hyperlink" Target="mailto:jacqueline.mckoy@ncdor.gov" TargetMode="External"/><Relationship Id="rId24" Type="http://schemas.openxmlformats.org/officeDocument/2006/relationships/hyperlink" Target="mailto:joan.fontes@nctreasurer.com" TargetMode="External"/><Relationship Id="rId32" Type="http://schemas.openxmlformats.org/officeDocument/2006/relationships/hyperlink" Target="mailto:gay.edwards@BeaufortCCC.edu" TargetMode="External"/><Relationship Id="rId37" Type="http://schemas.openxmlformats.org/officeDocument/2006/relationships/hyperlink" Target="mailto:cumbied@carteret.edu" TargetMode="External"/><Relationship Id="rId40" Type="http://schemas.openxmlformats.org/officeDocument/2006/relationships/hyperlink" Target="mailto:lauren.gates@cpcc.edu" TargetMode="External"/><Relationship Id="rId45" Type="http://schemas.openxmlformats.org/officeDocument/2006/relationships/hyperlink" Target="mailto:deaverr@faytechcc.edu" TargetMode="External"/><Relationship Id="rId53" Type="http://schemas.openxmlformats.org/officeDocument/2006/relationships/hyperlink" Target="mailto:tammy.bailey@martincc.edu" TargetMode="External"/><Relationship Id="rId58" Type="http://schemas.openxmlformats.org/officeDocument/2006/relationships/hyperlink" Target="mailto:Beverly.murphy@piedmontcc.edu" TargetMode="External"/><Relationship Id="rId66" Type="http://schemas.openxmlformats.org/officeDocument/2006/relationships/hyperlink" Target="mailto:jricketts2@spcc.edu" TargetMode="External"/><Relationship Id="rId74" Type="http://schemas.openxmlformats.org/officeDocument/2006/relationships/hyperlink" Target="mailto:pkroberts@sosnc.gov" TargetMode="External"/><Relationship Id="rId79" Type="http://schemas.openxmlformats.org/officeDocument/2006/relationships/hyperlink" Target="mailto:cheryl.davis@commerce.nc.gov" TargetMode="External"/><Relationship Id="rId87" Type="http://schemas.openxmlformats.org/officeDocument/2006/relationships/hyperlink" Target="mailto:jbrady@ncsu.edu" TargetMode="External"/><Relationship Id="rId5" Type="http://schemas.openxmlformats.org/officeDocument/2006/relationships/hyperlink" Target="mailto:awnash@uncg.edu" TargetMode="External"/><Relationship Id="rId61" Type="http://schemas.openxmlformats.org/officeDocument/2006/relationships/hyperlink" Target="mailto:dccashwell@richmondcc.edu" TargetMode="External"/><Relationship Id="rId82" Type="http://schemas.openxmlformats.org/officeDocument/2006/relationships/hyperlink" Target="mailto:emersonw@uncsa.edu" TargetMode="External"/><Relationship Id="rId90" Type="http://schemas.openxmlformats.org/officeDocument/2006/relationships/hyperlink" Target="mailto:sachsc@cravencc.edu" TargetMode="External"/><Relationship Id="rId95" Type="http://schemas.openxmlformats.org/officeDocument/2006/relationships/hyperlink" Target="mailto:Terry.Dail@ncports.com" TargetMode="External"/><Relationship Id="rId19" Type="http://schemas.openxmlformats.org/officeDocument/2006/relationships/hyperlink" Target="mailto:Shirley.Trollinger@ncdenr.gov" TargetMode="External"/><Relationship Id="rId14" Type="http://schemas.openxmlformats.org/officeDocument/2006/relationships/hyperlink" Target="mailto:mark_stohlman@ncbiotech.org" TargetMode="External"/><Relationship Id="rId22" Type="http://schemas.openxmlformats.org/officeDocument/2006/relationships/hyperlink" Target="mailto:bdsteinbicker@email.wcu.edu" TargetMode="External"/><Relationship Id="rId27" Type="http://schemas.openxmlformats.org/officeDocument/2006/relationships/hyperlink" Target="mailto:grknight@ecsu.edu" TargetMode="External"/><Relationship Id="rId30" Type="http://schemas.openxmlformats.org/officeDocument/2006/relationships/hyperlink" Target="mailto:cdcrepps973@alamancecc.edu" TargetMode="External"/><Relationship Id="rId35" Type="http://schemas.openxmlformats.org/officeDocument/2006/relationships/hyperlink" Target="mailto:culpeppers@brunswickcc.edu" TargetMode="External"/><Relationship Id="rId43" Type="http://schemas.openxmlformats.org/officeDocument/2006/relationships/hyperlink" Target="mailto:kleitsch@durhamtech.edu" TargetMode="External"/><Relationship Id="rId48" Type="http://schemas.openxmlformats.org/officeDocument/2006/relationships/hyperlink" Target="mailto:klriffe@gtcc.edu" TargetMode="External"/><Relationship Id="rId56" Type="http://schemas.openxmlformats.org/officeDocument/2006/relationships/hyperlink" Target="mailto:jharris@mitchellcc.edu" TargetMode="External"/><Relationship Id="rId64" Type="http://schemas.openxmlformats.org/officeDocument/2006/relationships/hyperlink" Target="mailto:Norma.brice@rccc.edu" TargetMode="External"/><Relationship Id="rId69" Type="http://schemas.openxmlformats.org/officeDocument/2006/relationships/hyperlink" Target="mailto:martint@surry.edu" TargetMode="External"/><Relationship Id="rId77" Type="http://schemas.openxmlformats.org/officeDocument/2006/relationships/hyperlink" Target="mailto:MJeng@ncrr.com" TargetMode="External"/><Relationship Id="rId100" Type="http://schemas.openxmlformats.org/officeDocument/2006/relationships/printerSettings" Target="../printerSettings/printerSettings311.bin"/><Relationship Id="rId8" Type="http://schemas.openxmlformats.org/officeDocument/2006/relationships/hyperlink" Target="mailto:lisa.culbreth@labor.nc.gov" TargetMode="External"/><Relationship Id="rId51" Type="http://schemas.openxmlformats.org/officeDocument/2006/relationships/hyperlink" Target="mailto:dgwebb@johnstoncc.edu" TargetMode="External"/><Relationship Id="rId72" Type="http://schemas.openxmlformats.org/officeDocument/2006/relationships/hyperlink" Target="mailto:marney@wpcc.edu" TargetMode="External"/><Relationship Id="rId80" Type="http://schemas.openxmlformats.org/officeDocument/2006/relationships/hyperlink" Target="mailto:elizabeth.haynes@ncdr.gov" TargetMode="External"/><Relationship Id="rId85" Type="http://schemas.openxmlformats.org/officeDocument/2006/relationships/hyperlink" Target="mailto:Mlongobardi@ncdoj.gov" TargetMode="External"/><Relationship Id="rId93" Type="http://schemas.openxmlformats.org/officeDocument/2006/relationships/hyperlink" Target="mailto:tdwarren1@ncdot.gov" TargetMode="External"/><Relationship Id="rId98" Type="http://schemas.openxmlformats.org/officeDocument/2006/relationships/hyperlink" Target="mailto:stricklands@ecu.edu" TargetMode="External"/><Relationship Id="rId3" Type="http://schemas.openxmlformats.org/officeDocument/2006/relationships/hyperlink" Target="mailto:joan.fontes@nctreasurer.com" TargetMode="External"/><Relationship Id="rId12" Type="http://schemas.openxmlformats.org/officeDocument/2006/relationships/hyperlink" Target="mailto:natasha.farrington@osc.nc.gov" TargetMode="External"/><Relationship Id="rId17" Type="http://schemas.openxmlformats.org/officeDocument/2006/relationships/hyperlink" Target="mailto:jeff.witherow@ncagr.gov" TargetMode="External"/><Relationship Id="rId25" Type="http://schemas.openxmlformats.org/officeDocument/2006/relationships/hyperlink" Target="mailto:joan.fontes@nctreasurer.com" TargetMode="External"/><Relationship Id="rId33" Type="http://schemas.openxmlformats.org/officeDocument/2006/relationships/hyperlink" Target="mailto:ljacobs@bladencc.edu" TargetMode="External"/><Relationship Id="rId38" Type="http://schemas.openxmlformats.org/officeDocument/2006/relationships/hyperlink" Target="mailto:sswanson109@cvcc.edu" TargetMode="External"/><Relationship Id="rId46" Type="http://schemas.openxmlformats.org/officeDocument/2006/relationships/hyperlink" Target="mailto:kalexander@forsythtech.edu" TargetMode="External"/><Relationship Id="rId59" Type="http://schemas.openxmlformats.org/officeDocument/2006/relationships/hyperlink" Target="mailto:apeaden@email.pittcc.edu" TargetMode="External"/><Relationship Id="rId67" Type="http://schemas.openxmlformats.org/officeDocument/2006/relationships/hyperlink" Target="mailto:donna.turbeville@sccnc.edu" TargetMode="External"/><Relationship Id="rId20" Type="http://schemas.openxmlformats.org/officeDocument/2006/relationships/hyperlink" Target="mailto:Lori.Oldham@ncdcr.gov" TargetMode="External"/><Relationship Id="rId41" Type="http://schemas.openxmlformats.org/officeDocument/2006/relationships/hyperlink" Target="mailto:susan_gentry@albemarle.edu" TargetMode="External"/><Relationship Id="rId54" Type="http://schemas.openxmlformats.org/officeDocument/2006/relationships/hyperlink" Target="mailto:crenfro@mayland.edu" TargetMode="External"/><Relationship Id="rId62" Type="http://schemas.openxmlformats.org/officeDocument/2006/relationships/hyperlink" Target="mailto:carriedouglas8479@roanokechowan.edu" TargetMode="External"/><Relationship Id="rId70" Type="http://schemas.openxmlformats.org/officeDocument/2006/relationships/hyperlink" Target="mailto:bvespasian@tricountycc.edu" TargetMode="External"/><Relationship Id="rId75" Type="http://schemas.openxmlformats.org/officeDocument/2006/relationships/hyperlink" Target="mailto:sue.kearney@dpi.nc.gov" TargetMode="External"/><Relationship Id="rId83" Type="http://schemas.openxmlformats.org/officeDocument/2006/relationships/hyperlink" Target="mailto:larry.price@edpnc.com" TargetMode="External"/><Relationship Id="rId88" Type="http://schemas.openxmlformats.org/officeDocument/2006/relationships/hyperlink" Target="mailto:Antonio.McDaniel@nccu.edu" TargetMode="External"/><Relationship Id="rId91" Type="http://schemas.openxmlformats.org/officeDocument/2006/relationships/hyperlink" Target="mailto:bmcandre@email.unc.edu" TargetMode="External"/><Relationship Id="rId96" Type="http://schemas.openxmlformats.org/officeDocument/2006/relationships/hyperlink" Target="mailto:jason.dearman@nc.gov" TargetMode="External"/><Relationship Id="rId1" Type="http://schemas.openxmlformats.org/officeDocument/2006/relationships/printerSettings" Target="../printerSettings/printerSettings309.bin"/><Relationship Id="rId6" Type="http://schemas.openxmlformats.org/officeDocument/2006/relationships/hyperlink" Target="mailto:iannuccih@uncw.edu" TargetMode="External"/><Relationship Id="rId15" Type="http://schemas.openxmlformats.org/officeDocument/2006/relationships/hyperlink" Target="mailto:esmith@goldenleaf.org" TargetMode="External"/><Relationship Id="rId23" Type="http://schemas.openxmlformats.org/officeDocument/2006/relationships/hyperlink" Target="mailto:providence.hakizimana@osbm.nc.gov" TargetMode="External"/><Relationship Id="rId28" Type="http://schemas.openxmlformats.org/officeDocument/2006/relationships/hyperlink" Target="mailto:lgriffin@ncseaa.edu" TargetMode="External"/><Relationship Id="rId36" Type="http://schemas.openxmlformats.org/officeDocument/2006/relationships/hyperlink" Target="mailto:lcolley@cfcc.edu" TargetMode="External"/><Relationship Id="rId49" Type="http://schemas.openxmlformats.org/officeDocument/2006/relationships/hyperlink" Target="mailto:ssmith640@halifaxcc.edu" TargetMode="External"/><Relationship Id="rId57" Type="http://schemas.openxmlformats.org/officeDocument/2006/relationships/hyperlink" Target="mailto:cjdornseif810@nashcc.edu" TargetMode="External"/><Relationship Id="rId10" Type="http://schemas.openxmlformats.org/officeDocument/2006/relationships/hyperlink" Target="mailto:ashley.price@osc.nc.gov" TargetMode="External"/><Relationship Id="rId31" Type="http://schemas.openxmlformats.org/officeDocument/2006/relationships/hyperlink" Target="mailto:kristabellcertain@abtech.edu" TargetMode="External"/><Relationship Id="rId44" Type="http://schemas.openxmlformats.org/officeDocument/2006/relationships/hyperlink" Target="mailto:twittyp@edgecombe.edu" TargetMode="External"/><Relationship Id="rId52" Type="http://schemas.openxmlformats.org/officeDocument/2006/relationships/hyperlink" Target="mailto:jdgibbs27@lenoircc.edu" TargetMode="External"/><Relationship Id="rId60" Type="http://schemas.openxmlformats.org/officeDocument/2006/relationships/hyperlink" Target="mailto:cebiby@randolph.edu" TargetMode="External"/><Relationship Id="rId65" Type="http://schemas.openxmlformats.org/officeDocument/2006/relationships/hyperlink" Target="mailto:dupontm@sandhills.edu" TargetMode="External"/><Relationship Id="rId73" Type="http://schemas.openxmlformats.org/officeDocument/2006/relationships/hyperlink" Target="mailto:cahuffman078@wilkescc.edu" TargetMode="External"/><Relationship Id="rId78" Type="http://schemas.openxmlformats.org/officeDocument/2006/relationships/hyperlink" Target="mailto:rachel_mcdonald@ncauditor.net" TargetMode="External"/><Relationship Id="rId81" Type="http://schemas.openxmlformats.org/officeDocument/2006/relationships/hyperlink" Target="mailto:englebright@ncssm.edu" TargetMode="External"/><Relationship Id="rId86" Type="http://schemas.openxmlformats.org/officeDocument/2006/relationships/hyperlink" Target="mailto:Prabha.Vijayaraghavan@oah.nc.gov" TargetMode="External"/><Relationship Id="rId94" Type="http://schemas.openxmlformats.org/officeDocument/2006/relationships/hyperlink" Target="mailto:tdwarren1@ncdot.gov" TargetMode="External"/><Relationship Id="rId99" Type="http://schemas.openxmlformats.org/officeDocument/2006/relationships/hyperlink" Target="mailto:c_martin@southwesterncc.edu" TargetMode="External"/><Relationship Id="rId4" Type="http://schemas.openxmlformats.org/officeDocument/2006/relationships/hyperlink" Target="mailto:dp.singla@ncwildlife.org" TargetMode="External"/><Relationship Id="rId9" Type="http://schemas.openxmlformats.org/officeDocument/2006/relationships/hyperlink" Target="mailto:anita.bunch@ncdor.gov" TargetMode="External"/><Relationship Id="rId13" Type="http://schemas.openxmlformats.org/officeDocument/2006/relationships/hyperlink" Target="mailto:jamisondt@appstate.edu" TargetMode="External"/><Relationship Id="rId18" Type="http://schemas.openxmlformats.org/officeDocument/2006/relationships/hyperlink" Target="mailto:tonia.mattocks@ncdoi.gov" TargetMode="External"/><Relationship Id="rId39" Type="http://schemas.openxmlformats.org/officeDocument/2006/relationships/hyperlink" Target="mailto:bbrid219@cccc.edu" TargetMode="External"/></Relationships>
</file>

<file path=xl/worksheets/_rels/sheet102.xml.rels><?xml version="1.0" encoding="UTF-8" standalone="yes"?>
<Relationships xmlns="http://schemas.openxmlformats.org/package/2006/relationships"><Relationship Id="rId8" Type="http://schemas.openxmlformats.org/officeDocument/2006/relationships/hyperlink" Target="mailto:Yelena.Zaytseva@osc.nc.gov" TargetMode="External"/><Relationship Id="rId3" Type="http://schemas.openxmlformats.org/officeDocument/2006/relationships/hyperlink" Target="mailto:Kim.Battle@osc.nc.gov" TargetMode="External"/><Relationship Id="rId7" Type="http://schemas.openxmlformats.org/officeDocument/2006/relationships/hyperlink" Target="mailto:Joan.Saucier@osc.nc.gov" TargetMode="External"/><Relationship Id="rId2" Type="http://schemas.openxmlformats.org/officeDocument/2006/relationships/hyperlink" Target="mailto:shivani.jani@osc.nc.gov" TargetMode="External"/><Relationship Id="rId1" Type="http://schemas.openxmlformats.org/officeDocument/2006/relationships/hyperlink" Target="mailto:ellen.rockefeller@osc.nc.gov" TargetMode="External"/><Relationship Id="rId6" Type="http://schemas.openxmlformats.org/officeDocument/2006/relationships/hyperlink" Target="mailto:Virginia.Sisson@osc.nc.gov" TargetMode="External"/><Relationship Id="rId5" Type="http://schemas.openxmlformats.org/officeDocument/2006/relationships/hyperlink" Target="mailto:Joy.darden@osc.nc.gov" TargetMode="External"/><Relationship Id="rId10" Type="http://schemas.openxmlformats.org/officeDocument/2006/relationships/printerSettings" Target="../printerSettings/printerSettings312.bin"/><Relationship Id="rId4" Type="http://schemas.openxmlformats.org/officeDocument/2006/relationships/hyperlink" Target="mailto:Joannie.Burtoft@osc.nc.gov" TargetMode="External"/><Relationship Id="rId9" Type="http://schemas.openxmlformats.org/officeDocument/2006/relationships/hyperlink" Target="mailto:John.Krellner@osc.nc.gov" TargetMode="Externa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316.bin"/><Relationship Id="rId2" Type="http://schemas.openxmlformats.org/officeDocument/2006/relationships/printerSettings" Target="../printerSettings/printerSettings315.bin"/><Relationship Id="rId1" Type="http://schemas.openxmlformats.org/officeDocument/2006/relationships/printerSettings" Target="../printerSettings/printerSettings314.bin"/></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319.bin"/><Relationship Id="rId2" Type="http://schemas.openxmlformats.org/officeDocument/2006/relationships/printerSettings" Target="../printerSettings/printerSettings318.bin"/><Relationship Id="rId1" Type="http://schemas.openxmlformats.org/officeDocument/2006/relationships/printerSettings" Target="../printerSettings/printerSettings31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hyperlink" Target="https://files.nc.gov/ncosc/documents/Policies/102.13_Impairment_of_Capital_Assets_Policy.pdf"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1.xml"/><Relationship Id="rId4"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hyperlink" Target="http://www.osc.nc.gov/policy/AFR/103.2%20Pollution%20Remediation%20Obligations.pdf" TargetMode="Externa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printerSettings" Target="../printerSettings/printerSettings54.bin"/><Relationship Id="rId4" Type="http://schemas.openxmlformats.org/officeDocument/2006/relationships/hyperlink" Target="https://www.osc.nc.gov/1032-statewide-accounting-policy-pollution-remediation-obligations"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osc.nc.gov/state-agency-resources/north-carolina-accounting-system-ncas/statewide-financial-reporting/gasb-resources/gasb-effective-fy-2019"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hyperlink" Target="https://www.osc.nc.gov/state-agency-resources/north-carolina-accounting-system-ncas/statewide-financial-reporting/gasb-resources/effective-fy-2014" TargetMode="External"/><Relationship Id="rId1" Type="http://schemas.openxmlformats.org/officeDocument/2006/relationships/hyperlink" Target="http://ncosc.s3.amazonaws.com/s3fs-public/documents/GASB_Resources/Financial_Reporting_Updates/gasb_standard_70.pdf"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osc.nc.gov/1014-statewide-accounting-policy-restricted-assets" TargetMode="Externa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4" Type="http://schemas.openxmlformats.org/officeDocument/2006/relationships/printerSettings" Target="../printerSettings/printerSettings9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4" Type="http://schemas.openxmlformats.org/officeDocument/2006/relationships/printerSettings" Target="../printerSettings/printerSettings101.bin"/></Relationships>
</file>

<file path=xl/worksheets/_rels/sheet36.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4" Type="http://schemas.openxmlformats.org/officeDocument/2006/relationships/printerSettings" Target="../printerSettings/printerSettings104.bin"/></Relationships>
</file>

<file path=xl/worksheets/_rels/sheet37.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4" Type="http://schemas.openxmlformats.org/officeDocument/2006/relationships/printerSettings" Target="../printerSettings/printerSettings107.bin"/></Relationships>
</file>

<file path=xl/worksheets/_rels/sheet38.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4" Type="http://schemas.openxmlformats.org/officeDocument/2006/relationships/printerSettings" Target="../printerSettings/printerSettings11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5.bin"/><Relationship Id="rId5" Type="http://schemas.openxmlformats.org/officeDocument/2006/relationships/hyperlink" Target="https://www.osc.nc.gov/1016-statewide-accounting-policy-net-position" TargetMode="External"/><Relationship Id="rId4" Type="http://schemas.openxmlformats.org/officeDocument/2006/relationships/printerSettings" Target="../printerSettings/printerSettings1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5" Type="http://schemas.openxmlformats.org/officeDocument/2006/relationships/printerSettings" Target="../printerSettings/printerSettings164.bin"/><Relationship Id="rId4" Type="http://schemas.openxmlformats.org/officeDocument/2006/relationships/printerSettings" Target="../printerSettings/printerSettings163.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5" Type="http://schemas.openxmlformats.org/officeDocument/2006/relationships/printerSettings" Target="../printerSettings/printerSettings169.bin"/><Relationship Id="rId4" Type="http://schemas.openxmlformats.org/officeDocument/2006/relationships/printerSettings" Target="../printerSettings/printerSettings16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72.bin"/><Relationship Id="rId1" Type="http://schemas.openxmlformats.org/officeDocument/2006/relationships/hyperlink" Target="https://files.nc.gov/ncosc/documents/year-end/Transfer%20Accounts%20-%20Their%20Purpose%20and%20Proper%20Use.pdf"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73.bin"/><Relationship Id="rId1" Type="http://schemas.openxmlformats.org/officeDocument/2006/relationships/hyperlink" Target="https://files.nc.gov/ncosc/documents/year-end/Transfer%20Accounts%20-%20Their%20Purpose%20and%20Proper%20Use.pdf"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5" Type="http://schemas.openxmlformats.org/officeDocument/2006/relationships/printerSettings" Target="../printerSettings/printerSettings179.bin"/><Relationship Id="rId4" Type="http://schemas.openxmlformats.org/officeDocument/2006/relationships/printerSettings" Target="../printerSettings/printerSettings178.bin"/></Relationships>
</file>

<file path=xl/worksheets/_rels/sheet6.xml.rels><?xml version="1.0" encoding="UTF-8" standalone="yes"?>
<Relationships xmlns="http://schemas.openxmlformats.org/package/2006/relationships"><Relationship Id="rId3" Type="http://schemas.openxmlformats.org/officeDocument/2006/relationships/hyperlink" Target="https://epm5-a607730.epm.us9.oraclecloud.com/HyperionPlanning/faces/StructureHomeTF/EfsNonFuseNavigator?_adf.ctrl-state=69bzy5h8r_8&amp;_afrLoop=13844347197868236" TargetMode="Externa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8.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5" Type="http://schemas.openxmlformats.org/officeDocument/2006/relationships/printerSettings" Target="../printerSettings/printerSettings184.bin"/><Relationship Id="rId4" Type="http://schemas.openxmlformats.org/officeDocument/2006/relationships/printerSettings" Target="../printerSettings/printerSettings18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5.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5" Type="http://schemas.openxmlformats.org/officeDocument/2006/relationships/printerSettings" Target="../printerSettings/printerSettings190.bin"/><Relationship Id="rId4" Type="http://schemas.openxmlformats.org/officeDocument/2006/relationships/printerSettings" Target="../printerSettings/printerSettings189.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93.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5" Type="http://schemas.openxmlformats.org/officeDocument/2006/relationships/printerSettings" Target="../printerSettings/printerSettings195.bin"/><Relationship Id="rId4" Type="http://schemas.openxmlformats.org/officeDocument/2006/relationships/printerSettings" Target="../printerSettings/printerSettings194.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98.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5" Type="http://schemas.openxmlformats.org/officeDocument/2006/relationships/printerSettings" Target="../printerSettings/printerSettings200.bin"/><Relationship Id="rId4" Type="http://schemas.openxmlformats.org/officeDocument/2006/relationships/printerSettings" Target="../printerSettings/printerSettings19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04.bin"/><Relationship Id="rId2" Type="http://schemas.openxmlformats.org/officeDocument/2006/relationships/printerSettings" Target="../printerSettings/printerSettings203.bin"/><Relationship Id="rId1" Type="http://schemas.openxmlformats.org/officeDocument/2006/relationships/printerSettings" Target="../printerSettings/printerSettings202.bin"/><Relationship Id="rId5" Type="http://schemas.openxmlformats.org/officeDocument/2006/relationships/printerSettings" Target="../printerSettings/printerSettings206.bin"/><Relationship Id="rId4" Type="http://schemas.openxmlformats.org/officeDocument/2006/relationships/printerSettings" Target="../printerSettings/printerSettings205.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09.bin"/><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 Id="rId6" Type="http://schemas.openxmlformats.org/officeDocument/2006/relationships/drawing" Target="../drawings/drawing4.xml"/><Relationship Id="rId5" Type="http://schemas.openxmlformats.org/officeDocument/2006/relationships/printerSettings" Target="../printerSettings/printerSettings211.bin"/><Relationship Id="rId4" Type="http://schemas.openxmlformats.org/officeDocument/2006/relationships/printerSettings" Target="../printerSettings/printerSettings210.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14.bin"/><Relationship Id="rId7" Type="http://schemas.openxmlformats.org/officeDocument/2006/relationships/comments" Target="../comments4.xml"/><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6" Type="http://schemas.openxmlformats.org/officeDocument/2006/relationships/vmlDrawing" Target="../drawings/vmlDrawing4.vml"/><Relationship Id="rId5" Type="http://schemas.openxmlformats.org/officeDocument/2006/relationships/printerSettings" Target="../printerSettings/printerSettings216.bin"/><Relationship Id="rId4" Type="http://schemas.openxmlformats.org/officeDocument/2006/relationships/printerSettings" Target="../printerSettings/printerSettings215.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17.bin"/><Relationship Id="rId2" Type="http://schemas.openxmlformats.org/officeDocument/2006/relationships/hyperlink" Target="https://files.nc.gov/ncosc/documents/GASB_Resources/Financial_Reporting_Updates/GASB_Standard_77.pdf?6Pi9rsrwXSYYkbz3o8QgMsVxNb7046lV=" TargetMode="External"/><Relationship Id="rId1" Type="http://schemas.openxmlformats.org/officeDocument/2006/relationships/hyperlink" Target="http://ncosc.s3.amazonaws.com/s3fs-public/documents/GASB_Resources/Financial_Reporting_Updates/gasb_standard_77.pdf"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5" Type="http://schemas.openxmlformats.org/officeDocument/2006/relationships/printerSettings" Target="../printerSettings/printerSettings222.bin"/><Relationship Id="rId4" Type="http://schemas.openxmlformats.org/officeDocument/2006/relationships/printerSettings" Target="../printerSettings/printerSettings221.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25.bin"/><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 Id="rId6" Type="http://schemas.openxmlformats.org/officeDocument/2006/relationships/drawing" Target="../drawings/drawing6.xml"/><Relationship Id="rId5" Type="http://schemas.openxmlformats.org/officeDocument/2006/relationships/printerSettings" Target="../printerSettings/printerSettings227.bin"/><Relationship Id="rId4" Type="http://schemas.openxmlformats.org/officeDocument/2006/relationships/printerSettings" Target="../printerSettings/printerSettings226.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printerSettings" Target="../printerSettings/printerSettings229.bin"/><Relationship Id="rId1" Type="http://schemas.openxmlformats.org/officeDocument/2006/relationships/printerSettings" Target="../printerSettings/printerSettings228.bin"/><Relationship Id="rId5" Type="http://schemas.openxmlformats.org/officeDocument/2006/relationships/printerSettings" Target="../printerSettings/printerSettings232.bin"/><Relationship Id="rId4" Type="http://schemas.openxmlformats.org/officeDocument/2006/relationships/printerSettings" Target="../printerSettings/printerSettings231.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35.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6" Type="http://schemas.openxmlformats.org/officeDocument/2006/relationships/drawing" Target="../drawings/drawing7.xml"/><Relationship Id="rId5" Type="http://schemas.openxmlformats.org/officeDocument/2006/relationships/printerSettings" Target="../printerSettings/printerSettings237.bin"/><Relationship Id="rId4" Type="http://schemas.openxmlformats.org/officeDocument/2006/relationships/printerSettings" Target="../printerSettings/printerSettings236.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40.bin"/><Relationship Id="rId2" Type="http://schemas.openxmlformats.org/officeDocument/2006/relationships/printerSettings" Target="../printerSettings/printerSettings239.bin"/><Relationship Id="rId1" Type="http://schemas.openxmlformats.org/officeDocument/2006/relationships/printerSettings" Target="../printerSettings/printerSettings238.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248.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5" Type="http://schemas.openxmlformats.org/officeDocument/2006/relationships/printerSettings" Target="../printerSettings/printerSettings250.bin"/><Relationship Id="rId4" Type="http://schemas.openxmlformats.org/officeDocument/2006/relationships/printerSettings" Target="../printerSettings/printerSettings249.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253.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5" Type="http://schemas.openxmlformats.org/officeDocument/2006/relationships/printerSettings" Target="../printerSettings/printerSettings255.bin"/><Relationship Id="rId4" Type="http://schemas.openxmlformats.org/officeDocument/2006/relationships/printerSettings" Target="../printerSettings/printerSettings254.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258.bin"/><Relationship Id="rId2" Type="http://schemas.openxmlformats.org/officeDocument/2006/relationships/printerSettings" Target="../printerSettings/printerSettings257.bin"/><Relationship Id="rId1" Type="http://schemas.openxmlformats.org/officeDocument/2006/relationships/printerSettings" Target="../printerSettings/printerSettings256.bin"/><Relationship Id="rId5" Type="http://schemas.openxmlformats.org/officeDocument/2006/relationships/printerSettings" Target="../printerSettings/printerSettings260.bin"/><Relationship Id="rId4" Type="http://schemas.openxmlformats.org/officeDocument/2006/relationships/printerSettings" Target="../printerSettings/printerSettings259.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26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files.nc.gov/ncosc/documents/GASB_Resources/Financial_Reporting_Updates/gasb_standard_69_revised.pdf" TargetMode="External"/><Relationship Id="rId1" Type="http://schemas.openxmlformats.org/officeDocument/2006/relationships/hyperlink" Target="http://ncosc.s3.amazonaws.com/s3fs-public/documents/GASB_Resources/Financial_Reporting_Updates/gasb_standard_69_revised.pdf"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264.bin"/><Relationship Id="rId2" Type="http://schemas.openxmlformats.org/officeDocument/2006/relationships/printerSettings" Target="../printerSettings/printerSettings263.bin"/><Relationship Id="rId1" Type="http://schemas.openxmlformats.org/officeDocument/2006/relationships/printerSettings" Target="../printerSettings/printerSettings26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266.bin"/><Relationship Id="rId1" Type="http://schemas.openxmlformats.org/officeDocument/2006/relationships/hyperlink" Target="https://www.osc.nc.gov/state-agency-resources/north-carolina-accounting-system-ncas/statewide-financial-reporting/gasb-resources/effective-fy-2016"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69.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microsoft.com/office/2017/10/relationships/threadedComment" Target="../threadedComments/threadedComment1.xm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84.xml.rels><?xml version="1.0" encoding="UTF-8" standalone="yes"?>
<Relationships xmlns="http://schemas.openxmlformats.org/package/2006/relationships"><Relationship Id="rId3" Type="http://schemas.openxmlformats.org/officeDocument/2006/relationships/hyperlink" Target="http://www.osc.nc.gov/sigdocs/sig_docs/sigNCAS_Data_Elements.html" TargetMode="External"/><Relationship Id="rId2" Type="http://schemas.openxmlformats.org/officeDocument/2006/relationships/printerSettings" Target="../printerSettings/printerSettings271.bin"/><Relationship Id="rId1" Type="http://schemas.openxmlformats.org/officeDocument/2006/relationships/printerSettings" Target="../printerSettings/printerSettings270.bin"/><Relationship Id="rId5" Type="http://schemas.openxmlformats.org/officeDocument/2006/relationships/printerSettings" Target="../printerSettings/printerSettings272.bin"/><Relationship Id="rId4" Type="http://schemas.openxmlformats.org/officeDocument/2006/relationships/hyperlink" Target="http://www.osc.nc.gov/sigdocs/sig_docs/sigNCAS_Data_Elements.html"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microsoft.com/office/2017/10/relationships/threadedComment" Target="../threadedComments/threadedComment2.xml"/><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78.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5" Type="http://schemas.openxmlformats.org/officeDocument/2006/relationships/comments" Target="../comments7.xml"/><Relationship Id="rId4" Type="http://schemas.openxmlformats.org/officeDocument/2006/relationships/vmlDrawing" Target="../drawings/vmlDrawing8.vml"/></Relationships>
</file>

<file path=xl/worksheets/_rels/sheet8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7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83.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286.bin"/><Relationship Id="rId2" Type="http://schemas.openxmlformats.org/officeDocument/2006/relationships/printerSettings" Target="../printerSettings/printerSettings285.bin"/><Relationship Id="rId1" Type="http://schemas.openxmlformats.org/officeDocument/2006/relationships/printerSettings" Target="../printerSettings/printerSettings284.bin"/><Relationship Id="rId5" Type="http://schemas.openxmlformats.org/officeDocument/2006/relationships/comments" Target="../comments9.xml"/><Relationship Id="rId4" Type="http://schemas.openxmlformats.org/officeDocument/2006/relationships/vmlDrawing" Target="../drawings/vmlDrawing10.vml"/></Relationships>
</file>

<file path=xl/worksheets/_rels/sheet9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287.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290.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294.bin"/><Relationship Id="rId2" Type="http://schemas.openxmlformats.org/officeDocument/2006/relationships/printerSettings" Target="../printerSettings/printerSettings293.bin"/><Relationship Id="rId1" Type="http://schemas.openxmlformats.org/officeDocument/2006/relationships/printerSettings" Target="../printerSettings/printerSettings292.bin"/></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297.bin"/><Relationship Id="rId2" Type="http://schemas.openxmlformats.org/officeDocument/2006/relationships/printerSettings" Target="../printerSettings/printerSettings296.bin"/><Relationship Id="rId1" Type="http://schemas.openxmlformats.org/officeDocument/2006/relationships/printerSettings" Target="../printerSettings/printerSettings295.bin"/><Relationship Id="rId5" Type="http://schemas.openxmlformats.org/officeDocument/2006/relationships/printerSettings" Target="../printerSettings/printerSettings299.bin"/><Relationship Id="rId4" Type="http://schemas.openxmlformats.org/officeDocument/2006/relationships/printerSettings" Target="../printerSettings/printerSettings29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303.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306.bin"/><Relationship Id="rId2" Type="http://schemas.openxmlformats.org/officeDocument/2006/relationships/printerSettings" Target="../printerSettings/printerSettings305.bin"/><Relationship Id="rId1" Type="http://schemas.openxmlformats.org/officeDocument/2006/relationships/printerSettings" Target="../printerSettings/printerSettings304.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30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N53"/>
  <sheetViews>
    <sheetView showGridLines="0" tabSelected="1" workbookViewId="0">
      <selection activeCell="I26" sqref="I26"/>
    </sheetView>
  </sheetViews>
  <sheetFormatPr defaultRowHeight="12.75" x14ac:dyDescent="0.2"/>
  <cols>
    <col min="1" max="1" width="3" customWidth="1"/>
    <col min="2" max="2" width="91.5703125" customWidth="1"/>
    <col min="3" max="3" width="11.5703125" customWidth="1"/>
    <col min="4" max="7" width="8.42578125" customWidth="1"/>
    <col min="8" max="8" width="9.5703125" customWidth="1"/>
    <col min="9" max="9" width="7.5703125" customWidth="1"/>
    <col min="10" max="11" width="10.5703125" customWidth="1"/>
    <col min="12" max="12" width="10" customWidth="1"/>
    <col min="13" max="13" width="3.5703125" customWidth="1"/>
  </cols>
  <sheetData>
    <row r="1" spans="1:14" ht="15.75" x14ac:dyDescent="0.25">
      <c r="A1" s="2376" t="s">
        <v>1007</v>
      </c>
      <c r="B1" s="2376"/>
      <c r="C1" s="1174"/>
      <c r="D1" s="1174"/>
      <c r="E1" s="1174"/>
      <c r="F1" s="1174"/>
      <c r="G1" s="1174"/>
      <c r="H1" s="1174"/>
      <c r="I1" s="1174"/>
      <c r="J1" s="1174"/>
      <c r="K1" s="1174"/>
      <c r="L1" s="1174"/>
      <c r="M1" s="1174"/>
      <c r="N1" s="130"/>
    </row>
    <row r="2" spans="1:14" ht="15.75" x14ac:dyDescent="0.25">
      <c r="A2" s="2376" t="str">
        <f>CONCATENATE(YEAR(Data!A2)," ACFR Worksheets")</f>
        <v>2022 ACFR Worksheets</v>
      </c>
      <c r="B2" s="2376"/>
      <c r="C2" s="1174"/>
      <c r="D2" s="1174"/>
      <c r="E2" s="1174"/>
      <c r="F2" s="1174"/>
      <c r="G2" s="1174"/>
      <c r="H2" s="1174"/>
      <c r="I2" s="1174"/>
      <c r="J2" s="1174"/>
      <c r="K2" s="1174"/>
      <c r="L2" s="1174"/>
      <c r="M2" s="1174"/>
      <c r="N2" s="130"/>
    </row>
    <row r="3" spans="1:14" ht="15.75" x14ac:dyDescent="0.25">
      <c r="A3" s="2376" t="s">
        <v>1695</v>
      </c>
      <c r="B3" s="2376"/>
      <c r="C3" s="1174"/>
      <c r="D3" s="1174"/>
      <c r="E3" s="1174"/>
      <c r="F3" s="1174"/>
      <c r="G3" s="1174"/>
      <c r="H3" s="1174"/>
      <c r="I3" s="1174"/>
      <c r="J3" s="1174"/>
      <c r="K3" s="1174"/>
      <c r="L3" s="1174"/>
      <c r="M3" s="1174"/>
      <c r="N3" s="130"/>
    </row>
    <row r="4" spans="1:14" ht="15.75" x14ac:dyDescent="0.25">
      <c r="A4" s="290"/>
      <c r="B4" s="1280" t="str">
        <f>Index!L4</f>
        <v>File revision date: 8/1/2022</v>
      </c>
      <c r="C4" s="1171"/>
      <c r="D4" s="1171"/>
      <c r="E4" s="1171"/>
      <c r="F4" s="1171"/>
      <c r="G4" s="1171"/>
      <c r="H4" s="1171"/>
      <c r="I4" s="1171"/>
      <c r="J4" s="1171"/>
      <c r="K4" s="1171"/>
      <c r="L4" s="1171"/>
      <c r="M4" s="1171"/>
    </row>
    <row r="6" spans="1:14" ht="14.25" x14ac:dyDescent="0.25">
      <c r="A6" s="1476" t="s">
        <v>595</v>
      </c>
      <c r="B6" s="1173"/>
    </row>
    <row r="7" spans="1:14" ht="13.5" x14ac:dyDescent="0.2">
      <c r="A7" s="1175" t="s">
        <v>1696</v>
      </c>
      <c r="B7" s="1176" t="s">
        <v>1837</v>
      </c>
    </row>
    <row r="8" spans="1:14" ht="13.5" x14ac:dyDescent="0.2">
      <c r="A8" s="1175"/>
      <c r="B8" s="1176" t="s">
        <v>4073</v>
      </c>
    </row>
    <row r="9" spans="1:14" ht="13.5" x14ac:dyDescent="0.2">
      <c r="A9" s="1175" t="s">
        <v>1696</v>
      </c>
      <c r="B9" s="1176" t="s">
        <v>1698</v>
      </c>
    </row>
    <row r="10" spans="1:14" ht="13.5" x14ac:dyDescent="0.2">
      <c r="A10" s="1177"/>
      <c r="B10" s="1176" t="s">
        <v>1697</v>
      </c>
    </row>
    <row r="11" spans="1:14" ht="13.5" x14ac:dyDescent="0.2">
      <c r="A11" s="1175" t="s">
        <v>1696</v>
      </c>
      <c r="B11" s="1176" t="s">
        <v>4074</v>
      </c>
    </row>
    <row r="12" spans="1:14" ht="13.5" x14ac:dyDescent="0.2">
      <c r="A12" s="1175" t="s">
        <v>1696</v>
      </c>
      <c r="B12" s="1176" t="s">
        <v>4486</v>
      </c>
    </row>
    <row r="13" spans="1:14" ht="13.5" x14ac:dyDescent="0.2">
      <c r="A13" s="1175"/>
      <c r="B13" s="1176" t="s">
        <v>1913</v>
      </c>
    </row>
    <row r="14" spans="1:14" ht="13.5" x14ac:dyDescent="0.2">
      <c r="A14" s="1175"/>
      <c r="B14" s="1176" t="s">
        <v>1700</v>
      </c>
    </row>
    <row r="15" spans="1:14" ht="13.5" x14ac:dyDescent="0.2">
      <c r="A15" s="1175"/>
      <c r="B15" s="1176" t="s">
        <v>1699</v>
      </c>
    </row>
    <row r="16" spans="1:14" ht="13.5" x14ac:dyDescent="0.2">
      <c r="A16" s="1175" t="s">
        <v>1696</v>
      </c>
      <c r="B16" s="2329" t="s">
        <v>5633</v>
      </c>
    </row>
    <row r="17" spans="1:3" ht="13.5" x14ac:dyDescent="0.2">
      <c r="A17" s="1175"/>
      <c r="B17" s="2329" t="s">
        <v>5634</v>
      </c>
    </row>
    <row r="18" spans="1:3" ht="13.5" x14ac:dyDescent="0.2">
      <c r="A18" s="1175" t="s">
        <v>1696</v>
      </c>
      <c r="B18" s="2329" t="s">
        <v>5632</v>
      </c>
    </row>
    <row r="19" spans="1:3" ht="13.5" x14ac:dyDescent="0.2">
      <c r="A19" s="1175" t="s">
        <v>1696</v>
      </c>
      <c r="B19" s="1176" t="s">
        <v>1702</v>
      </c>
    </row>
    <row r="20" spans="1:3" ht="14.25" thickBot="1" x14ac:dyDescent="0.25">
      <c r="A20" s="1175"/>
      <c r="B20" s="1176" t="s">
        <v>1701</v>
      </c>
    </row>
    <row r="21" spans="1:3" ht="15.75" x14ac:dyDescent="0.25">
      <c r="A21" s="1175" t="s">
        <v>1696</v>
      </c>
      <c r="B21" s="1281" t="s">
        <v>1912</v>
      </c>
    </row>
    <row r="22" spans="1:3" ht="15.75" x14ac:dyDescent="0.25">
      <c r="A22" s="1175"/>
      <c r="B22" s="1282" t="s">
        <v>5320</v>
      </c>
    </row>
    <row r="23" spans="1:3" ht="15.75" x14ac:dyDescent="0.25">
      <c r="A23" s="1175"/>
      <c r="B23" s="1282" t="s">
        <v>5321</v>
      </c>
    </row>
    <row r="24" spans="1:3" ht="15.75" x14ac:dyDescent="0.25">
      <c r="A24" s="1175"/>
      <c r="B24" s="1282" t="s">
        <v>5322</v>
      </c>
    </row>
    <row r="25" spans="1:3" ht="16.5" thickBot="1" x14ac:dyDescent="0.3">
      <c r="A25" s="1177"/>
      <c r="B25" s="1283" t="s">
        <v>5323</v>
      </c>
    </row>
    <row r="26" spans="1:3" ht="13.5" x14ac:dyDescent="0.2">
      <c r="A26" s="1175" t="s">
        <v>1696</v>
      </c>
      <c r="B26" s="1398" t="s">
        <v>3523</v>
      </c>
    </row>
    <row r="27" spans="1:3" ht="13.5" x14ac:dyDescent="0.2">
      <c r="A27" s="1175"/>
      <c r="B27" s="1398" t="s">
        <v>4906</v>
      </c>
    </row>
    <row r="28" spans="1:3" ht="13.5" x14ac:dyDescent="0.2">
      <c r="A28" s="1175"/>
      <c r="B28" s="1398" t="s">
        <v>4907</v>
      </c>
    </row>
    <row r="29" spans="1:3" ht="13.5" x14ac:dyDescent="0.2">
      <c r="A29" s="1263" t="s">
        <v>162</v>
      </c>
      <c r="B29" s="1177"/>
    </row>
    <row r="30" spans="1:3" ht="15" x14ac:dyDescent="0.25">
      <c r="A30" s="1175" t="s">
        <v>1696</v>
      </c>
      <c r="B30" s="1177" t="s">
        <v>1710</v>
      </c>
      <c r="C30" s="1102"/>
    </row>
    <row r="31" spans="1:3" ht="15" x14ac:dyDescent="0.25">
      <c r="A31" s="1177"/>
      <c r="B31" s="1178" t="s">
        <v>1711</v>
      </c>
      <c r="C31" s="1116"/>
    </row>
    <row r="32" spans="1:3" ht="15" x14ac:dyDescent="0.25">
      <c r="A32" s="1177"/>
      <c r="B32" s="1177" t="s">
        <v>1703</v>
      </c>
      <c r="C32" s="1102"/>
    </row>
    <row r="33" spans="1:3" ht="15" x14ac:dyDescent="0.25">
      <c r="B33" s="1177" t="s">
        <v>1707</v>
      </c>
      <c r="C33" s="1102"/>
    </row>
    <row r="34" spans="1:3" ht="15" x14ac:dyDescent="0.25">
      <c r="A34" s="1175" t="s">
        <v>1696</v>
      </c>
      <c r="B34" s="1177" t="s">
        <v>1708</v>
      </c>
      <c r="C34" s="1102"/>
    </row>
    <row r="35" spans="1:3" ht="13.5" x14ac:dyDescent="0.2">
      <c r="A35" s="1179"/>
      <c r="B35" s="1177" t="s">
        <v>1709</v>
      </c>
    </row>
    <row r="36" spans="1:3" ht="13.5" x14ac:dyDescent="0.2">
      <c r="A36" s="1263" t="s">
        <v>1704</v>
      </c>
      <c r="B36" s="1179"/>
    </row>
    <row r="37" spans="1:3" ht="13.5" x14ac:dyDescent="0.2">
      <c r="A37" s="1175" t="s">
        <v>1696</v>
      </c>
      <c r="B37" s="1177" t="s">
        <v>1705</v>
      </c>
    </row>
    <row r="38" spans="1:3" ht="13.5" x14ac:dyDescent="0.2">
      <c r="B38" s="1177" t="s">
        <v>798</v>
      </c>
    </row>
    <row r="39" spans="1:3" ht="13.5" x14ac:dyDescent="0.2">
      <c r="A39" s="1175" t="s">
        <v>1696</v>
      </c>
      <c r="B39" s="1181" t="s">
        <v>1836</v>
      </c>
    </row>
    <row r="40" spans="1:3" ht="13.5" x14ac:dyDescent="0.2">
      <c r="A40" s="1175" t="s">
        <v>1696</v>
      </c>
      <c r="B40" s="1181" t="s">
        <v>1835</v>
      </c>
    </row>
    <row r="41" spans="1:3" ht="13.5" x14ac:dyDescent="0.2">
      <c r="A41" s="1175" t="s">
        <v>1696</v>
      </c>
      <c r="B41" s="1181" t="s">
        <v>1706</v>
      </c>
    </row>
    <row r="42" spans="1:3" ht="13.5" x14ac:dyDescent="0.2">
      <c r="A42" s="1175" t="s">
        <v>1696</v>
      </c>
      <c r="B42" s="1290" t="s">
        <v>1963</v>
      </c>
    </row>
    <row r="43" spans="1:3" ht="13.5" x14ac:dyDescent="0.2">
      <c r="A43" s="1175"/>
      <c r="B43" s="1290" t="s">
        <v>1921</v>
      </c>
    </row>
    <row r="44" spans="1:3" ht="13.5" x14ac:dyDescent="0.2">
      <c r="A44" s="1263" t="s">
        <v>5622</v>
      </c>
    </row>
    <row r="45" spans="1:3" ht="13.5" x14ac:dyDescent="0.2">
      <c r="A45" s="1175" t="s">
        <v>1696</v>
      </c>
      <c r="B45" s="1181" t="s">
        <v>5623</v>
      </c>
    </row>
    <row r="46" spans="1:3" ht="13.5" x14ac:dyDescent="0.2">
      <c r="A46" s="1263" t="s">
        <v>1840</v>
      </c>
    </row>
    <row r="47" spans="1:3" ht="13.5" x14ac:dyDescent="0.2">
      <c r="A47" s="1175" t="s">
        <v>1696</v>
      </c>
      <c r="B47" s="1181" t="s">
        <v>4072</v>
      </c>
    </row>
    <row r="48" spans="1:3" ht="13.5" x14ac:dyDescent="0.2">
      <c r="A48" s="1175" t="s">
        <v>1696</v>
      </c>
      <c r="B48" s="272" t="s">
        <v>4160</v>
      </c>
    </row>
    <row r="49" spans="1:2" ht="13.5" x14ac:dyDescent="0.2">
      <c r="B49" s="1181" t="s">
        <v>4075</v>
      </c>
    </row>
    <row r="50" spans="1:2" ht="13.5" x14ac:dyDescent="0.2">
      <c r="A50" s="1175" t="s">
        <v>1696</v>
      </c>
      <c r="B50" s="1657" t="s">
        <v>5624</v>
      </c>
    </row>
    <row r="51" spans="1:2" ht="13.5" x14ac:dyDescent="0.2">
      <c r="B51" s="1657" t="s">
        <v>4487</v>
      </c>
    </row>
    <row r="52" spans="1:2" ht="13.5" x14ac:dyDescent="0.2">
      <c r="B52" s="1657" t="s">
        <v>4169</v>
      </c>
    </row>
    <row r="53" spans="1:2" x14ac:dyDescent="0.2">
      <c r="B53" s="272" t="s">
        <v>973</v>
      </c>
    </row>
  </sheetData>
  <sheetProtection algorithmName="SHA-512" hashValue="E0Z1qfGq0NP1PcAlZHqN5BWHMjZIJZWTbuau15eAz57lYFnltmCyDqQKd/2LCQId6z6zKhmjgnUqHgdpS3GVnw==" saltValue="gS+8p/w02ZqJMYVtLV0pOA==" spinCount="100000" sheet="1" objects="1" scenarios="1" autoFilter="0"/>
  <customSheetViews>
    <customSheetView guid="{B08879A4-635B-4C39-9937-AC7883D562FC}" showGridLines="0" hiddenColumns="1">
      <selection activeCell="A5" sqref="A5"/>
      <pageMargins left="0.6" right="0.6" top="0.5" bottom="0.5" header="0.3" footer="0.3"/>
      <pageSetup orientation="portrait" r:id="rId1"/>
    </customSheetView>
    <customSheetView guid="{9FCFC836-1CA5-48BF-958D-24D2EA94B219}" showGridLines="0" hiddenColumns="1">
      <selection activeCell="A5" sqref="A5"/>
      <pageMargins left="0.6" right="0.6" top="0.5" bottom="0.5" header="0.3" footer="0.3"/>
      <pageSetup orientation="portrait" r:id="rId2"/>
    </customSheetView>
  </customSheetViews>
  <mergeCells count="3">
    <mergeCell ref="A1:B1"/>
    <mergeCell ref="A2:B2"/>
    <mergeCell ref="A3:B3"/>
  </mergeCells>
  <pageMargins left="0.6" right="0.6" top="0.5" bottom="0.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14387-FB9A-4E3A-BA72-D902B4AA95AF}">
  <sheetPr codeName="Sheet20">
    <pageSetUpPr fitToPage="1"/>
  </sheetPr>
  <dimension ref="A1:U104"/>
  <sheetViews>
    <sheetView showGridLines="0" topLeftCell="B1" workbookViewId="0">
      <selection activeCell="C26" sqref="C26"/>
    </sheetView>
  </sheetViews>
  <sheetFormatPr defaultColWidth="9.42578125" defaultRowHeight="12.75" x14ac:dyDescent="0.2"/>
  <cols>
    <col min="1" max="1" width="9.42578125" style="61" hidden="1" customWidth="1"/>
    <col min="2" max="2" width="3.42578125" style="61" customWidth="1"/>
    <col min="3" max="3" width="12.42578125" style="61" customWidth="1"/>
    <col min="4" max="4" width="3.42578125" style="61" customWidth="1"/>
    <col min="5" max="5" width="13.5703125" style="61" bestFit="1" customWidth="1"/>
    <col min="6" max="6" width="2.42578125" style="61" customWidth="1"/>
    <col min="7" max="7" width="11.5703125" style="61" customWidth="1"/>
    <col min="8" max="8" width="2.42578125" style="61" customWidth="1"/>
    <col min="9" max="9" width="13" style="61" customWidth="1"/>
    <col min="10" max="10" width="2.42578125" style="61" customWidth="1"/>
    <col min="11" max="11" width="9.42578125" style="61"/>
    <col min="12" max="12" width="2.42578125" style="61" customWidth="1"/>
    <col min="13" max="13" width="13" style="61" customWidth="1"/>
    <col min="14" max="14" width="2.42578125" style="61" customWidth="1"/>
    <col min="15" max="15" width="13.42578125" style="61" customWidth="1"/>
    <col min="16" max="16" width="2.42578125" style="61" customWidth="1"/>
    <col min="17" max="17" width="13" style="61" customWidth="1"/>
    <col min="18" max="18" width="2.5703125" style="61" customWidth="1"/>
    <col min="19" max="19" width="5.42578125" style="61" customWidth="1"/>
    <col min="20" max="20" width="16.5703125" style="61" bestFit="1" customWidth="1"/>
    <col min="21" max="16384" width="9.42578125" style="61"/>
  </cols>
  <sheetData>
    <row r="1" spans="2:21" ht="25.15" customHeight="1" x14ac:dyDescent="0.2">
      <c r="B1" s="1938" t="str">
        <f>+Index!$A$1</f>
        <v xml:space="preserve">                                                               Office of the State Controller                                                                </v>
      </c>
      <c r="C1" s="1938"/>
      <c r="D1" s="1938"/>
      <c r="E1" s="1938"/>
      <c r="F1" s="1938"/>
      <c r="G1" s="1938"/>
      <c r="H1" s="1938"/>
      <c r="I1" s="1938"/>
      <c r="J1" s="1938"/>
      <c r="K1" s="1938"/>
      <c r="L1" s="1938"/>
      <c r="M1" s="1939"/>
      <c r="N1" s="1939"/>
      <c r="O1" s="1939"/>
      <c r="P1" s="1939"/>
      <c r="Q1" s="1939"/>
      <c r="S1" s="2472"/>
      <c r="T1" s="910" t="str">
        <f>IF(Index!$B$22="na","NA","")</f>
        <v/>
      </c>
    </row>
    <row r="2" spans="2:21" ht="13.15" customHeight="1" x14ac:dyDescent="0.2">
      <c r="B2" s="1940" t="str">
        <f>+Index!$A$2</f>
        <v>2022 ACFR Worksheets</v>
      </c>
      <c r="C2" s="1940"/>
      <c r="D2" s="1940"/>
      <c r="E2" s="1940"/>
      <c r="F2" s="1940"/>
      <c r="G2" s="1940"/>
      <c r="H2" s="1940"/>
      <c r="I2" s="1940"/>
      <c r="J2" s="1940"/>
      <c r="K2" s="1940"/>
      <c r="L2" s="1940"/>
      <c r="M2" s="1939"/>
      <c r="N2" s="1939"/>
      <c r="O2" s="1939"/>
      <c r="P2" s="1939"/>
      <c r="Q2" s="1939"/>
      <c r="S2" s="2472"/>
      <c r="T2" s="1424"/>
    </row>
    <row r="3" spans="2:21" ht="13.15" customHeight="1" x14ac:dyDescent="0.2">
      <c r="B3" s="454" t="s">
        <v>4498</v>
      </c>
      <c r="C3" s="454"/>
      <c r="D3" s="454"/>
      <c r="E3" s="454"/>
      <c r="F3" s="454"/>
      <c r="G3" s="454"/>
      <c r="H3" s="454"/>
      <c r="I3" s="454"/>
      <c r="J3" s="454"/>
      <c r="K3" s="454"/>
      <c r="L3" s="454"/>
      <c r="M3" s="1939"/>
      <c r="N3" s="1939"/>
      <c r="O3" s="1939"/>
      <c r="P3" s="1939"/>
      <c r="Q3" s="1939"/>
      <c r="S3" s="2472"/>
      <c r="T3" s="1424"/>
    </row>
    <row r="4" spans="2:21" x14ac:dyDescent="0.2">
      <c r="B4" s="454" t="s">
        <v>4499</v>
      </c>
      <c r="C4" s="454"/>
      <c r="D4" s="454"/>
      <c r="E4" s="454"/>
      <c r="F4" s="454"/>
      <c r="G4" s="454"/>
      <c r="H4" s="454"/>
      <c r="I4" s="1939"/>
      <c r="J4" s="1939"/>
      <c r="K4" s="454"/>
      <c r="L4" s="454"/>
      <c r="M4" s="1939"/>
      <c r="N4" s="1939"/>
      <c r="O4" s="1939"/>
      <c r="P4" s="1939"/>
      <c r="Q4" s="1939"/>
    </row>
    <row r="5" spans="2:21" x14ac:dyDescent="0.2">
      <c r="B5" s="454" t="s">
        <v>1281</v>
      </c>
      <c r="C5" s="454"/>
      <c r="D5" s="454"/>
      <c r="E5" s="454"/>
      <c r="F5" s="454"/>
      <c r="G5" s="454"/>
      <c r="H5" s="454"/>
      <c r="I5" s="1939"/>
      <c r="J5" s="1939"/>
      <c r="K5" s="454"/>
      <c r="L5" s="454"/>
      <c r="M5" s="1939"/>
      <c r="N5" s="1939"/>
      <c r="O5" s="1939"/>
      <c r="P5" s="1939"/>
      <c r="Q5" s="1939"/>
    </row>
    <row r="6" spans="2:21" ht="12.75" customHeight="1" x14ac:dyDescent="0.2">
      <c r="B6" s="454"/>
      <c r="C6" s="454"/>
      <c r="D6" s="454"/>
      <c r="E6" s="454"/>
      <c r="F6" s="454"/>
      <c r="G6" s="454"/>
      <c r="H6" s="454"/>
      <c r="I6" s="454"/>
      <c r="J6" s="454"/>
      <c r="K6" s="1941"/>
      <c r="L6" s="1941"/>
      <c r="M6" s="1939"/>
      <c r="N6" s="1939"/>
      <c r="O6" s="1939"/>
      <c r="P6" s="1939"/>
      <c r="Q6" s="1939"/>
    </row>
    <row r="7" spans="2:21" x14ac:dyDescent="0.2">
      <c r="B7" s="1903" t="s">
        <v>4500</v>
      </c>
      <c r="C7" s="1903"/>
      <c r="D7" s="454"/>
      <c r="E7" s="454"/>
      <c r="F7" s="454"/>
      <c r="M7" s="1902" t="s">
        <v>327</v>
      </c>
      <c r="N7" s="1902"/>
      <c r="O7" s="2473" t="str">
        <f>AgyIdx</f>
        <v>01</v>
      </c>
      <c r="P7" s="2473"/>
      <c r="Q7" s="2473"/>
    </row>
    <row r="8" spans="2:21" x14ac:dyDescent="0.2">
      <c r="B8" s="1939"/>
      <c r="C8" s="1939"/>
      <c r="D8" s="1939"/>
      <c r="E8" s="1903"/>
      <c r="F8" s="454"/>
      <c r="M8" s="1902" t="s">
        <v>1154</v>
      </c>
      <c r="N8" s="1902"/>
      <c r="O8" s="2474" t="str">
        <f>AgyName</f>
        <v>North Carolina General Assembly</v>
      </c>
      <c r="P8" s="2474"/>
      <c r="Q8" s="2474"/>
    </row>
    <row r="9" spans="2:21" x14ac:dyDescent="0.2">
      <c r="B9" s="1903"/>
      <c r="C9" s="454"/>
      <c r="D9" s="454"/>
      <c r="E9" s="454"/>
      <c r="F9" s="454"/>
      <c r="M9" s="1902" t="s">
        <v>972</v>
      </c>
      <c r="N9" s="1902"/>
      <c r="O9" s="2475" t="str">
        <f>CONCATENATE(Index!$E$12," ",Index!$E$14)</f>
        <v xml:space="preserve"> </v>
      </c>
      <c r="P9" s="2475"/>
      <c r="Q9" s="2475"/>
      <c r="R9" s="1904"/>
      <c r="S9" s="1904"/>
      <c r="T9" s="1904"/>
      <c r="U9" s="1904"/>
    </row>
    <row r="10" spans="2:21" x14ac:dyDescent="0.2">
      <c r="B10" s="1903"/>
      <c r="C10" s="454"/>
      <c r="D10" s="454"/>
      <c r="E10" s="454"/>
      <c r="F10" s="454"/>
      <c r="M10" s="1902" t="s">
        <v>348</v>
      </c>
      <c r="N10" s="1902"/>
      <c r="O10" s="2475">
        <f>+Index!$E$13</f>
        <v>0</v>
      </c>
      <c r="P10" s="2475"/>
      <c r="Q10" s="2475"/>
    </row>
    <row r="11" spans="2:21" ht="6" customHeight="1" thickBot="1" x14ac:dyDescent="0.25">
      <c r="B11" s="1942"/>
      <c r="C11" s="1942"/>
      <c r="D11" s="1942"/>
      <c r="E11" s="1942"/>
      <c r="F11" s="1942"/>
      <c r="G11" s="1942"/>
      <c r="H11" s="1942"/>
      <c r="I11" s="1942"/>
      <c r="J11" s="1942"/>
      <c r="K11" s="1942"/>
      <c r="L11" s="1942"/>
      <c r="M11" s="1939"/>
      <c r="N11" s="1939"/>
      <c r="O11" s="1939"/>
      <c r="P11" s="1939"/>
      <c r="Q11" s="1939"/>
    </row>
    <row r="12" spans="2:21" ht="12" customHeight="1" x14ac:dyDescent="0.2">
      <c r="B12" s="454"/>
      <c r="C12" s="454"/>
      <c r="D12" s="454"/>
      <c r="E12" s="454"/>
      <c r="F12" s="454"/>
      <c r="G12" s="454"/>
      <c r="H12" s="454"/>
      <c r="I12" s="454"/>
      <c r="J12" s="454"/>
      <c r="K12" s="454"/>
      <c r="L12" s="454"/>
      <c r="M12" s="1905"/>
      <c r="N12" s="1905"/>
      <c r="O12" s="1905"/>
      <c r="P12" s="1905"/>
      <c r="Q12" s="1905"/>
      <c r="R12" s="1089"/>
      <c r="S12" s="1906"/>
    </row>
    <row r="13" spans="2:21" ht="12" customHeight="1" x14ac:dyDescent="0.2">
      <c r="B13" s="1088" t="s">
        <v>133</v>
      </c>
      <c r="C13" s="1089" t="s">
        <v>5365</v>
      </c>
      <c r="D13" s="1089"/>
      <c r="E13" s="1089"/>
      <c r="F13" s="1089"/>
      <c r="G13" s="1089"/>
      <c r="H13" s="1089"/>
      <c r="I13" s="1089"/>
      <c r="J13" s="1089"/>
      <c r="K13" s="1089"/>
      <c r="L13" s="1089"/>
      <c r="M13" s="1089"/>
      <c r="N13" s="1089"/>
      <c r="O13" s="1089"/>
      <c r="P13" s="1089"/>
      <c r="Q13" s="1089"/>
      <c r="R13" s="1089"/>
      <c r="S13" s="1906"/>
    </row>
    <row r="14" spans="2:21" ht="12" customHeight="1" x14ac:dyDescent="0.2">
      <c r="B14" s="1088"/>
      <c r="C14" s="1907" t="s">
        <v>4501</v>
      </c>
      <c r="D14" s="1089"/>
      <c r="E14" s="1908"/>
      <c r="F14" s="1089"/>
      <c r="G14" s="1907" t="s">
        <v>86</v>
      </c>
      <c r="H14" s="1089"/>
      <c r="I14" s="1908"/>
      <c r="J14" s="1089"/>
      <c r="K14" s="1089"/>
      <c r="L14" s="1089"/>
      <c r="M14" s="1089"/>
      <c r="N14" s="1089"/>
      <c r="O14" s="1089"/>
      <c r="P14" s="1089"/>
      <c r="Q14" s="1089"/>
      <c r="R14" s="1089"/>
      <c r="S14" s="1906"/>
      <c r="T14" s="1443" t="str">
        <f>IF(AND(ISBLANK($E$14),ISBLANK($I$14))=TRUE,"Answer Missing"," ")</f>
        <v>Answer Missing</v>
      </c>
    </row>
    <row r="15" spans="2:21" ht="6" customHeight="1" x14ac:dyDescent="0.2">
      <c r="B15" s="1088"/>
      <c r="C15" s="1907"/>
      <c r="D15" s="1089"/>
      <c r="E15" s="1909"/>
      <c r="F15" s="1089"/>
      <c r="G15" s="1907"/>
      <c r="H15" s="1089"/>
      <c r="I15" s="1909"/>
      <c r="J15" s="1089"/>
      <c r="K15" s="1089"/>
      <c r="L15" s="1089"/>
      <c r="M15" s="1089"/>
      <c r="N15" s="1089"/>
      <c r="O15" s="1089"/>
      <c r="P15" s="1089"/>
      <c r="Q15" s="1089"/>
      <c r="R15" s="1089"/>
      <c r="S15" s="1906"/>
    </row>
    <row r="16" spans="2:21" ht="12" customHeight="1" x14ac:dyDescent="0.2">
      <c r="B16" s="1088"/>
      <c r="C16" s="1910" t="s">
        <v>4502</v>
      </c>
      <c r="D16" s="1089"/>
      <c r="E16" s="1089"/>
      <c r="F16" s="1089"/>
      <c r="G16" s="1907"/>
      <c r="H16" s="1089"/>
      <c r="I16" s="1089"/>
      <c r="J16" s="1089"/>
      <c r="K16" s="1089"/>
      <c r="L16" s="1089"/>
      <c r="M16" s="1089"/>
      <c r="N16" s="1089"/>
      <c r="O16" s="1089"/>
      <c r="P16" s="1089"/>
      <c r="Q16" s="1089"/>
      <c r="R16" s="1089"/>
      <c r="S16" s="1906"/>
    </row>
    <row r="17" spans="2:21" ht="6" customHeight="1" x14ac:dyDescent="0.2">
      <c r="B17" s="1088"/>
      <c r="C17" s="1910"/>
      <c r="D17" s="1089"/>
      <c r="E17" s="1089"/>
      <c r="F17" s="1089"/>
      <c r="G17" s="1907"/>
      <c r="H17" s="1089"/>
      <c r="I17" s="1089"/>
      <c r="J17" s="1089"/>
      <c r="K17" s="1089"/>
      <c r="L17" s="1089"/>
      <c r="M17" s="1089"/>
      <c r="N17" s="1089"/>
      <c r="O17" s="1089"/>
      <c r="P17" s="1089"/>
      <c r="Q17" s="1089"/>
      <c r="R17" s="1089"/>
      <c r="S17" s="1906"/>
    </row>
    <row r="18" spans="2:21" ht="12" customHeight="1" x14ac:dyDescent="0.2">
      <c r="B18" s="1089"/>
      <c r="C18" s="1089" t="s">
        <v>4503</v>
      </c>
      <c r="D18" s="1089"/>
      <c r="E18" s="2471"/>
      <c r="F18" s="2471"/>
      <c r="G18" s="2471"/>
      <c r="H18" s="2471"/>
      <c r="I18" s="2471"/>
      <c r="J18" s="2471"/>
      <c r="K18" s="2471"/>
      <c r="L18" s="2471"/>
      <c r="M18" s="2471"/>
      <c r="N18" s="1089"/>
      <c r="O18" s="1089" t="s">
        <v>4504</v>
      </c>
      <c r="P18" s="1089"/>
      <c r="Q18" s="1089"/>
      <c r="R18" s="1089"/>
      <c r="S18" s="1906"/>
      <c r="T18" s="1444" t="str">
        <f>IF(ISTEXT(E14),"Response for Yes needed"," ")</f>
        <v xml:space="preserve"> </v>
      </c>
      <c r="U18" s="1444"/>
    </row>
    <row r="19" spans="2:21" ht="6" customHeight="1" x14ac:dyDescent="0.2">
      <c r="B19" s="1089"/>
      <c r="C19" s="1089"/>
      <c r="D19" s="1089"/>
      <c r="E19" s="1907"/>
      <c r="F19" s="1089"/>
      <c r="G19" s="1089"/>
      <c r="H19" s="1911"/>
      <c r="I19" s="447"/>
      <c r="J19" s="1911"/>
      <c r="K19" s="447"/>
      <c r="L19" s="447"/>
      <c r="M19" s="1089"/>
      <c r="N19" s="1089"/>
      <c r="O19" s="1089"/>
      <c r="P19" s="1089"/>
      <c r="Q19" s="1089"/>
      <c r="R19" s="1089"/>
      <c r="S19" s="1906"/>
    </row>
    <row r="20" spans="2:21" ht="12" customHeight="1" x14ac:dyDescent="0.2">
      <c r="B20" s="1089"/>
      <c r="C20" s="1089" t="s">
        <v>4505</v>
      </c>
      <c r="D20" s="1089"/>
      <c r="E20" s="1907"/>
      <c r="F20" s="1089"/>
      <c r="G20" s="2470"/>
      <c r="H20" s="2470"/>
      <c r="I20" s="2470"/>
      <c r="J20" s="1911"/>
      <c r="K20" s="447"/>
      <c r="L20" s="447"/>
      <c r="M20" s="1089"/>
      <c r="N20" s="1089"/>
      <c r="O20" s="1089"/>
      <c r="P20" s="1089"/>
      <c r="Q20" s="1089"/>
      <c r="R20" s="1089"/>
      <c r="S20" s="1906"/>
    </row>
    <row r="21" spans="2:21" ht="6" customHeight="1" x14ac:dyDescent="0.2">
      <c r="B21" s="1089"/>
      <c r="C21" s="1089"/>
      <c r="D21" s="1089"/>
      <c r="E21" s="1907"/>
      <c r="F21" s="1089"/>
      <c r="G21" s="1089"/>
      <c r="H21" s="1911"/>
      <c r="I21" s="447"/>
      <c r="J21" s="1911"/>
      <c r="K21" s="447"/>
      <c r="L21" s="447"/>
      <c r="M21" s="1089"/>
      <c r="N21" s="1089"/>
      <c r="O21" s="1089"/>
      <c r="P21" s="1089"/>
      <c r="Q21" s="1089"/>
      <c r="R21" s="1089"/>
      <c r="S21" s="1906"/>
    </row>
    <row r="22" spans="2:21" ht="12" customHeight="1" x14ac:dyDescent="0.2">
      <c r="B22" s="1089"/>
      <c r="C22" s="1089" t="s">
        <v>4506</v>
      </c>
      <c r="D22" s="1089"/>
      <c r="E22" s="1089"/>
      <c r="F22" s="1089"/>
      <c r="G22" s="1089"/>
      <c r="H22" s="1911"/>
      <c r="I22" s="447"/>
      <c r="J22" s="1911"/>
      <c r="K22" s="1912"/>
      <c r="L22" s="447"/>
      <c r="M22" s="1907"/>
      <c r="N22" s="1089"/>
      <c r="O22" s="1089"/>
      <c r="P22" s="1089"/>
      <c r="Q22" s="1089"/>
      <c r="R22" s="1089"/>
      <c r="S22" s="1906"/>
    </row>
    <row r="23" spans="2:21" ht="12" customHeight="1" x14ac:dyDescent="0.2">
      <c r="B23" s="1089"/>
      <c r="C23" s="1907" t="s">
        <v>4501</v>
      </c>
      <c r="D23" s="1089"/>
      <c r="E23" s="1908"/>
      <c r="F23" s="1089"/>
      <c r="G23" s="1907" t="s">
        <v>86</v>
      </c>
      <c r="H23" s="1089"/>
      <c r="I23" s="1908"/>
      <c r="J23" s="1089"/>
      <c r="K23" s="1912" t="s">
        <v>345</v>
      </c>
      <c r="L23" s="447"/>
      <c r="M23" s="1933"/>
      <c r="N23" s="1089"/>
      <c r="O23" s="1089"/>
      <c r="P23" s="1089"/>
      <c r="Q23" s="1089"/>
      <c r="R23" s="1089"/>
      <c r="S23" s="1906"/>
      <c r="T23" s="1443" t="str">
        <f>IF(AND(ISBLANK($E$23),ISBLANK($I$23),ISBLANK($M$23))=TRUE,"Answer Missing"," ")</f>
        <v>Answer Missing</v>
      </c>
    </row>
    <row r="24" spans="2:21" ht="6" customHeight="1" x14ac:dyDescent="0.2">
      <c r="B24" s="1089"/>
      <c r="C24" s="1907"/>
      <c r="D24" s="1089"/>
      <c r="E24" s="1089"/>
      <c r="F24" s="1089"/>
      <c r="G24" s="1907"/>
      <c r="H24" s="1089"/>
      <c r="I24" s="1089"/>
      <c r="J24" s="1089"/>
      <c r="K24" s="1089"/>
      <c r="L24" s="1913"/>
      <c r="M24" s="1089"/>
      <c r="N24" s="1089"/>
      <c r="O24" s="1089"/>
      <c r="P24" s="1089"/>
      <c r="Q24" s="1089"/>
      <c r="R24" s="1089"/>
      <c r="S24" s="1906"/>
    </row>
    <row r="25" spans="2:21" ht="12" customHeight="1" x14ac:dyDescent="0.2">
      <c r="B25" s="1089"/>
      <c r="C25" s="1910" t="s">
        <v>4507</v>
      </c>
      <c r="D25" s="1089"/>
      <c r="E25" s="1089"/>
      <c r="F25" s="1089"/>
      <c r="G25" s="1912"/>
      <c r="H25" s="1914"/>
      <c r="I25" s="447"/>
      <c r="J25" s="1914"/>
      <c r="K25" s="447"/>
      <c r="L25" s="447"/>
      <c r="M25" s="1089"/>
      <c r="N25" s="1089"/>
      <c r="O25" s="1089"/>
      <c r="P25" s="1089"/>
      <c r="Q25" s="1089"/>
      <c r="R25" s="1089"/>
      <c r="S25" s="1906"/>
    </row>
    <row r="26" spans="2:21" ht="12" customHeight="1" x14ac:dyDescent="0.2">
      <c r="B26" s="1089"/>
      <c r="C26" s="1915"/>
      <c r="D26" s="1908"/>
      <c r="E26" s="1908"/>
      <c r="F26" s="1908"/>
      <c r="G26" s="1916"/>
      <c r="H26" s="1917"/>
      <c r="I26" s="1918"/>
      <c r="J26" s="1917"/>
      <c r="K26" s="1918"/>
      <c r="L26" s="1918"/>
      <c r="M26" s="1908"/>
      <c r="N26" s="1908"/>
      <c r="O26" s="1908"/>
      <c r="P26" s="1908"/>
      <c r="Q26" s="1908"/>
      <c r="R26" s="1908"/>
      <c r="S26" s="1906"/>
      <c r="T26" s="1444" t="str">
        <f>IF(ISTEXT(I23),"Response for No needed"," ")</f>
        <v xml:space="preserve"> </v>
      </c>
    </row>
    <row r="27" spans="2:21" ht="12" customHeight="1" x14ac:dyDescent="0.2">
      <c r="B27" s="1089"/>
      <c r="C27" s="1907"/>
      <c r="D27" s="1089"/>
      <c r="E27" s="1089"/>
      <c r="F27" s="1089"/>
      <c r="G27" s="1907"/>
      <c r="H27" s="1089"/>
      <c r="I27" s="1089"/>
      <c r="J27" s="1089"/>
      <c r="K27" s="1089"/>
      <c r="L27" s="1913"/>
      <c r="M27" s="1089"/>
      <c r="N27" s="1089"/>
      <c r="O27" s="1089"/>
      <c r="P27" s="1089"/>
      <c r="Q27" s="1089"/>
      <c r="R27" s="1089"/>
      <c r="S27" s="1906"/>
    </row>
    <row r="28" spans="2:21" ht="12" customHeight="1" x14ac:dyDescent="0.2">
      <c r="B28" s="1088" t="s">
        <v>384</v>
      </c>
      <c r="C28" s="1089" t="s">
        <v>4508</v>
      </c>
      <c r="D28" s="1089"/>
      <c r="E28" s="1089"/>
      <c r="F28" s="1089"/>
      <c r="G28" s="1089"/>
      <c r="H28" s="1089"/>
      <c r="I28" s="1089"/>
      <c r="J28" s="1089"/>
      <c r="K28" s="1907" t="s">
        <v>85</v>
      </c>
      <c r="L28" s="1089"/>
      <c r="M28" s="1908"/>
      <c r="N28" s="1089"/>
      <c r="O28" s="1907" t="s">
        <v>86</v>
      </c>
      <c r="P28" s="1089"/>
      <c r="Q28" s="1908"/>
      <c r="R28" s="1089"/>
      <c r="S28" s="1906"/>
      <c r="T28" s="1443" t="str">
        <f>IF(AND(ISBLANK($M$28),ISBLANK($Q$28))=TRUE,"Answer Missing"," ")</f>
        <v>Answer Missing</v>
      </c>
    </row>
    <row r="29" spans="2:21" ht="13.9" customHeight="1" x14ac:dyDescent="0.2">
      <c r="B29" s="1089"/>
      <c r="C29" s="1089" t="s">
        <v>4509</v>
      </c>
      <c r="D29" s="1089"/>
      <c r="E29" s="1089"/>
      <c r="F29" s="1089"/>
      <c r="G29" s="1911"/>
      <c r="H29" s="447"/>
      <c r="I29" s="1911"/>
      <c r="J29" s="447"/>
      <c r="K29" s="1089"/>
      <c r="L29" s="1089"/>
      <c r="M29" s="1089"/>
      <c r="N29" s="1089"/>
      <c r="O29" s="1089"/>
      <c r="P29" s="1089"/>
      <c r="Q29" s="1089"/>
      <c r="R29" s="1089"/>
      <c r="S29" s="1906"/>
    </row>
    <row r="30" spans="2:21" ht="6" customHeight="1" x14ac:dyDescent="0.2">
      <c r="B30" s="1089"/>
      <c r="C30" s="1089"/>
      <c r="D30" s="1089"/>
      <c r="E30" s="1089"/>
      <c r="F30" s="1089"/>
      <c r="G30" s="1911"/>
      <c r="H30" s="447"/>
      <c r="I30" s="1911"/>
      <c r="J30" s="447"/>
      <c r="K30" s="1089"/>
      <c r="L30" s="1089"/>
      <c r="M30" s="1089"/>
      <c r="N30" s="1089"/>
      <c r="O30" s="1089"/>
      <c r="P30" s="1089"/>
      <c r="Q30" s="1089"/>
      <c r="R30" s="1089"/>
      <c r="S30" s="1906"/>
    </row>
    <row r="31" spans="2:21" x14ac:dyDescent="0.2">
      <c r="B31" s="1089"/>
      <c r="E31" s="1090" t="s">
        <v>1160</v>
      </c>
      <c r="F31" s="1090"/>
      <c r="G31" s="1090"/>
      <c r="H31" s="1090"/>
      <c r="I31" s="1911"/>
      <c r="J31" s="1911"/>
      <c r="K31" s="1911"/>
      <c r="L31" s="1911"/>
      <c r="M31" s="1090" t="s">
        <v>4510</v>
      </c>
      <c r="N31" s="1090"/>
      <c r="O31" s="1090" t="s">
        <v>1160</v>
      </c>
      <c r="P31" s="1090"/>
      <c r="Q31" s="1919"/>
      <c r="R31" s="1089"/>
      <c r="S31" s="1906"/>
    </row>
    <row r="32" spans="2:21" ht="12" customHeight="1" x14ac:dyDescent="0.2">
      <c r="B32" s="1089"/>
      <c r="E32" s="1920">
        <v>44378</v>
      </c>
      <c r="F32" s="1913"/>
      <c r="G32" s="1913" t="s">
        <v>4511</v>
      </c>
      <c r="H32" s="1913"/>
      <c r="I32" s="1921" t="s">
        <v>1050</v>
      </c>
      <c r="J32" s="1921"/>
      <c r="K32" s="1921" t="s">
        <v>4512</v>
      </c>
      <c r="L32" s="1921"/>
      <c r="M32" s="1913" t="s">
        <v>4513</v>
      </c>
      <c r="N32" s="1913"/>
      <c r="O32" s="1920">
        <v>44742</v>
      </c>
      <c r="P32" s="1922"/>
      <c r="Q32" s="1922"/>
      <c r="R32" s="1089"/>
      <c r="S32" s="1906"/>
      <c r="T32" s="1444" t="str">
        <f>IF(ISNUMBER(G34),"Worksheet 430G must be completed"," ")</f>
        <v xml:space="preserve"> </v>
      </c>
    </row>
    <row r="33" spans="2:20" ht="12" customHeight="1" x14ac:dyDescent="0.2">
      <c r="B33" s="1089"/>
      <c r="E33" s="1919"/>
      <c r="F33" s="1090"/>
      <c r="G33" s="1090"/>
      <c r="H33" s="1090"/>
      <c r="I33" s="1911"/>
      <c r="J33" s="1911"/>
      <c r="K33" s="1911"/>
      <c r="L33" s="1911"/>
      <c r="M33" s="1090"/>
      <c r="N33" s="1090"/>
      <c r="O33" s="1090"/>
      <c r="P33" s="1922"/>
      <c r="Q33" s="1922"/>
      <c r="R33" s="1089"/>
      <c r="S33" s="1906"/>
      <c r="T33" s="1444"/>
    </row>
    <row r="34" spans="2:20" ht="12" customHeight="1" x14ac:dyDescent="0.2">
      <c r="B34" s="1089"/>
      <c r="C34" s="1913" t="s">
        <v>950</v>
      </c>
      <c r="E34" s="1923"/>
      <c r="F34" s="1922"/>
      <c r="G34" s="1923"/>
      <c r="H34" s="1922"/>
      <c r="I34" s="1924"/>
      <c r="J34" s="1925"/>
      <c r="K34" s="1924"/>
      <c r="L34" s="1925"/>
      <c r="M34" s="1923">
        <v>0</v>
      </c>
      <c r="N34" s="1922"/>
      <c r="O34" s="1923">
        <f>SUM(E34+G34+I34+K34+M34)</f>
        <v>0</v>
      </c>
      <c r="P34" s="1922"/>
      <c r="Q34" s="1922"/>
      <c r="R34" s="1089"/>
      <c r="S34" s="1906"/>
      <c r="T34" s="1444"/>
    </row>
    <row r="35" spans="2:20" ht="6" customHeight="1" x14ac:dyDescent="0.2">
      <c r="B35" s="1089"/>
      <c r="E35" s="1926"/>
      <c r="F35" s="1922"/>
      <c r="G35" s="1926"/>
      <c r="H35" s="1922"/>
      <c r="I35" s="1927"/>
      <c r="J35" s="1925"/>
      <c r="K35" s="1927"/>
      <c r="L35" s="1925"/>
      <c r="M35" s="1926"/>
      <c r="N35" s="1922"/>
      <c r="O35" s="1926"/>
      <c r="P35" s="1922"/>
      <c r="Q35" s="1922"/>
      <c r="R35" s="1089"/>
      <c r="S35" s="1906"/>
      <c r="T35" s="1444"/>
    </row>
    <row r="36" spans="2:20" ht="12" customHeight="1" x14ac:dyDescent="0.2">
      <c r="B36" s="1089"/>
      <c r="C36" s="1089" t="s">
        <v>4514</v>
      </c>
      <c r="D36" s="1089"/>
      <c r="E36" s="1089"/>
      <c r="F36" s="1928"/>
      <c r="G36" s="1928"/>
      <c r="H36" s="1928"/>
      <c r="I36" s="1928"/>
      <c r="J36" s="1928"/>
      <c r="K36" s="1928"/>
      <c r="L36" s="1928"/>
      <c r="M36" s="1089"/>
      <c r="N36" s="1089"/>
      <c r="O36" s="1089"/>
      <c r="P36" s="1089"/>
      <c r="Q36" s="1089"/>
      <c r="R36" s="1089"/>
      <c r="S36" s="1906"/>
      <c r="T36" s="1444"/>
    </row>
    <row r="37" spans="2:20" ht="12" customHeight="1" x14ac:dyDescent="0.2">
      <c r="B37" s="1089"/>
      <c r="C37" s="1089" t="s">
        <v>4515</v>
      </c>
      <c r="D37" s="1089"/>
      <c r="E37" s="1089"/>
      <c r="F37" s="1928"/>
      <c r="G37" s="1928"/>
      <c r="H37" s="1928"/>
      <c r="I37" s="1928"/>
      <c r="J37" s="1928"/>
      <c r="K37" s="1928"/>
      <c r="L37" s="1928"/>
      <c r="M37" s="1089"/>
      <c r="N37" s="1089"/>
      <c r="O37" s="1089"/>
      <c r="P37" s="1089"/>
      <c r="Q37" s="1089"/>
      <c r="R37" s="1089"/>
      <c r="S37" s="1906"/>
      <c r="T37" s="1444"/>
    </row>
    <row r="38" spans="2:20" ht="6" customHeight="1" x14ac:dyDescent="0.2">
      <c r="B38" s="1089"/>
      <c r="C38" s="1089"/>
      <c r="D38" s="1089"/>
      <c r="E38" s="1089"/>
      <c r="F38" s="1928"/>
      <c r="G38" s="1928"/>
      <c r="H38" s="1928"/>
      <c r="I38" s="1928"/>
      <c r="J38" s="1928"/>
      <c r="K38" s="1928"/>
      <c r="L38" s="1928"/>
      <c r="M38" s="1089"/>
      <c r="N38" s="1089"/>
      <c r="O38" s="1089"/>
      <c r="P38" s="1089"/>
      <c r="Q38" s="1089"/>
      <c r="R38" s="1089"/>
      <c r="S38" s="1906"/>
      <c r="T38" s="1444"/>
    </row>
    <row r="39" spans="2:20" ht="12" customHeight="1" x14ac:dyDescent="0.2">
      <c r="B39" s="1089"/>
      <c r="C39" s="1088" t="s">
        <v>4516</v>
      </c>
      <c r="D39" s="1922"/>
      <c r="E39" s="1926"/>
      <c r="F39" s="1922"/>
      <c r="G39" s="1927"/>
      <c r="H39" s="1925"/>
      <c r="I39" s="1927"/>
      <c r="J39" s="1925"/>
      <c r="L39" s="1922"/>
      <c r="M39" s="1929"/>
      <c r="N39" s="1922"/>
      <c r="O39" s="1926"/>
      <c r="P39" s="1922"/>
      <c r="Q39" s="1922"/>
      <c r="R39" s="1089"/>
      <c r="S39" s="1906"/>
      <c r="T39" s="1444"/>
    </row>
    <row r="40" spans="2:20" ht="12" customHeight="1" x14ac:dyDescent="0.2">
      <c r="B40" s="1089"/>
      <c r="C40" s="1929" t="s">
        <v>4517</v>
      </c>
      <c r="D40" s="1922"/>
      <c r="E40" s="1923"/>
      <c r="F40" s="1930"/>
      <c r="G40" s="1924"/>
      <c r="H40" s="1931"/>
      <c r="I40" s="1924"/>
      <c r="J40" s="1931"/>
      <c r="K40" s="1943"/>
      <c r="L40" s="1922"/>
      <c r="M40" s="1923"/>
      <c r="N40" s="1089"/>
      <c r="O40" s="1089"/>
      <c r="P40" s="1089"/>
      <c r="Q40" s="1089"/>
      <c r="R40" s="1089"/>
      <c r="S40" s="1906"/>
    </row>
    <row r="41" spans="2:20" ht="12" customHeight="1" x14ac:dyDescent="0.2">
      <c r="B41" s="1089"/>
      <c r="C41" s="1926"/>
      <c r="D41" s="1922"/>
      <c r="E41" s="1926"/>
      <c r="F41" s="1922"/>
      <c r="G41" s="1927"/>
      <c r="H41" s="1925"/>
      <c r="I41" s="1927"/>
      <c r="J41" s="1925"/>
      <c r="L41" s="1922"/>
      <c r="M41" s="1926">
        <f>SUM(M34+M40)</f>
        <v>0</v>
      </c>
      <c r="N41" s="1089"/>
      <c r="O41" s="1089"/>
      <c r="P41" s="1089"/>
      <c r="Q41" s="1089"/>
      <c r="R41" s="1089"/>
      <c r="S41" s="1906"/>
      <c r="T41" s="1932">
        <f>IF(M34+M40=0,0,"Out of Bal.")</f>
        <v>0</v>
      </c>
    </row>
    <row r="42" spans="2:20" ht="6" customHeight="1" x14ac:dyDescent="0.2">
      <c r="B42" s="1088"/>
      <c r="R42" s="1089"/>
      <c r="S42" s="1906"/>
    </row>
    <row r="43" spans="2:20" ht="12" customHeight="1" x14ac:dyDescent="0.2">
      <c r="B43" s="1088"/>
      <c r="C43" s="1089" t="s">
        <v>4518</v>
      </c>
      <c r="R43" s="1089"/>
      <c r="S43" s="1906"/>
    </row>
    <row r="44" spans="2:20" ht="16.350000000000001" customHeight="1" x14ac:dyDescent="0.2">
      <c r="B44" s="1089"/>
      <c r="C44" s="1907" t="s">
        <v>85</v>
      </c>
      <c r="D44" s="1089"/>
      <c r="E44" s="1908"/>
      <c r="F44" s="1089"/>
      <c r="G44" s="1912" t="s">
        <v>86</v>
      </c>
      <c r="H44" s="1914"/>
      <c r="I44" s="1918"/>
      <c r="J44" s="1914"/>
      <c r="K44" s="1912" t="s">
        <v>345</v>
      </c>
      <c r="L44" s="447"/>
      <c r="M44" s="1933"/>
      <c r="N44" s="1089"/>
      <c r="O44" s="1089"/>
      <c r="P44" s="1089"/>
      <c r="Q44" s="1089"/>
      <c r="R44" s="1089"/>
      <c r="S44" s="1906"/>
      <c r="T44" s="1443" t="str">
        <f>IF(AND(ISBLANK($E$44),ISBLANK($I$44),ISBLANK($M$44))=TRUE,"Answer Missing"," ")</f>
        <v>Answer Missing</v>
      </c>
    </row>
    <row r="45" spans="2:20" ht="6" customHeight="1" x14ac:dyDescent="0.2">
      <c r="B45" s="1089"/>
      <c r="C45" s="1907"/>
      <c r="D45" s="1089"/>
      <c r="E45" s="1089"/>
      <c r="F45" s="1089"/>
      <c r="G45" s="1912"/>
      <c r="H45" s="1914"/>
      <c r="I45" s="447"/>
      <c r="J45" s="1914"/>
      <c r="K45" s="447"/>
      <c r="L45" s="447"/>
      <c r="M45" s="1089"/>
      <c r="N45" s="1089"/>
      <c r="O45" s="1089"/>
      <c r="P45" s="1089"/>
      <c r="Q45" s="1089"/>
      <c r="R45" s="1089"/>
      <c r="S45" s="1906"/>
    </row>
    <row r="46" spans="2:20" ht="12" customHeight="1" x14ac:dyDescent="0.2">
      <c r="B46" s="1089"/>
      <c r="C46" s="1910" t="s">
        <v>4519</v>
      </c>
      <c r="D46" s="1089"/>
      <c r="E46" s="1089"/>
      <c r="F46" s="1089"/>
      <c r="G46" s="1912"/>
      <c r="H46" s="1914"/>
      <c r="I46" s="447"/>
      <c r="J46" s="1914"/>
      <c r="K46" s="447"/>
      <c r="L46" s="447"/>
      <c r="M46" s="1089"/>
      <c r="N46" s="1089"/>
      <c r="O46" s="1089"/>
      <c r="P46" s="1089"/>
      <c r="Q46" s="1089"/>
      <c r="R46" s="1089"/>
      <c r="S46" s="1906"/>
    </row>
    <row r="47" spans="2:20" ht="12" customHeight="1" x14ac:dyDescent="0.2">
      <c r="B47" s="1089"/>
      <c r="C47" s="2471"/>
      <c r="D47" s="2471"/>
      <c r="E47" s="2471"/>
      <c r="F47" s="2471"/>
      <c r="G47" s="2471"/>
      <c r="H47" s="2471"/>
      <c r="I47" s="2471"/>
      <c r="J47" s="2471"/>
      <c r="K47" s="2471"/>
      <c r="L47" s="2471"/>
      <c r="M47" s="2471"/>
      <c r="N47" s="2471"/>
      <c r="O47" s="2471"/>
      <c r="P47" s="2471"/>
      <c r="Q47" s="2471"/>
      <c r="R47" s="2471"/>
      <c r="S47" s="1906"/>
      <c r="T47" s="1444" t="str">
        <f>IF(ISTEXT(I44),"Response for No needed"," ")</f>
        <v xml:space="preserve"> </v>
      </c>
    </row>
    <row r="48" spans="2:20" ht="12" customHeight="1" x14ac:dyDescent="0.2">
      <c r="B48" s="1089"/>
      <c r="C48" s="1089"/>
      <c r="D48" s="1089"/>
      <c r="E48" s="1089"/>
      <c r="F48" s="1934"/>
      <c r="G48" s="1935"/>
      <c r="H48" s="1914"/>
      <c r="I48" s="1935"/>
      <c r="J48" s="1914"/>
      <c r="K48" s="1935"/>
      <c r="L48" s="1935"/>
      <c r="M48" s="1089"/>
      <c r="N48" s="1089"/>
      <c r="O48" s="1089"/>
      <c r="P48" s="1089"/>
      <c r="Q48" s="1089"/>
      <c r="R48" s="1089"/>
      <c r="S48" s="1906"/>
    </row>
    <row r="49" spans="2:20" ht="12" customHeight="1" x14ac:dyDescent="0.2">
      <c r="B49" s="1088" t="s">
        <v>733</v>
      </c>
      <c r="C49" s="1089" t="s">
        <v>4520</v>
      </c>
      <c r="D49" s="1089"/>
      <c r="E49" s="1089"/>
      <c r="F49" s="1089"/>
      <c r="G49" s="1089"/>
      <c r="H49" s="1089"/>
      <c r="I49" s="1089"/>
      <c r="J49" s="1089"/>
      <c r="K49" s="1907" t="s">
        <v>85</v>
      </c>
      <c r="L49" s="1089"/>
      <c r="M49" s="1908"/>
      <c r="N49" s="1089"/>
      <c r="O49" s="1907" t="s">
        <v>86</v>
      </c>
      <c r="P49" s="1089"/>
      <c r="Q49" s="1908"/>
      <c r="R49" s="1089"/>
      <c r="S49" s="1906"/>
      <c r="T49" s="1443" t="str">
        <f>IF(AND(ISBLANK($M$49),ISBLANK($Q$49))=TRUE,"Answer Missing"," ")</f>
        <v>Answer Missing</v>
      </c>
    </row>
    <row r="50" spans="2:20" ht="12" customHeight="1" x14ac:dyDescent="0.2">
      <c r="B50" s="1088"/>
      <c r="C50" s="1089" t="s">
        <v>4521</v>
      </c>
      <c r="D50" s="1089"/>
      <c r="E50" s="1089"/>
      <c r="F50" s="1089"/>
      <c r="G50" s="1911"/>
      <c r="H50" s="447"/>
      <c r="I50" s="1911"/>
      <c r="J50" s="447"/>
      <c r="K50" s="1089"/>
      <c r="L50" s="1089"/>
      <c r="M50" s="1089"/>
      <c r="N50" s="1089"/>
      <c r="O50" s="1089"/>
      <c r="P50" s="1089"/>
      <c r="Q50" s="1089"/>
      <c r="R50" s="1089"/>
      <c r="S50" s="1906"/>
    </row>
    <row r="51" spans="2:20" ht="6" customHeight="1" x14ac:dyDescent="0.2">
      <c r="B51" s="1088"/>
      <c r="C51" s="1089"/>
      <c r="D51" s="1089"/>
      <c r="E51" s="1089"/>
      <c r="F51" s="1089"/>
      <c r="G51" s="1911"/>
      <c r="H51" s="447"/>
      <c r="I51" s="1911"/>
      <c r="J51" s="447"/>
      <c r="K51" s="1089"/>
      <c r="L51" s="1089"/>
      <c r="M51" s="1089"/>
      <c r="N51" s="1089"/>
      <c r="O51" s="1089"/>
      <c r="P51" s="1089"/>
      <c r="Q51" s="1089"/>
      <c r="R51" s="1089"/>
      <c r="S51" s="1906"/>
    </row>
    <row r="52" spans="2:20" ht="12" customHeight="1" x14ac:dyDescent="0.2">
      <c r="B52" s="1088"/>
      <c r="D52" s="1090"/>
      <c r="E52" s="1090" t="s">
        <v>1160</v>
      </c>
      <c r="F52" s="1090"/>
      <c r="G52" s="1911"/>
      <c r="H52" s="1911"/>
      <c r="I52" s="1911"/>
      <c r="J52" s="1911"/>
      <c r="K52" s="1090"/>
      <c r="L52" s="1090"/>
      <c r="M52" s="1090" t="s">
        <v>4522</v>
      </c>
      <c r="N52" s="1090"/>
      <c r="O52" s="1090" t="s">
        <v>4469</v>
      </c>
      <c r="P52" s="1090"/>
      <c r="R52" s="1089"/>
      <c r="S52" s="1906"/>
    </row>
    <row r="53" spans="2:20" ht="12" customHeight="1" x14ac:dyDescent="0.2">
      <c r="B53" s="1088"/>
      <c r="D53" s="1913"/>
      <c r="E53" s="1920">
        <v>44378</v>
      </c>
      <c r="F53" s="1913"/>
      <c r="G53" s="1921" t="s">
        <v>4511</v>
      </c>
      <c r="H53" s="1921"/>
      <c r="I53" s="1921" t="s">
        <v>1050</v>
      </c>
      <c r="J53" s="1921"/>
      <c r="K53" s="1913" t="s">
        <v>4512</v>
      </c>
      <c r="L53" s="1913"/>
      <c r="M53" s="1913" t="s">
        <v>4523</v>
      </c>
      <c r="N53" s="1913"/>
      <c r="O53" s="1920">
        <v>44742</v>
      </c>
      <c r="P53" s="1913"/>
      <c r="R53" s="1089"/>
      <c r="S53" s="1906"/>
    </row>
    <row r="54" spans="2:20" ht="6" customHeight="1" x14ac:dyDescent="0.2">
      <c r="B54" s="1088"/>
      <c r="C54" s="1919"/>
      <c r="D54" s="1090"/>
      <c r="E54" s="1090"/>
      <c r="F54" s="1090"/>
      <c r="G54" s="1911"/>
      <c r="H54" s="1911"/>
      <c r="I54" s="1911"/>
      <c r="J54" s="1911"/>
      <c r="K54" s="1090"/>
      <c r="L54" s="1090"/>
      <c r="M54" s="1090"/>
      <c r="N54" s="1090"/>
      <c r="O54" s="1919"/>
      <c r="P54" s="1090"/>
      <c r="R54" s="1089"/>
      <c r="S54" s="1906"/>
    </row>
    <row r="55" spans="2:20" ht="12" customHeight="1" x14ac:dyDescent="0.2">
      <c r="B55" s="1089"/>
      <c r="C55" s="1929" t="s">
        <v>4524</v>
      </c>
      <c r="D55" s="1922"/>
      <c r="E55" s="1923"/>
      <c r="F55" s="1922"/>
      <c r="G55" s="1924"/>
      <c r="H55" s="1925"/>
      <c r="I55" s="1924"/>
      <c r="J55" s="1925"/>
      <c r="K55" s="1923"/>
      <c r="L55" s="1922"/>
      <c r="M55" s="1923"/>
      <c r="N55" s="1922"/>
      <c r="O55" s="1930">
        <f>SUM(E55+G55+I55+K55+M55)</f>
        <v>0</v>
      </c>
      <c r="P55" s="1922"/>
      <c r="R55" s="1089"/>
      <c r="S55" s="1906"/>
      <c r="T55" s="1444" t="str">
        <f>IF(ISNUMBER(G55),"Worksheet 430G must be completed"," ")</f>
        <v xml:space="preserve"> </v>
      </c>
    </row>
    <row r="56" spans="2:20" ht="6" customHeight="1" x14ac:dyDescent="0.2">
      <c r="B56" s="1089"/>
      <c r="C56" s="1922"/>
      <c r="D56" s="1922"/>
      <c r="E56" s="1922"/>
      <c r="F56" s="1922"/>
      <c r="G56" s="1936"/>
      <c r="H56" s="1925"/>
      <c r="I56" s="1936"/>
      <c r="J56" s="1925"/>
      <c r="K56" s="1922"/>
      <c r="L56" s="1922"/>
      <c r="M56" s="1922"/>
      <c r="N56" s="1922"/>
      <c r="O56" s="1922"/>
      <c r="P56" s="1922"/>
      <c r="Q56" s="1922"/>
      <c r="R56" s="1089"/>
      <c r="S56" s="1906"/>
    </row>
    <row r="57" spans="2:20" ht="12" customHeight="1" x14ac:dyDescent="0.2">
      <c r="B57" s="1088" t="s">
        <v>553</v>
      </c>
      <c r="C57" s="1922" t="s">
        <v>4525</v>
      </c>
      <c r="D57" s="1922"/>
      <c r="E57" s="1922"/>
      <c r="F57" s="1922"/>
      <c r="G57" s="1936"/>
      <c r="H57" s="1925"/>
      <c r="I57" s="1936"/>
      <c r="J57" s="1925"/>
      <c r="K57" s="1907" t="s">
        <v>85</v>
      </c>
      <c r="L57" s="1089"/>
      <c r="M57" s="1908"/>
      <c r="N57" s="1089"/>
      <c r="O57" s="1907" t="s">
        <v>86</v>
      </c>
      <c r="P57" s="1089"/>
      <c r="Q57" s="1908"/>
      <c r="R57" s="1089"/>
      <c r="S57" s="1906"/>
      <c r="T57" s="1443" t="str">
        <f>IF(AND(ISBLANK($M$57),ISBLANK($Q$57))=TRUE,"Answer Missing"," ")</f>
        <v>Answer Missing</v>
      </c>
    </row>
    <row r="58" spans="2:20" ht="12" customHeight="1" x14ac:dyDescent="0.2">
      <c r="B58" s="1089"/>
      <c r="C58" s="1922" t="s">
        <v>4526</v>
      </c>
      <c r="D58" s="1922"/>
      <c r="E58" s="1922"/>
      <c r="F58" s="1922"/>
      <c r="G58" s="1936"/>
      <c r="H58" s="1925"/>
      <c r="I58" s="1936"/>
      <c r="J58" s="1925"/>
      <c r="K58" s="1922"/>
      <c r="L58" s="1922"/>
      <c r="M58" s="1922"/>
      <c r="N58" s="1922"/>
      <c r="O58" s="1922"/>
      <c r="P58" s="1922"/>
      <c r="Q58" s="1922"/>
      <c r="R58" s="1089"/>
      <c r="S58" s="1906"/>
    </row>
    <row r="59" spans="2:20" ht="12" customHeight="1" x14ac:dyDescent="0.2">
      <c r="B59" s="1089"/>
      <c r="C59" s="1922"/>
      <c r="D59" s="1922"/>
      <c r="E59" s="1922"/>
      <c r="F59" s="1922"/>
      <c r="G59" s="1936"/>
      <c r="H59" s="1925"/>
      <c r="I59" s="1936"/>
      <c r="J59" s="1925"/>
      <c r="K59" s="1922"/>
      <c r="L59" s="1922"/>
      <c r="M59" s="1922"/>
      <c r="N59" s="1922"/>
      <c r="O59" s="1922"/>
      <c r="P59" s="1922"/>
      <c r="Q59" s="1922"/>
      <c r="R59" s="1089"/>
      <c r="S59" s="1906"/>
    </row>
    <row r="60" spans="2:20" ht="12" customHeight="1" x14ac:dyDescent="0.2">
      <c r="B60" s="1088"/>
      <c r="D60" s="1090"/>
      <c r="E60" s="1090" t="s">
        <v>1160</v>
      </c>
      <c r="F60" s="1090"/>
      <c r="G60" s="1911"/>
      <c r="H60" s="1911"/>
      <c r="I60" s="1911"/>
      <c r="J60" s="1911"/>
      <c r="K60" s="1090"/>
      <c r="L60" s="1090"/>
      <c r="M60" s="1090" t="s">
        <v>4522</v>
      </c>
      <c r="N60" s="1090"/>
      <c r="O60" s="1090" t="s">
        <v>4469</v>
      </c>
      <c r="P60" s="1090"/>
      <c r="R60" s="1089"/>
      <c r="S60" s="1906"/>
    </row>
    <row r="61" spans="2:20" ht="12" customHeight="1" x14ac:dyDescent="0.2">
      <c r="B61" s="1088"/>
      <c r="D61" s="1913"/>
      <c r="E61" s="1920">
        <v>44378</v>
      </c>
      <c r="F61" s="1913"/>
      <c r="G61" s="1913" t="s">
        <v>4511</v>
      </c>
      <c r="H61" s="1921"/>
      <c r="I61" s="1921" t="s">
        <v>1050</v>
      </c>
      <c r="J61" s="1921"/>
      <c r="K61" s="1913" t="s">
        <v>4512</v>
      </c>
      <c r="L61" s="1913"/>
      <c r="M61" s="1913" t="s">
        <v>4527</v>
      </c>
      <c r="N61" s="1913"/>
      <c r="O61" s="1920">
        <v>44742</v>
      </c>
      <c r="P61" s="1913"/>
      <c r="R61" s="1089"/>
      <c r="S61" s="1906"/>
    </row>
    <row r="62" spans="2:20" ht="6" customHeight="1" x14ac:dyDescent="0.2">
      <c r="B62" s="1088"/>
      <c r="C62" s="1919"/>
      <c r="D62" s="1090"/>
      <c r="E62" s="1090"/>
      <c r="F62" s="1090"/>
      <c r="G62" s="1911"/>
      <c r="H62" s="1911"/>
      <c r="I62" s="1911"/>
      <c r="J62" s="1911"/>
      <c r="K62" s="1090"/>
      <c r="L62" s="1090"/>
      <c r="M62" s="1090"/>
      <c r="N62" s="1090"/>
      <c r="O62" s="1919"/>
      <c r="P62" s="1090"/>
      <c r="R62" s="1089"/>
      <c r="S62" s="1906"/>
    </row>
    <row r="63" spans="2:20" ht="12" customHeight="1" x14ac:dyDescent="0.2">
      <c r="B63" s="1089"/>
      <c r="C63" s="1929" t="s">
        <v>4527</v>
      </c>
      <c r="D63" s="1922"/>
      <c r="E63" s="1923"/>
      <c r="F63" s="1922"/>
      <c r="G63" s="1924"/>
      <c r="H63" s="1925"/>
      <c r="I63" s="1924"/>
      <c r="J63" s="1925"/>
      <c r="K63" s="1923"/>
      <c r="L63" s="1922"/>
      <c r="M63" s="1923"/>
      <c r="N63" s="1922"/>
      <c r="O63" s="1930">
        <f>SUM(E63+G63+I63+K63+M63)</f>
        <v>0</v>
      </c>
      <c r="P63" s="1922"/>
      <c r="R63" s="1089"/>
      <c r="S63" s="1906"/>
      <c r="T63" s="1444" t="str">
        <f>IF(ISNUMBER(G63),"Worksheet 430G must be completed"," ")</f>
        <v xml:space="preserve"> </v>
      </c>
    </row>
    <row r="64" spans="2:20" ht="12" customHeight="1" x14ac:dyDescent="0.2">
      <c r="B64" s="1089"/>
      <c r="C64" s="1926"/>
      <c r="D64" s="1922"/>
      <c r="E64" s="1926"/>
      <c r="F64" s="1922"/>
      <c r="G64" s="1927"/>
      <c r="H64" s="1925"/>
      <c r="I64" s="1927"/>
      <c r="J64" s="1925"/>
      <c r="K64" s="1926"/>
      <c r="L64" s="1922"/>
      <c r="M64" s="1926"/>
      <c r="N64" s="1922"/>
      <c r="O64" s="1926"/>
      <c r="P64" s="1922"/>
      <c r="Q64" s="1922"/>
      <c r="R64" s="1089"/>
      <c r="S64" s="1906"/>
    </row>
    <row r="65" spans="2:20" ht="12" customHeight="1" x14ac:dyDescent="0.2">
      <c r="B65" s="1088" t="s">
        <v>317</v>
      </c>
      <c r="C65" s="1089" t="s">
        <v>4528</v>
      </c>
      <c r="D65" s="1089"/>
      <c r="E65" s="1089"/>
      <c r="F65" s="1928"/>
      <c r="G65" s="1928"/>
      <c r="H65" s="1928"/>
      <c r="I65" s="1928"/>
      <c r="J65" s="1928"/>
      <c r="K65" s="1928"/>
      <c r="L65" s="1928"/>
      <c r="M65" s="1089"/>
      <c r="N65" s="1089"/>
      <c r="O65" s="1089"/>
      <c r="P65" s="1089"/>
      <c r="Q65" s="1089"/>
      <c r="R65" s="1089"/>
      <c r="S65" s="1906"/>
    </row>
    <row r="66" spans="2:20" ht="12" customHeight="1" x14ac:dyDescent="0.2">
      <c r="B66" s="1088"/>
      <c r="C66" s="1089" t="s">
        <v>4529</v>
      </c>
      <c r="D66" s="1089"/>
      <c r="E66" s="1089"/>
      <c r="F66" s="1928"/>
      <c r="G66" s="1928"/>
      <c r="H66" s="1928"/>
      <c r="I66" s="1928"/>
      <c r="J66" s="1928"/>
      <c r="K66" s="1928"/>
      <c r="L66" s="1928"/>
      <c r="M66" s="1089"/>
      <c r="N66" s="1089"/>
      <c r="O66" s="1089"/>
      <c r="P66" s="1089"/>
      <c r="Q66" s="1089"/>
      <c r="R66" s="1089"/>
      <c r="S66" s="1906"/>
    </row>
    <row r="67" spans="2:20" ht="6" customHeight="1" x14ac:dyDescent="0.2">
      <c r="B67" s="1088"/>
      <c r="D67" s="1089"/>
      <c r="E67" s="1089"/>
      <c r="F67" s="1928"/>
      <c r="G67" s="1928"/>
      <c r="H67" s="1928"/>
      <c r="I67" s="1928"/>
      <c r="J67" s="1928"/>
      <c r="K67" s="1928"/>
      <c r="L67" s="1928"/>
      <c r="M67" s="1089"/>
      <c r="N67" s="1089"/>
      <c r="O67" s="1089"/>
      <c r="P67" s="1089"/>
      <c r="Q67" s="1089"/>
      <c r="R67" s="1089"/>
      <c r="S67" s="1906"/>
    </row>
    <row r="68" spans="2:20" ht="12" customHeight="1" x14ac:dyDescent="0.2">
      <c r="B68" s="1088"/>
      <c r="C68" s="1089" t="s">
        <v>4530</v>
      </c>
      <c r="D68" s="1089"/>
      <c r="E68" s="1089"/>
      <c r="F68" s="1928"/>
      <c r="G68" s="1928"/>
      <c r="H68" s="1928"/>
      <c r="I68" s="1928"/>
      <c r="J68" s="1928"/>
      <c r="K68" s="1928"/>
      <c r="L68" s="1928"/>
      <c r="M68" s="1089"/>
      <c r="N68" s="1089"/>
      <c r="O68" s="1089"/>
      <c r="P68" s="1089"/>
      <c r="Q68" s="1089"/>
      <c r="R68" s="1089"/>
      <c r="S68" s="1906"/>
    </row>
    <row r="69" spans="2:20" ht="15.75" customHeight="1" x14ac:dyDescent="0.2">
      <c r="B69" s="1089"/>
      <c r="C69" s="1907" t="s">
        <v>4501</v>
      </c>
      <c r="D69" s="1089"/>
      <c r="E69" s="1908"/>
      <c r="F69" s="1089"/>
      <c r="G69" s="1912" t="s">
        <v>86</v>
      </c>
      <c r="H69" s="1914"/>
      <c r="I69" s="1918"/>
      <c r="J69" s="1914"/>
      <c r="K69" s="1912" t="s">
        <v>345</v>
      </c>
      <c r="L69" s="447"/>
      <c r="M69" s="1933"/>
      <c r="N69" s="1089"/>
      <c r="O69" s="1089"/>
      <c r="P69" s="1089"/>
      <c r="Q69" s="1089"/>
      <c r="R69" s="1089"/>
      <c r="S69" s="1906"/>
      <c r="T69" s="1443" t="str">
        <f>IF(AND(ISBLANK($E$69),ISBLANK($I$69),ISBLANK($M$69))=TRUE,"Answer Missing"," ")</f>
        <v>Answer Missing</v>
      </c>
    </row>
    <row r="70" spans="2:20" ht="6" customHeight="1" x14ac:dyDescent="0.2">
      <c r="B70" s="1089"/>
      <c r="C70" s="1907"/>
      <c r="D70" s="1089"/>
      <c r="E70" s="1089"/>
      <c r="F70" s="1089"/>
      <c r="G70" s="1912"/>
      <c r="H70" s="1914"/>
      <c r="I70" s="447"/>
      <c r="J70" s="1914"/>
      <c r="K70" s="447"/>
      <c r="L70" s="447"/>
      <c r="M70" s="1089"/>
      <c r="N70" s="1089"/>
      <c r="O70" s="1089"/>
      <c r="P70" s="1089"/>
      <c r="Q70" s="1089"/>
      <c r="R70" s="1089"/>
      <c r="S70" s="1906"/>
    </row>
    <row r="71" spans="2:20" ht="12" customHeight="1" x14ac:dyDescent="0.2">
      <c r="B71" s="1089"/>
      <c r="C71" s="1910" t="s">
        <v>4531</v>
      </c>
      <c r="D71" s="1089"/>
      <c r="E71" s="1089"/>
      <c r="F71" s="1089"/>
      <c r="G71" s="1912"/>
      <c r="H71" s="1914"/>
      <c r="I71" s="447"/>
      <c r="J71" s="1914"/>
      <c r="K71" s="447"/>
      <c r="L71" s="447"/>
      <c r="M71" s="1089"/>
      <c r="N71" s="1089"/>
      <c r="O71" s="1089"/>
      <c r="P71" s="1089"/>
      <c r="Q71" s="1089"/>
      <c r="R71" s="1089"/>
      <c r="S71" s="1906"/>
    </row>
    <row r="72" spans="2:20" ht="12" customHeight="1" x14ac:dyDescent="0.2">
      <c r="B72" s="1089"/>
      <c r="C72" s="2471"/>
      <c r="D72" s="2471"/>
      <c r="E72" s="2471"/>
      <c r="F72" s="2471"/>
      <c r="G72" s="2471"/>
      <c r="H72" s="2471"/>
      <c r="I72" s="2471"/>
      <c r="J72" s="2471"/>
      <c r="K72" s="2471"/>
      <c r="L72" s="2471"/>
      <c r="M72" s="2471"/>
      <c r="N72" s="2471"/>
      <c r="O72" s="2471"/>
      <c r="P72" s="2471"/>
      <c r="Q72" s="2471"/>
      <c r="R72" s="1089"/>
      <c r="S72" s="1906"/>
      <c r="T72" s="1444" t="str">
        <f>IF(ISTEXT(I69),"Response for No needed"," ")</f>
        <v xml:space="preserve"> </v>
      </c>
    </row>
    <row r="73" spans="2:20" ht="12" customHeight="1" x14ac:dyDescent="0.2">
      <c r="B73" s="1089"/>
      <c r="C73" s="1922"/>
      <c r="D73" s="1922"/>
      <c r="E73" s="1922"/>
      <c r="F73" s="1922"/>
      <c r="G73" s="1936"/>
      <c r="H73" s="1925"/>
      <c r="I73" s="1936"/>
      <c r="J73" s="1925"/>
      <c r="K73" s="1922"/>
      <c r="L73" s="1922"/>
      <c r="M73" s="1922"/>
      <c r="N73" s="1922"/>
      <c r="O73" s="1922"/>
      <c r="P73" s="1922"/>
      <c r="Q73" s="1922"/>
      <c r="R73" s="1089"/>
      <c r="S73" s="1906"/>
    </row>
    <row r="74" spans="2:20" ht="12" customHeight="1" x14ac:dyDescent="0.2">
      <c r="B74" s="1089"/>
      <c r="C74" s="1910"/>
      <c r="D74" s="1910"/>
      <c r="E74" s="1910"/>
      <c r="F74" s="1089"/>
      <c r="G74" s="1907"/>
      <c r="H74" s="1089"/>
      <c r="I74" s="1089"/>
      <c r="J74" s="1089"/>
      <c r="K74" s="1089"/>
      <c r="L74" s="1089"/>
      <c r="M74" s="1089"/>
      <c r="N74" s="1089"/>
      <c r="O74" s="1089"/>
      <c r="P74" s="1089"/>
      <c r="Q74" s="1089"/>
      <c r="R74" s="1089"/>
      <c r="S74" s="1906"/>
    </row>
    <row r="75" spans="2:20" ht="6" customHeight="1" x14ac:dyDescent="0.2">
      <c r="B75" s="1089"/>
      <c r="C75" s="1089"/>
      <c r="D75" s="1089"/>
      <c r="E75" s="1089"/>
      <c r="F75" s="1089"/>
      <c r="G75" s="1089"/>
      <c r="H75" s="1089"/>
      <c r="I75" s="1089"/>
      <c r="J75" s="1089"/>
      <c r="K75" s="1089"/>
      <c r="L75" s="1089"/>
      <c r="M75" s="1089"/>
      <c r="N75" s="1089"/>
      <c r="O75" s="1089"/>
      <c r="P75" s="1089"/>
      <c r="Q75" s="1089"/>
      <c r="R75" s="1089"/>
    </row>
    <row r="76" spans="2:20" ht="12" customHeight="1" x14ac:dyDescent="0.2">
      <c r="B76" s="1089"/>
      <c r="C76" s="1089"/>
      <c r="D76" s="1089"/>
      <c r="E76" s="1089"/>
      <c r="F76" s="1089"/>
      <c r="G76" s="1089"/>
      <c r="H76" s="1914"/>
      <c r="I76" s="1935"/>
      <c r="J76" s="1914"/>
      <c r="K76" s="1935"/>
      <c r="L76" s="1935"/>
      <c r="M76" s="1089"/>
      <c r="N76" s="1089"/>
      <c r="O76" s="1089"/>
      <c r="P76" s="1089"/>
      <c r="Q76" s="1089"/>
      <c r="R76" s="1089"/>
    </row>
    <row r="77" spans="2:20" ht="12" customHeight="1" x14ac:dyDescent="0.2">
      <c r="B77" s="1089"/>
      <c r="C77" s="1089"/>
      <c r="D77" s="1089"/>
      <c r="E77" s="1089"/>
      <c r="F77" s="1089"/>
      <c r="G77" s="1089"/>
      <c r="H77" s="1089"/>
      <c r="I77" s="1089"/>
      <c r="J77" s="1089"/>
      <c r="K77" s="1089"/>
      <c r="L77" s="1089"/>
      <c r="M77" s="1089"/>
      <c r="N77" s="1089"/>
      <c r="O77" s="1089"/>
      <c r="P77" s="1089"/>
      <c r="Q77" s="1089"/>
      <c r="R77" s="1089"/>
    </row>
    <row r="78" spans="2:20" ht="12" customHeight="1" x14ac:dyDescent="0.2">
      <c r="B78" s="1089"/>
      <c r="C78" s="1928"/>
      <c r="D78" s="1928"/>
      <c r="E78" s="1928"/>
      <c r="F78" s="1928"/>
      <c r="G78" s="1928"/>
      <c r="H78" s="1928"/>
      <c r="I78" s="1928"/>
      <c r="J78" s="1928"/>
      <c r="K78" s="1928"/>
      <c r="L78" s="1928"/>
      <c r="M78" s="1089"/>
      <c r="N78" s="1089"/>
      <c r="O78" s="1089"/>
      <c r="P78" s="1089"/>
      <c r="Q78" s="1089"/>
      <c r="R78" s="1089"/>
    </row>
    <row r="79" spans="2:20" ht="12" customHeight="1" x14ac:dyDescent="0.2">
      <c r="B79" s="1089"/>
      <c r="C79" s="1928"/>
      <c r="D79" s="1928"/>
      <c r="E79" s="1928"/>
      <c r="F79" s="1928"/>
      <c r="G79" s="1928"/>
      <c r="H79" s="1928"/>
      <c r="I79" s="1928"/>
      <c r="J79" s="1928"/>
      <c r="K79" s="1928"/>
      <c r="L79" s="1928"/>
      <c r="M79" s="1089"/>
      <c r="N79" s="1089"/>
      <c r="O79" s="1089"/>
      <c r="P79" s="1089"/>
      <c r="Q79" s="1089"/>
      <c r="R79" s="1089"/>
    </row>
    <row r="80" spans="2:20" ht="8.1" customHeight="1" x14ac:dyDescent="0.2">
      <c r="B80" s="1089"/>
      <c r="C80" s="1089"/>
      <c r="D80" s="1089"/>
      <c r="E80" s="1089"/>
      <c r="F80" s="1089"/>
      <c r="G80" s="1089"/>
      <c r="H80" s="1089"/>
      <c r="I80" s="1089"/>
      <c r="J80" s="1089"/>
      <c r="K80" s="1089"/>
      <c r="L80" s="1089"/>
      <c r="M80" s="1089"/>
      <c r="N80" s="1089"/>
      <c r="O80" s="1089"/>
      <c r="P80" s="1089"/>
      <c r="Q80" s="1089"/>
      <c r="R80" s="1089"/>
    </row>
    <row r="81" spans="1:18" ht="12" customHeight="1" x14ac:dyDescent="0.2">
      <c r="C81" s="1089"/>
      <c r="D81" s="1089"/>
      <c r="E81" s="1089"/>
      <c r="F81" s="1089"/>
      <c r="G81" s="1089"/>
      <c r="H81" s="1089"/>
      <c r="I81" s="1089"/>
      <c r="J81" s="1089"/>
      <c r="K81" s="1089"/>
      <c r="L81" s="1089"/>
      <c r="M81" s="1089"/>
      <c r="N81" s="1089"/>
      <c r="O81" s="1089"/>
      <c r="P81" s="1089"/>
      <c r="Q81" s="1089"/>
      <c r="R81" s="1089"/>
    </row>
    <row r="82" spans="1:18" ht="12" customHeight="1" x14ac:dyDescent="0.2">
      <c r="B82" s="1089"/>
      <c r="C82" s="1089"/>
      <c r="D82" s="1089"/>
      <c r="E82" s="1089"/>
      <c r="F82" s="1089"/>
      <c r="G82" s="1089"/>
      <c r="H82" s="1089"/>
      <c r="I82" s="1089"/>
      <c r="J82" s="1089"/>
      <c r="K82" s="1089"/>
      <c r="L82" s="1089"/>
      <c r="M82" s="1089"/>
      <c r="N82" s="1089"/>
      <c r="O82" s="1089"/>
      <c r="P82" s="1089"/>
      <c r="Q82" s="1089"/>
      <c r="R82" s="1089"/>
    </row>
    <row r="83" spans="1:18" ht="12" customHeight="1" x14ac:dyDescent="0.2">
      <c r="B83" s="1089"/>
      <c r="C83" s="1089"/>
      <c r="D83" s="1089"/>
      <c r="E83" s="1089"/>
      <c r="F83" s="1089"/>
      <c r="G83" s="1089"/>
      <c r="H83" s="1089"/>
      <c r="I83" s="1089"/>
      <c r="J83" s="1089"/>
      <c r="K83" s="1089"/>
      <c r="L83" s="1089"/>
      <c r="M83" s="1089"/>
      <c r="N83" s="1089"/>
      <c r="O83" s="1089"/>
      <c r="P83" s="1089"/>
      <c r="Q83" s="1089"/>
      <c r="R83" s="1089"/>
    </row>
    <row r="84" spans="1:18" ht="12" customHeight="1" x14ac:dyDescent="0.2">
      <c r="B84" s="1089"/>
      <c r="C84" s="1089"/>
      <c r="D84" s="1089"/>
      <c r="E84" s="1089"/>
      <c r="F84" s="1089"/>
      <c r="G84" s="1089"/>
      <c r="H84" s="1914"/>
      <c r="I84" s="1935"/>
      <c r="J84" s="1914"/>
      <c r="K84" s="1492"/>
      <c r="L84" s="1492"/>
      <c r="M84" s="1089"/>
      <c r="N84" s="1089"/>
      <c r="O84" s="1089"/>
      <c r="P84" s="1089"/>
      <c r="Q84" s="1089"/>
      <c r="R84" s="1089"/>
    </row>
    <row r="85" spans="1:18" ht="12" customHeight="1" x14ac:dyDescent="0.2">
      <c r="B85" s="1089"/>
      <c r="C85" s="1089"/>
      <c r="D85" s="1089"/>
      <c r="E85" s="1089"/>
      <c r="F85" s="1934"/>
      <c r="G85" s="1492"/>
      <c r="H85" s="1914"/>
      <c r="I85" s="1935"/>
      <c r="J85" s="1914"/>
      <c r="K85" s="1492"/>
      <c r="L85" s="1492"/>
      <c r="M85" s="1089"/>
      <c r="N85" s="1089"/>
      <c r="O85" s="1089"/>
      <c r="P85" s="1089"/>
      <c r="Q85" s="1089"/>
      <c r="R85" s="1089"/>
    </row>
    <row r="86" spans="1:18" ht="8.1" customHeight="1" x14ac:dyDescent="0.2">
      <c r="C86" s="1089"/>
      <c r="D86" s="1089"/>
      <c r="E86" s="1089"/>
      <c r="F86" s="1089"/>
      <c r="G86" s="1089"/>
      <c r="H86" s="1089"/>
      <c r="I86" s="1089"/>
      <c r="J86" s="1089"/>
      <c r="K86" s="1089"/>
      <c r="L86" s="1089"/>
      <c r="M86" s="1089"/>
      <c r="N86" s="1089"/>
      <c r="O86" s="1089"/>
      <c r="P86" s="1089"/>
      <c r="Q86" s="1089"/>
      <c r="R86" s="1089"/>
    </row>
    <row r="87" spans="1:18" ht="12" customHeight="1" x14ac:dyDescent="0.2">
      <c r="B87" s="1088"/>
      <c r="C87" s="1089"/>
      <c r="D87" s="1089"/>
      <c r="E87" s="1089"/>
      <c r="F87" s="1089"/>
      <c r="G87" s="1089"/>
      <c r="H87" s="1089"/>
      <c r="I87" s="1089"/>
      <c r="J87" s="1089"/>
      <c r="K87" s="1089"/>
      <c r="L87" s="1089"/>
      <c r="M87" s="1089"/>
      <c r="N87" s="1089"/>
      <c r="O87" s="1089"/>
      <c r="P87" s="1089"/>
      <c r="Q87" s="1089"/>
      <c r="R87" s="1089"/>
    </row>
    <row r="88" spans="1:18" x14ac:dyDescent="0.2">
      <c r="C88" s="1089"/>
      <c r="D88" s="1089"/>
      <c r="E88" s="1089"/>
      <c r="F88" s="1089"/>
      <c r="G88" s="1089"/>
      <c r="H88" s="1914"/>
      <c r="I88" s="1935"/>
      <c r="J88" s="1914"/>
      <c r="K88" s="1492"/>
      <c r="L88" s="1492"/>
      <c r="M88" s="1089"/>
      <c r="N88" s="1089"/>
      <c r="O88" s="1089"/>
      <c r="P88" s="1089"/>
      <c r="Q88" s="1089"/>
      <c r="R88" s="1089"/>
    </row>
    <row r="89" spans="1:18" x14ac:dyDescent="0.2">
      <c r="C89" s="1089"/>
      <c r="D89" s="1089"/>
      <c r="E89" s="1089"/>
      <c r="F89" s="1089"/>
      <c r="G89" s="1089"/>
      <c r="H89" s="1914"/>
      <c r="I89" s="1935"/>
      <c r="J89" s="1914"/>
      <c r="K89" s="1492"/>
      <c r="L89" s="1492"/>
      <c r="M89" s="1089"/>
      <c r="N89" s="1089"/>
      <c r="O89" s="1089"/>
      <c r="P89" s="1089"/>
      <c r="Q89" s="1089"/>
      <c r="R89" s="1089"/>
    </row>
    <row r="90" spans="1:18" ht="16.5" customHeight="1" x14ac:dyDescent="0.2">
      <c r="C90" s="1089"/>
      <c r="D90" s="1089"/>
      <c r="E90" s="1089"/>
      <c r="F90" s="1928"/>
      <c r="G90" s="1928"/>
      <c r="H90" s="1928"/>
      <c r="I90" s="1928"/>
      <c r="J90" s="1928"/>
      <c r="K90" s="1928"/>
      <c r="L90" s="1928"/>
      <c r="M90" s="1089"/>
      <c r="N90" s="1089"/>
      <c r="O90" s="1089"/>
      <c r="P90" s="1089"/>
      <c r="Q90" s="1089"/>
      <c r="R90" s="1089"/>
    </row>
    <row r="91" spans="1:18" x14ac:dyDescent="0.2">
      <c r="C91" s="1089"/>
      <c r="D91" s="1089"/>
      <c r="E91" s="1089"/>
      <c r="F91" s="1089"/>
      <c r="G91" s="1089"/>
      <c r="H91" s="1089"/>
      <c r="I91" s="1089"/>
      <c r="J91" s="1089"/>
      <c r="K91" s="1089"/>
      <c r="L91" s="1089"/>
      <c r="M91" s="1089"/>
      <c r="N91" s="1089"/>
      <c r="O91" s="1089"/>
      <c r="P91" s="1089"/>
      <c r="Q91" s="1089"/>
      <c r="R91" s="1089"/>
    </row>
    <row r="92" spans="1:18" x14ac:dyDescent="0.2">
      <c r="C92" s="1089"/>
      <c r="D92" s="1089"/>
      <c r="E92" s="1089"/>
      <c r="F92" s="1089"/>
      <c r="G92" s="1089"/>
      <c r="H92" s="1089"/>
      <c r="I92" s="1089"/>
      <c r="J92" s="1089"/>
      <c r="K92" s="1089"/>
      <c r="L92" s="1089"/>
      <c r="M92" s="1089"/>
      <c r="N92" s="1089"/>
      <c r="O92" s="1089"/>
      <c r="P92" s="1089"/>
      <c r="Q92" s="1089"/>
      <c r="R92" s="1089"/>
    </row>
    <row r="93" spans="1:18" x14ac:dyDescent="0.2">
      <c r="C93" s="1089"/>
      <c r="D93" s="1089"/>
      <c r="E93" s="1089"/>
      <c r="F93" s="1089"/>
      <c r="G93" s="1089"/>
      <c r="H93" s="1089"/>
      <c r="I93" s="1089"/>
      <c r="J93" s="1089"/>
      <c r="K93" s="1089"/>
      <c r="L93" s="1089"/>
      <c r="M93" s="1089"/>
      <c r="N93" s="1089"/>
      <c r="O93" s="1089"/>
      <c r="P93" s="1089"/>
      <c r="Q93" s="1089"/>
      <c r="R93" s="1089"/>
    </row>
    <row r="94" spans="1:18" x14ac:dyDescent="0.2">
      <c r="A94" s="1848" t="s">
        <v>4532</v>
      </c>
      <c r="B94" s="1848"/>
      <c r="O94" s="1089"/>
      <c r="P94" s="1089"/>
      <c r="Q94" s="1089"/>
      <c r="R94" s="1089"/>
    </row>
    <row r="95" spans="1:18" x14ac:dyDescent="0.2">
      <c r="A95" s="1848" t="s">
        <v>446</v>
      </c>
      <c r="B95" s="1848" t="s">
        <v>4119</v>
      </c>
    </row>
    <row r="96" spans="1:18" x14ac:dyDescent="0.2">
      <c r="A96" s="1848" t="s">
        <v>447</v>
      </c>
      <c r="B96" s="1848" t="s">
        <v>4119</v>
      </c>
    </row>
    <row r="97" spans="1:2" x14ac:dyDescent="0.2">
      <c r="A97" s="1848" t="s">
        <v>448</v>
      </c>
      <c r="B97" s="1848" t="s">
        <v>4119</v>
      </c>
    </row>
    <row r="98" spans="1:2" x14ac:dyDescent="0.2">
      <c r="A98" s="1848" t="s">
        <v>450</v>
      </c>
      <c r="B98" s="1848" t="s">
        <v>4119</v>
      </c>
    </row>
    <row r="99" spans="1:2" x14ac:dyDescent="0.2">
      <c r="A99" s="1848" t="s">
        <v>451</v>
      </c>
      <c r="B99" s="1848" t="s">
        <v>4119</v>
      </c>
    </row>
    <row r="100" spans="1:2" x14ac:dyDescent="0.2">
      <c r="A100" s="1848" t="s">
        <v>452</v>
      </c>
      <c r="B100" s="1848" t="s">
        <v>4119</v>
      </c>
    </row>
    <row r="101" spans="1:2" x14ac:dyDescent="0.2">
      <c r="A101" s="1848" t="s">
        <v>453</v>
      </c>
      <c r="B101" s="1848" t="s">
        <v>4119</v>
      </c>
    </row>
    <row r="102" spans="1:2" x14ac:dyDescent="0.2">
      <c r="A102" s="1848" t="s">
        <v>454</v>
      </c>
      <c r="B102" s="1848" t="s">
        <v>4119</v>
      </c>
    </row>
    <row r="103" spans="1:2" x14ac:dyDescent="0.2">
      <c r="A103" s="1848" t="s">
        <v>455</v>
      </c>
      <c r="B103" s="1848" t="s">
        <v>4119</v>
      </c>
    </row>
    <row r="104" spans="1:2" x14ac:dyDescent="0.2">
      <c r="A104" s="1848" t="s">
        <v>456</v>
      </c>
      <c r="B104" s="1848" t="s">
        <v>4119</v>
      </c>
    </row>
  </sheetData>
  <sheetProtection algorithmName="SHA-512" hashValue="f94iQ5ruBAg6+pPwAA240JIwQoym5ndYBgQGHmS1c376Udcs2mCD8cwUs73jnrOtVkBDY8rf8Y+ylGZe8vt+JA==" saltValue="2GG7KAxX5BtI3/A5UvPF7g==" spinCount="100000" sheet="1" objects="1" scenarios="1" autoFilter="0"/>
  <mergeCells count="9">
    <mergeCell ref="G20:I20"/>
    <mergeCell ref="C47:R47"/>
    <mergeCell ref="C72:Q72"/>
    <mergeCell ref="E18:M18"/>
    <mergeCell ref="S1:S3"/>
    <mergeCell ref="O7:Q7"/>
    <mergeCell ref="O8:Q8"/>
    <mergeCell ref="O9:Q9"/>
    <mergeCell ref="O10:Q10"/>
  </mergeCells>
  <conditionalFormatting sqref="S1:T3">
    <cfRule type="cellIs" dxfId="168" priority="13" stopIfTrue="1" operator="equal">
      <formula>"na"</formula>
    </cfRule>
  </conditionalFormatting>
  <conditionalFormatting sqref="T28">
    <cfRule type="containsText" dxfId="167" priority="12" stopIfTrue="1" operator="containsText" text="Answer Missing">
      <formula>NOT(ISERROR(SEARCH("Answer Missing",T28)))</formula>
    </cfRule>
  </conditionalFormatting>
  <conditionalFormatting sqref="T14">
    <cfRule type="containsText" dxfId="166" priority="11" stopIfTrue="1" operator="containsText" text="Answer Missing">
      <formula>NOT(ISERROR(SEARCH("Answer Missing",T14)))</formula>
    </cfRule>
  </conditionalFormatting>
  <conditionalFormatting sqref="T44">
    <cfRule type="containsText" dxfId="165" priority="9" stopIfTrue="1" operator="containsText" text="Answer Missing">
      <formula>NOT(ISERROR(SEARCH("Answer Missing",T44)))</formula>
    </cfRule>
  </conditionalFormatting>
  <conditionalFormatting sqref="T57">
    <cfRule type="containsText" dxfId="164" priority="8" stopIfTrue="1" operator="containsText" text="Answer Missing">
      <formula>NOT(ISERROR(SEARCH("Answer Missing",T57)))</formula>
    </cfRule>
  </conditionalFormatting>
  <conditionalFormatting sqref="T49">
    <cfRule type="containsText" dxfId="163" priority="7" stopIfTrue="1" operator="containsText" text="Answer Missing">
      <formula>NOT(ISERROR(SEARCH("Answer Missing",T49)))</formula>
    </cfRule>
  </conditionalFormatting>
  <conditionalFormatting sqref="T69">
    <cfRule type="containsText" dxfId="162" priority="4" stopIfTrue="1" operator="containsText" text="Answer Missing">
      <formula>NOT(ISERROR(SEARCH("Answer Missing",T69)))</formula>
    </cfRule>
  </conditionalFormatting>
  <conditionalFormatting sqref="T23">
    <cfRule type="containsText" dxfId="161" priority="1" stopIfTrue="1" operator="containsText" text="Answer Missing">
      <formula>NOT(ISERROR(SEARCH("Answer Missing",T23)))</formula>
    </cfRule>
  </conditionalFormatting>
  <hyperlinks>
    <hyperlink ref="B1:K1" location="Index!A1" display="Index!A1" xr:uid="{32D944AE-01DD-4ED4-B58F-552F3BBB9C6A}"/>
  </hyperlinks>
  <pageMargins left="0.75" right="0.5" top="0.5" bottom="0.5" header="0.43" footer="0.25"/>
  <pageSetup scale="64" orientation="portrait" r:id="rId1"/>
  <headerFooter>
    <oddFooter>&amp;R202</oddFooter>
  </headerFooter>
  <ignoredErrors>
    <ignoredError sqref="M41 O34" unlockedFormula="1"/>
  </ignoredErrors>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tabColor rgb="FFFFFF00"/>
  </sheetPr>
  <dimension ref="B1:W169"/>
  <sheetViews>
    <sheetView zoomScaleNormal="100" workbookViewId="0">
      <selection sqref="A1:J1"/>
    </sheetView>
  </sheetViews>
  <sheetFormatPr defaultColWidth="9.42578125" defaultRowHeight="12.75" x14ac:dyDescent="0.2"/>
  <cols>
    <col min="1" max="1" width="3.5703125" style="675" customWidth="1"/>
    <col min="2" max="2" width="9.42578125" style="675"/>
    <col min="3" max="3" width="5.5703125" style="675" customWidth="1"/>
    <col min="4" max="4" width="8" style="675" customWidth="1"/>
    <col min="5" max="6" width="9.42578125" style="675"/>
    <col min="7" max="7" width="5.5703125" style="675" customWidth="1"/>
    <col min="8" max="8" width="1.5703125" style="675" customWidth="1"/>
    <col min="9" max="9" width="7.5703125" style="675" customWidth="1"/>
    <col min="10" max="10" width="22.5703125" style="397" customWidth="1"/>
    <col min="11" max="11" width="21.5703125" style="675" customWidth="1"/>
    <col min="12" max="16384" width="9.42578125" style="675"/>
  </cols>
  <sheetData>
    <row r="1" spans="2:23" ht="15.75" x14ac:dyDescent="0.25">
      <c r="B1" s="2449" t="str">
        <f>+Index!$A$1</f>
        <v xml:space="preserve">                                                               Office of the State Controller                                                                </v>
      </c>
      <c r="C1" s="2449"/>
      <c r="D1" s="2449"/>
      <c r="E1" s="2449"/>
      <c r="F1" s="2449"/>
      <c r="G1" s="2449"/>
      <c r="H1" s="2449"/>
      <c r="I1" s="2449"/>
      <c r="J1" s="2449"/>
      <c r="K1" s="3039" t="str">
        <f>IF(Index!$B$104="na","NA","")</f>
        <v/>
      </c>
      <c r="L1" s="674"/>
      <c r="M1" s="674"/>
      <c r="N1" s="674"/>
      <c r="O1" s="674"/>
      <c r="P1" s="674"/>
      <c r="Q1" s="674"/>
      <c r="R1" s="674"/>
      <c r="S1" s="674"/>
      <c r="T1" s="674"/>
      <c r="U1" s="674"/>
      <c r="V1" s="674"/>
    </row>
    <row r="2" spans="2:23" ht="16.5" x14ac:dyDescent="0.3">
      <c r="B2" s="2431" t="str">
        <f>+Index!$A$2</f>
        <v>2022 ACFR Worksheets</v>
      </c>
      <c r="C2" s="2431"/>
      <c r="D2" s="2431"/>
      <c r="E2" s="2431"/>
      <c r="F2" s="2431"/>
      <c r="G2" s="2431"/>
      <c r="H2" s="2431"/>
      <c r="I2" s="2431"/>
      <c r="J2" s="2431"/>
      <c r="K2" s="3039"/>
      <c r="L2" s="676"/>
      <c r="M2" s="676"/>
      <c r="N2" s="676"/>
      <c r="O2" s="677"/>
      <c r="P2" s="677"/>
      <c r="Q2" s="677"/>
      <c r="R2" s="677"/>
      <c r="S2" s="677"/>
      <c r="T2" s="677"/>
      <c r="U2" s="677"/>
      <c r="V2" s="677"/>
    </row>
    <row r="3" spans="2:23" ht="42.75" customHeight="1" x14ac:dyDescent="0.3">
      <c r="B3" s="3040" t="s">
        <v>3698</v>
      </c>
      <c r="C3" s="3040"/>
      <c r="D3" s="3040"/>
      <c r="E3" s="3040"/>
      <c r="F3" s="3040"/>
      <c r="G3" s="3040"/>
      <c r="H3" s="3040"/>
      <c r="I3" s="3040"/>
      <c r="J3" s="3040"/>
      <c r="K3" s="3039"/>
      <c r="L3" s="676"/>
      <c r="M3" s="676"/>
      <c r="N3" s="676"/>
      <c r="O3" s="677"/>
      <c r="P3" s="677"/>
      <c r="Q3" s="677"/>
      <c r="R3" s="677"/>
      <c r="S3" s="677"/>
      <c r="T3" s="677"/>
      <c r="U3" s="677"/>
      <c r="V3" s="677"/>
    </row>
    <row r="4" spans="2:23" x14ac:dyDescent="0.2">
      <c r="B4"/>
      <c r="C4"/>
      <c r="D4"/>
      <c r="E4"/>
      <c r="F4"/>
      <c r="G4"/>
      <c r="H4"/>
      <c r="I4"/>
      <c r="J4" s="393"/>
    </row>
    <row r="5" spans="2:23" s="678" customFormat="1" ht="15" customHeight="1" x14ac:dyDescent="0.2">
      <c r="B5" s="200" t="s">
        <v>327</v>
      </c>
      <c r="C5" s="200"/>
      <c r="D5" s="636" t="str">
        <f>+Index!$E$10</f>
        <v>01</v>
      </c>
      <c r="E5" s="635"/>
      <c r="F5" s="200" t="s">
        <v>972</v>
      </c>
      <c r="G5" s="200"/>
      <c r="H5" s="2977" t="str">
        <f>+CONCATENATE(Index!$E$12," ",Index!$E$14)</f>
        <v xml:space="preserve"> </v>
      </c>
      <c r="I5" s="2977"/>
      <c r="J5" s="2977"/>
      <c r="O5" s="679"/>
      <c r="W5" s="680"/>
    </row>
    <row r="6" spans="2:23" s="678" customFormat="1" ht="15" customHeight="1" x14ac:dyDescent="0.2">
      <c r="B6" s="200" t="s">
        <v>1154</v>
      </c>
      <c r="C6" s="200"/>
      <c r="D6" s="2992" t="str">
        <f>+Index!$E$11</f>
        <v>North Carolina General Assembly</v>
      </c>
      <c r="E6" s="2992"/>
      <c r="F6" s="2992"/>
      <c r="G6" s="2992"/>
      <c r="H6" s="200"/>
      <c r="I6" s="200"/>
      <c r="J6" s="200"/>
      <c r="O6" s="681"/>
      <c r="P6" s="681"/>
      <c r="Q6" s="681"/>
      <c r="R6" s="681"/>
      <c r="S6" s="681"/>
      <c r="T6" s="681"/>
      <c r="U6" s="681"/>
      <c r="V6" s="682"/>
      <c r="W6" s="680"/>
    </row>
    <row r="7" spans="2:23" s="678" customFormat="1" ht="15" customHeight="1" x14ac:dyDescent="0.2">
      <c r="B7" s="678" t="s">
        <v>477</v>
      </c>
      <c r="D7" s="1066" t="e">
        <f>INDEX(NetAssetsData,MATCH(PriorYr906!$D$5,NetAssetsDataRow,0),4)</f>
        <v>#N/A</v>
      </c>
      <c r="F7" s="813" t="s">
        <v>348</v>
      </c>
      <c r="G7" s="2986">
        <f>+Index!$E$13</f>
        <v>0</v>
      </c>
      <c r="H7" s="2986"/>
      <c r="I7" s="2986"/>
      <c r="J7" s="2986"/>
      <c r="W7" s="680"/>
    </row>
    <row r="8" spans="2:23" s="684" customFormat="1" ht="12" customHeight="1" thickBot="1" x14ac:dyDescent="0.25">
      <c r="B8" s="683"/>
      <c r="C8" s="683"/>
      <c r="D8" s="683"/>
      <c r="E8" s="683"/>
      <c r="F8" s="683"/>
      <c r="G8" s="683"/>
      <c r="H8" s="683"/>
      <c r="I8" s="683"/>
      <c r="J8" s="1251" t="str">
        <f>TEXT(Data!$A$4,"mmmm d,yyyy")</f>
        <v>June 30,2021</v>
      </c>
      <c r="K8" s="1251" t="str">
        <f>TEXT(Data!$A$4,"mmmm d,yyyy")</f>
        <v>June 30,2021</v>
      </c>
    </row>
    <row r="9" spans="2:23" ht="15.75" x14ac:dyDescent="0.25">
      <c r="B9" s="1293" t="s">
        <v>3844</v>
      </c>
      <c r="C9" s="1271"/>
      <c r="D9" s="1271"/>
      <c r="J9" s="1249" t="s">
        <v>1093</v>
      </c>
      <c r="K9" s="1249" t="s">
        <v>149</v>
      </c>
    </row>
    <row r="10" spans="2:23" ht="15.75" x14ac:dyDescent="0.25">
      <c r="B10" s="685" t="s">
        <v>303</v>
      </c>
      <c r="C10" s="686"/>
      <c r="D10" s="686"/>
      <c r="J10" s="1250" t="s">
        <v>148</v>
      </c>
      <c r="K10" s="1250" t="s">
        <v>1020</v>
      </c>
      <c r="L10" s="687"/>
      <c r="M10" s="687"/>
      <c r="N10" s="687"/>
    </row>
    <row r="11" spans="2:23" ht="21" customHeight="1" x14ac:dyDescent="0.2">
      <c r="B11" s="2987" t="s">
        <v>630</v>
      </c>
      <c r="C11" s="2987"/>
      <c r="D11" s="2987"/>
      <c r="E11" s="2987"/>
      <c r="F11" s="2987"/>
      <c r="G11" s="2987"/>
      <c r="H11" s="2987"/>
      <c r="I11" s="2987"/>
      <c r="J11" s="842">
        <v>0</v>
      </c>
      <c r="K11" s="842">
        <v>0</v>
      </c>
      <c r="L11" s="688"/>
      <c r="M11" s="688"/>
      <c r="N11" s="688"/>
    </row>
    <row r="12" spans="2:23" x14ac:dyDescent="0.2">
      <c r="B12" s="567" t="s">
        <v>483</v>
      </c>
      <c r="C12" s="819"/>
      <c r="D12"/>
      <c r="E12"/>
      <c r="F12"/>
      <c r="G12"/>
      <c r="H12"/>
      <c r="I12"/>
      <c r="J12" s="1259"/>
      <c r="K12" s="1259"/>
      <c r="L12" s="690"/>
      <c r="M12" s="690"/>
      <c r="N12" s="690"/>
    </row>
    <row r="13" spans="2:23" x14ac:dyDescent="0.2">
      <c r="B13" s="2987" t="s">
        <v>1219</v>
      </c>
      <c r="C13" s="2987"/>
      <c r="D13" s="2987"/>
      <c r="E13" s="2987"/>
      <c r="F13" s="2987"/>
      <c r="G13" s="2987"/>
      <c r="H13" s="2987"/>
      <c r="I13" s="2987"/>
      <c r="J13" s="393">
        <v>0</v>
      </c>
      <c r="K13" s="393">
        <v>0</v>
      </c>
      <c r="L13" s="690"/>
      <c r="M13" s="690"/>
      <c r="N13" s="690"/>
    </row>
    <row r="14" spans="2:23" x14ac:dyDescent="0.2">
      <c r="B14" s="2987" t="s">
        <v>1217</v>
      </c>
      <c r="C14" s="2987"/>
      <c r="D14" s="2987"/>
      <c r="E14" s="2987"/>
      <c r="F14" s="2987"/>
      <c r="G14" s="2987"/>
      <c r="H14" s="2987"/>
      <c r="I14" s="2987"/>
      <c r="J14" s="393">
        <v>0</v>
      </c>
      <c r="K14" s="393">
        <v>0</v>
      </c>
      <c r="L14" s="690"/>
      <c r="M14" s="690"/>
      <c r="N14" s="690"/>
    </row>
    <row r="15" spans="2:23" x14ac:dyDescent="0.2">
      <c r="B15" s="2987" t="s">
        <v>1218</v>
      </c>
      <c r="C15" s="2987"/>
      <c r="D15" s="2987"/>
      <c r="E15" s="2987"/>
      <c r="F15" s="2987"/>
      <c r="G15" s="2987"/>
      <c r="H15" s="2987"/>
      <c r="I15" s="2987"/>
      <c r="J15" s="393">
        <v>0</v>
      </c>
      <c r="K15" s="393">
        <v>0</v>
      </c>
      <c r="L15" s="690"/>
      <c r="M15" s="690"/>
      <c r="N15" s="690"/>
    </row>
    <row r="16" spans="2:23" x14ac:dyDescent="0.2">
      <c r="B16" s="2987" t="s">
        <v>1220</v>
      </c>
      <c r="C16" s="2987"/>
      <c r="D16" s="2987"/>
      <c r="E16" s="2987"/>
      <c r="F16" s="2987"/>
      <c r="G16" s="2987"/>
      <c r="H16" s="2987"/>
      <c r="I16" s="2987"/>
      <c r="J16" s="393">
        <v>0</v>
      </c>
      <c r="K16" s="393">
        <v>0</v>
      </c>
      <c r="L16" s="690"/>
      <c r="M16" s="690"/>
      <c r="N16" s="690"/>
    </row>
    <row r="17" spans="2:14" x14ac:dyDescent="0.2">
      <c r="B17" s="2987" t="s">
        <v>1215</v>
      </c>
      <c r="C17" s="2987"/>
      <c r="D17" s="2987"/>
      <c r="E17" s="2987"/>
      <c r="F17" s="2987"/>
      <c r="G17" s="2987"/>
      <c r="H17" s="2987"/>
      <c r="I17" s="2987"/>
      <c r="J17" s="393">
        <v>0</v>
      </c>
      <c r="K17" s="393">
        <v>0</v>
      </c>
      <c r="L17" s="691"/>
      <c r="M17" s="691"/>
      <c r="N17" s="691"/>
    </row>
    <row r="18" spans="2:14" x14ac:dyDescent="0.2">
      <c r="B18" s="2987" t="s">
        <v>1566</v>
      </c>
      <c r="C18" s="2987"/>
      <c r="D18" s="2987"/>
      <c r="E18" s="2987"/>
      <c r="F18" s="2987"/>
      <c r="G18" s="2987"/>
      <c r="H18" s="2987"/>
      <c r="I18" s="2987"/>
      <c r="J18" s="393">
        <v>0</v>
      </c>
      <c r="K18" s="393">
        <v>0</v>
      </c>
      <c r="L18" s="691"/>
      <c r="M18" s="691"/>
      <c r="N18" s="691"/>
    </row>
    <row r="19" spans="2:14" x14ac:dyDescent="0.2">
      <c r="B19" s="2987" t="s">
        <v>1216</v>
      </c>
      <c r="C19" s="2987"/>
      <c r="D19" s="2987"/>
      <c r="E19" s="2987"/>
      <c r="F19" s="2987"/>
      <c r="G19" s="2987"/>
      <c r="H19" s="2987"/>
      <c r="I19" s="2987"/>
      <c r="J19" s="393">
        <v>0</v>
      </c>
      <c r="K19" s="393">
        <v>0</v>
      </c>
      <c r="L19" s="691"/>
      <c r="M19" s="691"/>
      <c r="N19" s="691"/>
    </row>
    <row r="20" spans="2:14" x14ac:dyDescent="0.2">
      <c r="B20" s="2987" t="s">
        <v>492</v>
      </c>
      <c r="C20" s="2987"/>
      <c r="D20" s="2987"/>
      <c r="E20" s="2987"/>
      <c r="F20" s="2987"/>
      <c r="G20" s="2987"/>
      <c r="H20" s="2987"/>
      <c r="I20" s="2987"/>
      <c r="J20" s="393">
        <v>0</v>
      </c>
      <c r="K20" s="393">
        <v>0</v>
      </c>
      <c r="L20" s="691"/>
      <c r="M20" s="691"/>
      <c r="N20" s="691"/>
    </row>
    <row r="21" spans="2:14" x14ac:dyDescent="0.2">
      <c r="B21" s="2987" t="s">
        <v>487</v>
      </c>
      <c r="C21" s="2987"/>
      <c r="D21" s="2987"/>
      <c r="E21" s="2987"/>
      <c r="F21" s="2987"/>
      <c r="G21" s="2987"/>
      <c r="H21" s="2987"/>
      <c r="I21" s="2987"/>
      <c r="J21" s="393">
        <v>0</v>
      </c>
      <c r="K21" s="393">
        <v>0</v>
      </c>
      <c r="L21" s="691"/>
      <c r="M21" s="691"/>
      <c r="N21" s="691"/>
    </row>
    <row r="22" spans="2:14" x14ac:dyDescent="0.2">
      <c r="B22" s="2987" t="s">
        <v>491</v>
      </c>
      <c r="C22" s="2987"/>
      <c r="D22" s="2987"/>
      <c r="E22" s="2987"/>
      <c r="F22" s="2987"/>
      <c r="G22" s="2987"/>
      <c r="H22" s="2987"/>
      <c r="I22" s="2987"/>
      <c r="J22" s="393">
        <v>0</v>
      </c>
      <c r="K22" s="393">
        <v>0</v>
      </c>
      <c r="L22" s="691"/>
      <c r="M22" s="691"/>
      <c r="N22" s="691"/>
    </row>
    <row r="23" spans="2:14" x14ac:dyDescent="0.2">
      <c r="B23" s="2987" t="s">
        <v>495</v>
      </c>
      <c r="C23" s="2987"/>
      <c r="D23" s="2987"/>
      <c r="E23" s="2987"/>
      <c r="F23" s="2987"/>
      <c r="G23" s="2987"/>
      <c r="H23" s="2987"/>
      <c r="I23" s="2987"/>
      <c r="J23" s="393">
        <v>0</v>
      </c>
      <c r="K23" s="393">
        <v>0</v>
      </c>
      <c r="L23" s="692"/>
      <c r="M23" s="692"/>
      <c r="N23" s="692"/>
    </row>
    <row r="24" spans="2:14" x14ac:dyDescent="0.2">
      <c r="B24" s="2988" t="s">
        <v>1850</v>
      </c>
      <c r="C24" s="2987"/>
      <c r="D24" s="2987"/>
      <c r="E24" s="2987"/>
      <c r="F24" s="2987"/>
      <c r="G24" s="2987"/>
      <c r="H24" s="2987"/>
      <c r="I24" s="2987"/>
      <c r="J24" s="393">
        <v>7988892.4299999997</v>
      </c>
      <c r="K24" s="1288">
        <v>40136965.57</v>
      </c>
      <c r="L24" s="693"/>
      <c r="M24" s="693"/>
      <c r="N24" s="693"/>
    </row>
    <row r="25" spans="2:14" x14ac:dyDescent="0.2">
      <c r="B25" s="2987" t="s">
        <v>1681</v>
      </c>
      <c r="C25" s="2987"/>
      <c r="D25" s="2987"/>
      <c r="E25" s="2987"/>
      <c r="F25" s="2987"/>
      <c r="G25" s="2987"/>
      <c r="H25" s="2987"/>
      <c r="I25" s="2987"/>
      <c r="J25" s="393">
        <v>0</v>
      </c>
      <c r="K25" s="1288">
        <v>0</v>
      </c>
      <c r="L25" s="693"/>
      <c r="M25" s="693"/>
      <c r="N25" s="693"/>
    </row>
    <row r="26" spans="2:14" x14ac:dyDescent="0.2">
      <c r="B26" s="2987" t="s">
        <v>1691</v>
      </c>
      <c r="C26" s="2987"/>
      <c r="D26" s="2987"/>
      <c r="E26" s="2987"/>
      <c r="F26" s="2987"/>
      <c r="G26" s="2987"/>
      <c r="H26" s="2987"/>
      <c r="I26" s="2987"/>
      <c r="J26" s="393">
        <v>40639376.659999996</v>
      </c>
      <c r="K26" s="1288">
        <v>204176145.34999999</v>
      </c>
      <c r="L26" s="693"/>
      <c r="M26" s="693"/>
      <c r="N26" s="693"/>
    </row>
    <row r="27" spans="2:14" x14ac:dyDescent="0.2">
      <c r="B27" s="2987" t="s">
        <v>1692</v>
      </c>
      <c r="C27" s="2987"/>
      <c r="D27" s="2987"/>
      <c r="E27" s="2987"/>
      <c r="F27" s="2987"/>
      <c r="G27" s="2987"/>
      <c r="H27" s="2987"/>
      <c r="I27" s="2987"/>
      <c r="J27" s="393">
        <v>343463706.67000002</v>
      </c>
      <c r="K27" s="1288">
        <v>1725594767.3099999</v>
      </c>
      <c r="L27" s="693"/>
      <c r="M27" s="693"/>
      <c r="N27" s="693"/>
    </row>
    <row r="28" spans="2:14" x14ac:dyDescent="0.2">
      <c r="B28" s="2987" t="s">
        <v>1401</v>
      </c>
      <c r="C28" s="2987"/>
      <c r="D28" s="2987"/>
      <c r="E28" s="2987"/>
      <c r="F28" s="2987"/>
      <c r="G28" s="2987"/>
      <c r="H28" s="2987"/>
      <c r="I28" s="2987"/>
      <c r="J28" s="393">
        <v>1381533393.1400001</v>
      </c>
      <c r="K28" s="1288">
        <v>10839205191.65</v>
      </c>
      <c r="L28" s="693"/>
      <c r="M28" s="693"/>
      <c r="N28" s="693"/>
    </row>
    <row r="29" spans="2:14" x14ac:dyDescent="0.2">
      <c r="B29" s="2987" t="s">
        <v>1403</v>
      </c>
      <c r="C29" s="2987"/>
      <c r="D29" s="2987"/>
      <c r="E29" s="2987"/>
      <c r="F29" s="2987"/>
      <c r="G29" s="2987"/>
      <c r="H29" s="2987"/>
      <c r="I29" s="2987"/>
      <c r="J29" s="393">
        <v>0</v>
      </c>
      <c r="K29" s="1288">
        <v>0</v>
      </c>
      <c r="L29" s="693"/>
      <c r="M29" s="693"/>
      <c r="N29" s="693"/>
    </row>
    <row r="30" spans="2:14" x14ac:dyDescent="0.2">
      <c r="B30" s="819" t="s">
        <v>198</v>
      </c>
      <c r="C30" s="819"/>
      <c r="D30"/>
      <c r="E30"/>
      <c r="F30"/>
      <c r="G30"/>
      <c r="H30"/>
      <c r="I30"/>
      <c r="J30"/>
      <c r="K30" s="1890"/>
      <c r="L30" s="693"/>
      <c r="M30" s="693"/>
      <c r="N30" s="693"/>
    </row>
    <row r="31" spans="2:14" x14ac:dyDescent="0.2">
      <c r="B31" s="2987" t="s">
        <v>829</v>
      </c>
      <c r="C31" s="2987"/>
      <c r="D31" s="2987"/>
      <c r="E31" s="2987"/>
      <c r="F31" s="2987"/>
      <c r="G31" s="2987"/>
      <c r="H31" s="2987"/>
      <c r="I31" s="2987"/>
      <c r="J31" s="393">
        <v>86.19</v>
      </c>
      <c r="K31" s="1288">
        <v>3854.11</v>
      </c>
      <c r="L31" s="693"/>
      <c r="M31" s="693"/>
      <c r="N31" s="693"/>
    </row>
    <row r="32" spans="2:14" x14ac:dyDescent="0.2">
      <c r="B32" s="2987" t="s">
        <v>830</v>
      </c>
      <c r="C32" s="2987"/>
      <c r="D32" s="2987"/>
      <c r="E32" s="2987"/>
      <c r="F32" s="2987"/>
      <c r="G32" s="2987"/>
      <c r="H32" s="2987"/>
      <c r="I32" s="2987"/>
      <c r="J32" s="393">
        <v>0</v>
      </c>
      <c r="K32" s="1288">
        <v>0</v>
      </c>
      <c r="L32" s="691"/>
      <c r="M32" s="691"/>
      <c r="N32" s="691"/>
    </row>
    <row r="33" spans="2:14" x14ac:dyDescent="0.2">
      <c r="B33" s="2987" t="s">
        <v>831</v>
      </c>
      <c r="C33" s="2987"/>
      <c r="D33" s="2987"/>
      <c r="E33" s="2987"/>
      <c r="F33" s="2987"/>
      <c r="G33" s="2987"/>
      <c r="H33" s="2987"/>
      <c r="I33" s="2987"/>
      <c r="J33" s="393">
        <v>1061351.3999999999</v>
      </c>
      <c r="K33" s="1288">
        <v>9805776.3100000005</v>
      </c>
      <c r="L33" s="691"/>
      <c r="M33" s="691"/>
      <c r="N33" s="691"/>
    </row>
    <row r="34" spans="2:14" x14ac:dyDescent="0.2">
      <c r="B34" s="2987" t="s">
        <v>549</v>
      </c>
      <c r="C34" s="2987"/>
      <c r="D34" s="2987"/>
      <c r="E34" s="2987"/>
      <c r="F34" s="2987"/>
      <c r="G34" s="2987"/>
      <c r="H34" s="2987"/>
      <c r="I34" s="2987"/>
      <c r="J34" s="393">
        <v>21588810.329999998</v>
      </c>
      <c r="K34" s="1288">
        <v>277902600.38999999</v>
      </c>
      <c r="L34" s="691"/>
      <c r="M34" s="691"/>
      <c r="N34" s="691"/>
    </row>
    <row r="35" spans="2:14" x14ac:dyDescent="0.2">
      <c r="B35" s="2987" t="s">
        <v>931</v>
      </c>
      <c r="C35" s="2987"/>
      <c r="D35" s="2987"/>
      <c r="E35" s="2987"/>
      <c r="F35" s="2987"/>
      <c r="G35" s="2987"/>
      <c r="H35" s="2987"/>
      <c r="I35" s="2987"/>
      <c r="J35" s="393">
        <v>0</v>
      </c>
      <c r="K35" s="393"/>
      <c r="L35" s="691"/>
      <c r="M35" s="691"/>
      <c r="N35" s="691"/>
    </row>
    <row r="36" spans="2:14" x14ac:dyDescent="0.2">
      <c r="B36" s="2987" t="s">
        <v>1095</v>
      </c>
      <c r="C36" s="2987"/>
      <c r="D36" s="2987"/>
      <c r="E36" s="2987"/>
      <c r="F36" s="2987"/>
      <c r="G36" s="2987"/>
      <c r="H36" s="2987"/>
      <c r="I36" s="2987"/>
      <c r="J36" s="393">
        <v>0</v>
      </c>
      <c r="K36" s="393">
        <v>0</v>
      </c>
      <c r="L36" s="691"/>
      <c r="M36" s="691"/>
      <c r="N36" s="691"/>
    </row>
    <row r="37" spans="2:14" x14ac:dyDescent="0.2">
      <c r="B37" s="2987" t="s">
        <v>484</v>
      </c>
      <c r="C37" s="2987"/>
      <c r="D37" s="2987"/>
      <c r="E37" s="2987"/>
      <c r="F37" s="2987"/>
      <c r="G37" s="2987"/>
      <c r="H37" s="2987"/>
      <c r="I37" s="2987"/>
      <c r="J37" s="393">
        <v>0</v>
      </c>
      <c r="K37" s="393">
        <v>0</v>
      </c>
      <c r="L37" s="691"/>
      <c r="M37" s="691"/>
      <c r="N37" s="691"/>
    </row>
    <row r="38" spans="2:14" x14ac:dyDescent="0.2">
      <c r="B38" s="2987" t="s">
        <v>485</v>
      </c>
      <c r="C38" s="2987"/>
      <c r="D38" s="2987"/>
      <c r="E38" s="2987"/>
      <c r="F38" s="2987"/>
      <c r="G38" s="2987"/>
      <c r="H38" s="2987"/>
      <c r="I38" s="2987"/>
      <c r="J38" s="843">
        <v>0</v>
      </c>
      <c r="K38" s="843">
        <v>0</v>
      </c>
      <c r="L38" s="692"/>
      <c r="M38" s="692"/>
      <c r="N38" s="692"/>
    </row>
    <row r="39" spans="2:14" x14ac:dyDescent="0.2">
      <c r="B39" s="3042" t="s">
        <v>272</v>
      </c>
      <c r="C39" s="3042"/>
      <c r="D39" s="3042"/>
      <c r="E39" s="3042"/>
      <c r="F39" s="3042"/>
      <c r="G39" s="3042"/>
      <c r="H39" s="3042"/>
      <c r="I39" s="3042"/>
      <c r="J39" s="706">
        <f>SUM(J10:J38)</f>
        <v>1796275616.8199999</v>
      </c>
      <c r="K39" s="706">
        <f>SUM(K10:K38)</f>
        <v>13096825300.690001</v>
      </c>
      <c r="L39" s="688"/>
      <c r="M39" s="688"/>
      <c r="N39" s="688"/>
    </row>
    <row r="40" spans="2:14" x14ac:dyDescent="0.2">
      <c r="B40" s="694"/>
      <c r="C40" s="686"/>
      <c r="J40" s="1260"/>
      <c r="K40" s="1260"/>
      <c r="L40" s="690"/>
      <c r="M40" s="690"/>
      <c r="N40" s="690"/>
    </row>
    <row r="41" spans="2:14" x14ac:dyDescent="0.2">
      <c r="B41" s="685" t="s">
        <v>486</v>
      </c>
      <c r="C41" s="686"/>
      <c r="J41" s="1260"/>
      <c r="K41" s="1260"/>
      <c r="L41" s="690"/>
      <c r="M41" s="690"/>
      <c r="N41" s="690"/>
    </row>
    <row r="42" spans="2:14" x14ac:dyDescent="0.2">
      <c r="B42" s="696" t="s">
        <v>275</v>
      </c>
      <c r="C42" s="686"/>
      <c r="J42" s="1260"/>
      <c r="K42" s="1260"/>
      <c r="L42" s="690"/>
      <c r="M42" s="690"/>
      <c r="N42" s="690"/>
    </row>
    <row r="43" spans="2:14" x14ac:dyDescent="0.2">
      <c r="B43" s="3043" t="s">
        <v>1060</v>
      </c>
      <c r="C43" s="3043"/>
      <c r="D43" s="3043"/>
      <c r="E43" s="3043"/>
      <c r="F43" s="3043"/>
      <c r="G43" s="3043"/>
      <c r="H43" s="3043"/>
      <c r="I43" s="3043"/>
      <c r="J43" s="393">
        <v>248343.51</v>
      </c>
      <c r="K43" s="393">
        <v>1247701.68</v>
      </c>
      <c r="L43" s="690"/>
      <c r="M43" s="690"/>
      <c r="N43" s="690"/>
    </row>
    <row r="44" spans="2:14" x14ac:dyDescent="0.2">
      <c r="B44" s="3043" t="s">
        <v>816</v>
      </c>
      <c r="C44" s="3043"/>
      <c r="D44" s="3043"/>
      <c r="E44" s="3043"/>
      <c r="F44" s="3043"/>
      <c r="G44" s="3043"/>
      <c r="H44" s="3043"/>
      <c r="I44" s="3043"/>
      <c r="J44" s="393">
        <v>0</v>
      </c>
      <c r="K44" s="393">
        <v>0</v>
      </c>
    </row>
    <row r="45" spans="2:14" x14ac:dyDescent="0.2">
      <c r="B45" s="3043" t="s">
        <v>1078</v>
      </c>
      <c r="C45" s="3043"/>
      <c r="D45" s="3043"/>
      <c r="E45" s="3043"/>
      <c r="F45" s="3043"/>
      <c r="G45" s="3043"/>
      <c r="H45" s="3043"/>
      <c r="I45" s="3043"/>
      <c r="J45" s="393">
        <v>0</v>
      </c>
      <c r="K45" s="393">
        <v>0</v>
      </c>
      <c r="L45" s="690"/>
      <c r="M45" s="690"/>
      <c r="N45" s="690"/>
    </row>
    <row r="46" spans="2:14" x14ac:dyDescent="0.2">
      <c r="B46" s="3041" t="s">
        <v>1402</v>
      </c>
      <c r="C46" s="3041"/>
      <c r="D46" s="3041"/>
      <c r="E46" s="3041"/>
      <c r="F46" s="3041"/>
      <c r="G46" s="3041"/>
      <c r="H46" s="3041"/>
      <c r="I46" s="3041"/>
      <c r="J46" s="393">
        <v>0</v>
      </c>
      <c r="K46" s="393">
        <v>0</v>
      </c>
      <c r="L46" s="690"/>
      <c r="M46" s="690"/>
      <c r="N46" s="690"/>
    </row>
    <row r="47" spans="2:14" x14ac:dyDescent="0.2">
      <c r="B47" s="3041" t="s">
        <v>569</v>
      </c>
      <c r="C47" s="3041"/>
      <c r="D47" s="3041"/>
      <c r="E47" s="3041"/>
      <c r="F47" s="3041"/>
      <c r="G47" s="3041"/>
      <c r="H47" s="3041"/>
      <c r="I47" s="3041"/>
      <c r="J47" s="393">
        <v>0</v>
      </c>
      <c r="K47" s="393">
        <v>0</v>
      </c>
      <c r="L47" s="690"/>
      <c r="M47" s="690"/>
      <c r="N47" s="690"/>
    </row>
    <row r="48" spans="2:14" x14ac:dyDescent="0.2">
      <c r="B48" s="3041" t="s">
        <v>739</v>
      </c>
      <c r="C48" s="3041"/>
      <c r="D48" s="3041"/>
      <c r="E48" s="3041"/>
      <c r="F48" s="3041"/>
      <c r="G48" s="3041"/>
      <c r="H48" s="3041"/>
      <c r="I48" s="3041"/>
      <c r="J48" s="393">
        <v>0</v>
      </c>
      <c r="K48" s="393">
        <v>0</v>
      </c>
      <c r="L48" s="690"/>
      <c r="M48" s="690"/>
      <c r="N48" s="690"/>
    </row>
    <row r="49" spans="2:14" x14ac:dyDescent="0.2">
      <c r="B49" s="3042" t="s">
        <v>701</v>
      </c>
      <c r="C49" s="3042"/>
      <c r="D49" s="3042"/>
      <c r="E49" s="3042"/>
      <c r="F49" s="3042"/>
      <c r="G49" s="3042"/>
      <c r="H49" s="3042"/>
      <c r="I49" s="3042"/>
      <c r="J49" s="393">
        <v>0</v>
      </c>
      <c r="K49" s="393">
        <v>0</v>
      </c>
      <c r="L49" s="691"/>
      <c r="M49" s="691"/>
      <c r="N49" s="691"/>
    </row>
    <row r="50" spans="2:14" x14ac:dyDescent="0.2">
      <c r="B50" s="3041" t="s">
        <v>80</v>
      </c>
      <c r="C50" s="3041"/>
      <c r="D50" s="3041"/>
      <c r="E50" s="3041"/>
      <c r="F50" s="3041"/>
      <c r="G50" s="3041"/>
      <c r="H50" s="3041"/>
      <c r="I50" s="3041"/>
      <c r="J50" s="843">
        <v>0</v>
      </c>
      <c r="K50" s="843">
        <v>0</v>
      </c>
      <c r="L50" s="691"/>
      <c r="M50" s="691"/>
      <c r="N50" s="691"/>
    </row>
    <row r="51" spans="2:14" x14ac:dyDescent="0.2">
      <c r="B51" s="3042" t="s">
        <v>791</v>
      </c>
      <c r="C51" s="3042"/>
      <c r="D51" s="3042"/>
      <c r="E51" s="3042"/>
      <c r="F51" s="3042"/>
      <c r="G51" s="3042"/>
      <c r="H51" s="3042"/>
      <c r="I51" s="3042"/>
      <c r="J51" s="706">
        <f>SUM(J42:J50)</f>
        <v>248343.51</v>
      </c>
      <c r="K51" s="706">
        <f>SUM(K42:K50)</f>
        <v>1247701.68</v>
      </c>
      <c r="L51" s="691"/>
      <c r="M51" s="691"/>
      <c r="N51" s="691"/>
    </row>
    <row r="52" spans="2:14" x14ac:dyDescent="0.2">
      <c r="B52" s="697"/>
      <c r="C52" s="697"/>
      <c r="J52" s="1261"/>
      <c r="K52" s="1261"/>
      <c r="L52" s="693"/>
      <c r="M52" s="693"/>
      <c r="N52" s="693"/>
    </row>
    <row r="53" spans="2:14" x14ac:dyDescent="0.2">
      <c r="B53" s="699" t="s">
        <v>1888</v>
      </c>
      <c r="J53" s="393"/>
      <c r="K53" s="393"/>
      <c r="L53" s="693"/>
      <c r="M53" s="693"/>
      <c r="N53" s="693"/>
    </row>
    <row r="54" spans="2:14" x14ac:dyDescent="0.2">
      <c r="B54" s="3045" t="s">
        <v>1079</v>
      </c>
      <c r="C54" s="3045"/>
      <c r="D54" s="3045"/>
      <c r="E54" s="3045"/>
      <c r="F54" s="3045"/>
      <c r="G54" s="3045"/>
      <c r="H54" s="3045"/>
      <c r="I54" s="3045"/>
      <c r="J54" s="393"/>
      <c r="K54" s="393"/>
      <c r="L54" s="693"/>
      <c r="M54" s="693"/>
      <c r="N54" s="693"/>
    </row>
    <row r="55" spans="2:14" x14ac:dyDescent="0.2">
      <c r="B55" s="3041" t="s">
        <v>832</v>
      </c>
      <c r="C55" s="3041"/>
      <c r="D55" s="3041"/>
      <c r="E55" s="3041"/>
      <c r="F55" s="3041"/>
      <c r="G55" s="3041"/>
      <c r="H55" s="3041"/>
      <c r="I55" s="3041"/>
      <c r="J55" s="393">
        <v>1796027273.3099999</v>
      </c>
      <c r="K55" s="393">
        <v>13095577599.01</v>
      </c>
      <c r="L55" s="693"/>
      <c r="M55" s="693"/>
      <c r="N55" s="693"/>
    </row>
    <row r="56" spans="2:14" ht="13.5" thickBot="1" x14ac:dyDescent="0.25">
      <c r="B56" s="3046" t="s">
        <v>1889</v>
      </c>
      <c r="C56" s="3047"/>
      <c r="D56" s="3047"/>
      <c r="E56" s="3047"/>
      <c r="F56" s="3047"/>
      <c r="G56" s="3047"/>
      <c r="H56" s="3047"/>
      <c r="I56" s="3047"/>
      <c r="J56" s="707">
        <f>SUM(J54:J55)</f>
        <v>1796027273.3099999</v>
      </c>
      <c r="K56" s="707">
        <f>SUM(K54:K55)</f>
        <v>13095577599.01</v>
      </c>
      <c r="L56" s="691"/>
      <c r="M56" s="691"/>
      <c r="N56" s="691"/>
    </row>
    <row r="57" spans="2:14" ht="13.5" thickTop="1" x14ac:dyDescent="0.2">
      <c r="B57" s="700"/>
      <c r="C57" s="700"/>
      <c r="D57" s="700"/>
      <c r="E57" s="700"/>
      <c r="F57" s="700"/>
      <c r="G57" s="700"/>
      <c r="H57" s="700"/>
      <c r="I57" s="700"/>
      <c r="J57" s="393"/>
      <c r="K57" s="393"/>
      <c r="L57" s="691"/>
      <c r="M57" s="691"/>
      <c r="N57" s="691"/>
    </row>
    <row r="58" spans="2:14" x14ac:dyDescent="0.2">
      <c r="B58" s="3046" t="s">
        <v>1899</v>
      </c>
      <c r="C58" s="3047"/>
      <c r="D58" s="3047"/>
      <c r="E58" s="3047"/>
      <c r="F58" s="3047"/>
      <c r="G58" s="3047"/>
      <c r="H58" s="3047"/>
      <c r="I58" s="3047"/>
      <c r="J58" s="1258" t="str">
        <f>IF(J39-J51=J56,"In Balance","NOT BALANCED")</f>
        <v>In Balance</v>
      </c>
      <c r="K58" s="1258" t="str">
        <f>IF(K39-K51=K56,"In Balance","NOT BALANCED")</f>
        <v>In Balance</v>
      </c>
      <c r="L58" s="691"/>
      <c r="M58" s="691"/>
      <c r="N58" s="691"/>
    </row>
    <row r="59" spans="2:14" x14ac:dyDescent="0.2">
      <c r="J59" s="393"/>
      <c r="K59" s="393"/>
      <c r="L59" s="691"/>
      <c r="M59" s="691"/>
      <c r="N59" s="691"/>
    </row>
    <row r="60" spans="2:14" x14ac:dyDescent="0.2">
      <c r="B60" s="702" t="s">
        <v>986</v>
      </c>
      <c r="J60" s="792" t="str">
        <f>CONCATENATE("FYE ",+TEXT(Data!$A$4,"mmmm d,yyyy"))</f>
        <v>FYE June 30,2021</v>
      </c>
      <c r="K60" s="792" t="str">
        <f>CONCATENATE("FYE ",+TEXT(Data!$A$4,"mmmm d,yyyy"))</f>
        <v>FYE June 30,2021</v>
      </c>
      <c r="L60" s="691"/>
      <c r="M60" s="691"/>
      <c r="N60" s="691"/>
    </row>
    <row r="61" spans="2:14" x14ac:dyDescent="0.2">
      <c r="B61" s="3044" t="s">
        <v>463</v>
      </c>
      <c r="C61" s="3044"/>
      <c r="D61" s="3044"/>
      <c r="E61" s="3044"/>
      <c r="F61" s="3044"/>
      <c r="G61" s="3044"/>
      <c r="H61" s="3044"/>
      <c r="I61" s="3044"/>
      <c r="J61" s="393"/>
      <c r="K61" s="393"/>
      <c r="L61" s="691"/>
      <c r="M61" s="691"/>
      <c r="N61" s="691"/>
    </row>
    <row r="62" spans="2:14" x14ac:dyDescent="0.2">
      <c r="B62" s="3048" t="s">
        <v>1081</v>
      </c>
      <c r="C62" s="3048"/>
      <c r="D62" s="3048"/>
      <c r="E62" s="3048"/>
      <c r="F62" s="3048"/>
      <c r="G62" s="3048"/>
      <c r="H62" s="3048"/>
      <c r="I62" s="3048"/>
      <c r="J62" s="842">
        <v>4301073.83</v>
      </c>
      <c r="K62" s="842">
        <v>238387145.72999999</v>
      </c>
      <c r="L62" s="691"/>
      <c r="M62" s="691"/>
      <c r="N62" s="691"/>
    </row>
    <row r="63" spans="2:14" x14ac:dyDescent="0.2">
      <c r="B63" s="3048" t="s">
        <v>1082</v>
      </c>
      <c r="C63" s="3048"/>
      <c r="D63" s="3048"/>
      <c r="E63" s="3048"/>
      <c r="F63" s="3048"/>
      <c r="G63" s="3048"/>
      <c r="H63" s="3048"/>
      <c r="I63" s="3048"/>
      <c r="J63" s="393">
        <v>79969153.569999993</v>
      </c>
      <c r="K63" s="393">
        <v>393663845.70999998</v>
      </c>
      <c r="L63" s="690"/>
      <c r="M63" s="690"/>
      <c r="N63" s="690"/>
    </row>
    <row r="64" spans="2:14" x14ac:dyDescent="0.2">
      <c r="B64" s="3049" t="s">
        <v>1083</v>
      </c>
      <c r="C64" s="3049"/>
      <c r="D64" s="3049"/>
      <c r="E64" s="3049"/>
      <c r="F64" s="3049"/>
      <c r="G64" s="3049"/>
      <c r="H64" s="3049"/>
      <c r="I64" s="3049"/>
      <c r="J64" s="393"/>
      <c r="K64" s="393">
        <v>0</v>
      </c>
      <c r="L64" s="690"/>
      <c r="M64" s="690"/>
      <c r="N64" s="690"/>
    </row>
    <row r="65" spans="2:14" x14ac:dyDescent="0.2">
      <c r="B65" s="3048" t="s">
        <v>1084</v>
      </c>
      <c r="C65" s="3048"/>
      <c r="D65" s="3048"/>
      <c r="E65" s="3048"/>
      <c r="F65" s="3048"/>
      <c r="G65" s="3048"/>
      <c r="H65" s="3048"/>
      <c r="I65" s="3048"/>
      <c r="J65" s="843">
        <v>0</v>
      </c>
      <c r="K65" s="843">
        <v>0</v>
      </c>
      <c r="L65" s="690"/>
      <c r="M65" s="690"/>
      <c r="N65" s="690"/>
    </row>
    <row r="66" spans="2:14" x14ac:dyDescent="0.2">
      <c r="B66" s="3048" t="s">
        <v>1080</v>
      </c>
      <c r="C66" s="3048"/>
      <c r="D66" s="3048"/>
      <c r="E66" s="3048"/>
      <c r="F66" s="3048"/>
      <c r="G66" s="3048"/>
      <c r="H66" s="3048"/>
      <c r="I66" s="3048"/>
      <c r="J66" s="706">
        <f>SUM(J62:J65)</f>
        <v>84270227.400000006</v>
      </c>
      <c r="K66" s="706">
        <f>SUM(K62:K65)</f>
        <v>632050991.44000006</v>
      </c>
      <c r="L66" s="690"/>
      <c r="M66" s="690"/>
      <c r="N66" s="690"/>
    </row>
    <row r="67" spans="2:14" x14ac:dyDescent="0.2">
      <c r="B67" s="3044" t="s">
        <v>464</v>
      </c>
      <c r="C67" s="3044"/>
      <c r="D67" s="3044"/>
      <c r="E67" s="3044"/>
      <c r="F67" s="3044"/>
      <c r="G67" s="3044"/>
      <c r="H67" s="3044"/>
      <c r="I67" s="3044"/>
      <c r="J67" s="393"/>
      <c r="K67" s="393"/>
      <c r="L67" s="690"/>
      <c r="M67" s="690"/>
      <c r="N67" s="690"/>
    </row>
    <row r="68" spans="2:14" x14ac:dyDescent="0.2">
      <c r="B68" s="3048" t="s">
        <v>1085</v>
      </c>
      <c r="C68" s="3048"/>
      <c r="D68" s="3048"/>
      <c r="E68" s="3048"/>
      <c r="F68" s="3048"/>
      <c r="G68" s="3048"/>
      <c r="H68" s="3048"/>
      <c r="I68" s="3048"/>
      <c r="J68" s="393">
        <v>207403402.94999999</v>
      </c>
      <c r="K68" s="393">
        <v>1557850091.25</v>
      </c>
    </row>
    <row r="69" spans="2:14" x14ac:dyDescent="0.2">
      <c r="B69" s="3048" t="s">
        <v>1086</v>
      </c>
      <c r="C69" s="3048"/>
      <c r="D69" s="3048"/>
      <c r="E69" s="3048"/>
      <c r="F69" s="3048"/>
      <c r="G69" s="3048"/>
      <c r="H69" s="3048"/>
      <c r="I69" s="3048"/>
      <c r="J69" s="843">
        <v>0</v>
      </c>
      <c r="K69" s="843">
        <v>0</v>
      </c>
      <c r="L69" s="703"/>
      <c r="M69" s="703"/>
      <c r="N69" s="703"/>
    </row>
    <row r="70" spans="2:14" x14ac:dyDescent="0.2">
      <c r="B70" s="3048" t="s">
        <v>1087</v>
      </c>
      <c r="C70" s="3048"/>
      <c r="D70" s="3048"/>
      <c r="E70" s="3048"/>
      <c r="F70" s="3048"/>
      <c r="G70" s="3048"/>
      <c r="H70" s="3048"/>
      <c r="I70" s="3048"/>
      <c r="J70" s="706">
        <f>SUM(J68:J69)</f>
        <v>207403402.94999999</v>
      </c>
      <c r="K70" s="706">
        <f>SUM(K68:K69)</f>
        <v>1557850091.25</v>
      </c>
      <c r="L70" s="703"/>
      <c r="M70" s="703"/>
      <c r="N70" s="703"/>
    </row>
    <row r="71" spans="2:14" x14ac:dyDescent="0.2">
      <c r="B71" s="3044" t="s">
        <v>465</v>
      </c>
      <c r="C71" s="3044"/>
      <c r="D71" s="3044"/>
      <c r="E71" s="3044"/>
      <c r="F71" s="3044"/>
      <c r="G71" s="3044"/>
      <c r="H71" s="3044"/>
      <c r="I71" s="3044"/>
      <c r="J71" s="393"/>
      <c r="K71" s="393"/>
      <c r="L71" s="693"/>
      <c r="M71" s="693"/>
      <c r="N71" s="693"/>
    </row>
    <row r="72" spans="2:14" x14ac:dyDescent="0.2">
      <c r="B72" s="3048" t="s">
        <v>1088</v>
      </c>
      <c r="C72" s="3048"/>
      <c r="D72" s="3048"/>
      <c r="E72" s="3048"/>
      <c r="F72" s="3048"/>
      <c r="G72" s="3048"/>
      <c r="H72" s="3048"/>
      <c r="I72" s="3048"/>
      <c r="J72" s="393">
        <v>0</v>
      </c>
      <c r="K72" s="393">
        <v>0</v>
      </c>
      <c r="L72" s="693"/>
      <c r="M72" s="693"/>
      <c r="N72" s="693"/>
    </row>
    <row r="73" spans="2:14" x14ac:dyDescent="0.2">
      <c r="B73" s="3048" t="s">
        <v>944</v>
      </c>
      <c r="C73" s="3048"/>
      <c r="D73" s="3048"/>
      <c r="E73" s="3048"/>
      <c r="F73" s="3048"/>
      <c r="G73" s="3048"/>
      <c r="H73" s="3048"/>
      <c r="I73" s="3048"/>
      <c r="J73" s="393">
        <v>1247575.3400000001</v>
      </c>
      <c r="K73" s="393">
        <v>16099508.27</v>
      </c>
      <c r="L73" s="693"/>
      <c r="M73" s="693"/>
      <c r="N73" s="693"/>
    </row>
    <row r="74" spans="2:14" x14ac:dyDescent="0.2">
      <c r="B74" s="3048" t="s">
        <v>945</v>
      </c>
      <c r="C74" s="3048"/>
      <c r="D74" s="3048"/>
      <c r="E74" s="3048"/>
      <c r="F74" s="3048"/>
      <c r="G74" s="3048"/>
      <c r="H74" s="3048"/>
      <c r="I74" s="3048"/>
      <c r="J74" s="393">
        <v>24399.67</v>
      </c>
      <c r="K74" s="393">
        <v>159235.10999999999</v>
      </c>
      <c r="L74" s="693"/>
      <c r="M74" s="693"/>
      <c r="N74" s="693"/>
    </row>
    <row r="75" spans="2:14" x14ac:dyDescent="0.2">
      <c r="B75" s="3048" t="s">
        <v>503</v>
      </c>
      <c r="C75" s="3048"/>
      <c r="D75" s="3048"/>
      <c r="E75" s="3048"/>
      <c r="F75" s="3048"/>
      <c r="G75" s="3048"/>
      <c r="H75" s="3048"/>
      <c r="I75" s="3048"/>
      <c r="J75" s="706">
        <f>SUM(J72:J74)</f>
        <v>1271975.01</v>
      </c>
      <c r="K75" s="706">
        <f>SUM(K72:K74)</f>
        <v>16258743.380000001</v>
      </c>
      <c r="L75" s="691"/>
      <c r="M75" s="691"/>
      <c r="N75" s="691"/>
    </row>
    <row r="76" spans="2:14" x14ac:dyDescent="0.2">
      <c r="B76" s="3048" t="s">
        <v>466</v>
      </c>
      <c r="C76" s="3048"/>
      <c r="D76" s="3048"/>
      <c r="E76" s="3048"/>
      <c r="F76" s="3048"/>
      <c r="G76" s="3048"/>
      <c r="H76" s="3048"/>
      <c r="I76" s="3048"/>
      <c r="J76" s="706">
        <f>J66+J70+J75</f>
        <v>292945605.36000001</v>
      </c>
      <c r="K76" s="706">
        <f>K66+K70+K75</f>
        <v>2206159826.0700002</v>
      </c>
      <c r="L76" s="691"/>
      <c r="M76" s="691"/>
      <c r="N76" s="691"/>
    </row>
    <row r="77" spans="2:14" x14ac:dyDescent="0.2">
      <c r="B77" s="690"/>
      <c r="J77" s="393"/>
      <c r="K77" s="393"/>
      <c r="L77" s="691"/>
      <c r="M77" s="691"/>
      <c r="N77" s="691"/>
    </row>
    <row r="78" spans="2:14" x14ac:dyDescent="0.2">
      <c r="B78" s="3050" t="s">
        <v>467</v>
      </c>
      <c r="C78" s="3050"/>
      <c r="D78" s="3050"/>
      <c r="E78" s="3050"/>
      <c r="F78" s="3050"/>
      <c r="G78" s="3050"/>
      <c r="H78" s="3050"/>
      <c r="I78" s="3050"/>
      <c r="J78" s="393"/>
      <c r="K78" s="393"/>
      <c r="L78" s="691"/>
      <c r="M78" s="691"/>
      <c r="N78" s="691"/>
    </row>
    <row r="79" spans="2:14" x14ac:dyDescent="0.2">
      <c r="B79" s="3048" t="s">
        <v>1171</v>
      </c>
      <c r="C79" s="3048"/>
      <c r="D79" s="3048"/>
      <c r="E79" s="3048"/>
      <c r="F79" s="3048"/>
      <c r="G79" s="3048"/>
      <c r="H79" s="3048"/>
      <c r="I79" s="3048"/>
      <c r="J79" s="393">
        <v>81117303.370000005</v>
      </c>
      <c r="K79" s="393">
        <v>803787462.57000005</v>
      </c>
      <c r="L79" s="691"/>
      <c r="M79" s="691"/>
      <c r="N79" s="691"/>
    </row>
    <row r="80" spans="2:14" x14ac:dyDescent="0.2">
      <c r="B80" s="3048" t="s">
        <v>468</v>
      </c>
      <c r="C80" s="3048"/>
      <c r="D80" s="3048"/>
      <c r="E80" s="3048"/>
      <c r="F80" s="3048"/>
      <c r="G80" s="3048"/>
      <c r="H80" s="3048"/>
      <c r="I80" s="3048"/>
      <c r="J80" s="393">
        <v>0</v>
      </c>
      <c r="K80" s="393">
        <v>0</v>
      </c>
      <c r="L80" s="691"/>
      <c r="M80" s="691"/>
      <c r="N80" s="691"/>
    </row>
    <row r="81" spans="2:14" x14ac:dyDescent="0.2">
      <c r="B81" s="3048" t="s">
        <v>469</v>
      </c>
      <c r="C81" s="3048"/>
      <c r="D81" s="3048"/>
      <c r="E81" s="3048"/>
      <c r="F81" s="3048"/>
      <c r="G81" s="3048"/>
      <c r="H81" s="3048"/>
      <c r="I81" s="3048"/>
      <c r="J81" s="393">
        <v>2119514.67</v>
      </c>
      <c r="K81" s="393">
        <v>10336964.42</v>
      </c>
      <c r="L81" s="691"/>
      <c r="M81" s="691"/>
      <c r="N81" s="691"/>
    </row>
    <row r="82" spans="2:14" x14ac:dyDescent="0.2">
      <c r="B82" s="3048" t="s">
        <v>470</v>
      </c>
      <c r="C82" s="3048"/>
      <c r="D82" s="3048"/>
      <c r="E82" s="3048"/>
      <c r="F82" s="3048"/>
      <c r="G82" s="3048"/>
      <c r="H82" s="3048"/>
      <c r="I82" s="3048"/>
      <c r="J82" s="843">
        <v>0</v>
      </c>
      <c r="K82" s="843">
        <v>0</v>
      </c>
      <c r="L82" s="691"/>
      <c r="M82" s="691"/>
      <c r="N82" s="691"/>
    </row>
    <row r="83" spans="2:14" x14ac:dyDescent="0.2">
      <c r="B83" s="3048" t="s">
        <v>504</v>
      </c>
      <c r="C83" s="3048"/>
      <c r="D83" s="3048"/>
      <c r="E83" s="3048"/>
      <c r="F83" s="3048"/>
      <c r="G83" s="3048"/>
      <c r="H83" s="3048"/>
      <c r="I83" s="3048"/>
      <c r="J83" s="706">
        <f>SUM(J79:J82)</f>
        <v>83236818.040000007</v>
      </c>
      <c r="K83" s="706">
        <f>SUM(K79:K82)</f>
        <v>814124426.99000001</v>
      </c>
      <c r="L83" s="691"/>
      <c r="M83" s="691"/>
      <c r="N83" s="691"/>
    </row>
    <row r="84" spans="2:14" x14ac:dyDescent="0.2">
      <c r="B84" s="3052" t="s">
        <v>1900</v>
      </c>
      <c r="C84" s="3048"/>
      <c r="D84" s="3048"/>
      <c r="E84" s="3048"/>
      <c r="F84" s="3048"/>
      <c r="G84" s="3048"/>
      <c r="H84" s="3048"/>
      <c r="I84" s="3048"/>
      <c r="J84" s="1064">
        <f>J76-J83</f>
        <v>209708787.31999999</v>
      </c>
      <c r="K84" s="1064">
        <f>K76-K83</f>
        <v>1392035399.0799999</v>
      </c>
      <c r="L84" s="691"/>
      <c r="M84" s="691"/>
      <c r="N84" s="691"/>
    </row>
    <row r="85" spans="2:14" x14ac:dyDescent="0.2">
      <c r="B85" s="3051" t="s">
        <v>3696</v>
      </c>
      <c r="C85" s="3041"/>
      <c r="D85" s="3041"/>
      <c r="E85" s="3041"/>
      <c r="F85" s="3041"/>
      <c r="G85" s="3041"/>
      <c r="H85" s="3041"/>
      <c r="I85" s="3041"/>
      <c r="J85" s="1065">
        <v>1586318485.99</v>
      </c>
      <c r="K85" s="1065">
        <v>11703542199.93</v>
      </c>
      <c r="L85" s="691"/>
      <c r="M85" s="691"/>
      <c r="N85" s="691"/>
    </row>
    <row r="86" spans="2:14" x14ac:dyDescent="0.2">
      <c r="B86" s="3041" t="s">
        <v>645</v>
      </c>
      <c r="C86" s="3041"/>
      <c r="D86" s="3041"/>
      <c r="E86" s="3041"/>
      <c r="F86" s="3041"/>
      <c r="G86" s="3041"/>
      <c r="H86" s="3041"/>
      <c r="I86" s="3041"/>
      <c r="J86" s="843">
        <v>0</v>
      </c>
      <c r="K86" s="843">
        <v>0</v>
      </c>
      <c r="L86" s="691"/>
      <c r="M86" s="691"/>
      <c r="N86" s="691"/>
    </row>
    <row r="87" spans="2:14" ht="13.5" thickBot="1" x14ac:dyDescent="0.25">
      <c r="B87" s="3051" t="s">
        <v>3697</v>
      </c>
      <c r="C87" s="3041"/>
      <c r="D87" s="3041"/>
      <c r="E87" s="3041"/>
      <c r="F87" s="3041"/>
      <c r="G87" s="3041"/>
      <c r="H87" s="3041"/>
      <c r="I87" s="3041"/>
      <c r="J87" s="708">
        <f>SUM(J84:J86)</f>
        <v>1796027273.3099999</v>
      </c>
      <c r="K87" s="708">
        <f>SUM(K84:K86)</f>
        <v>13095577599.01</v>
      </c>
      <c r="L87" s="692"/>
      <c r="M87" s="692"/>
      <c r="N87" s="692"/>
    </row>
    <row r="88" spans="2:14" ht="13.5" thickTop="1" x14ac:dyDescent="0.2">
      <c r="J88" s="393"/>
      <c r="K88" s="393"/>
      <c r="L88" s="704"/>
      <c r="M88" s="704"/>
      <c r="N88" s="704"/>
    </row>
    <row r="89" spans="2:14" x14ac:dyDescent="0.2">
      <c r="J89" s="393"/>
      <c r="K89" s="393"/>
      <c r="L89" s="692"/>
      <c r="M89" s="692"/>
      <c r="N89" s="692"/>
    </row>
    <row r="90" spans="2:14" x14ac:dyDescent="0.2">
      <c r="B90" s="3046" t="s">
        <v>3695</v>
      </c>
      <c r="C90" s="3047"/>
      <c r="D90" s="3047"/>
      <c r="E90" s="3047"/>
      <c r="F90" s="3047"/>
      <c r="G90" s="3047"/>
      <c r="H90" s="3047"/>
      <c r="I90" s="3047"/>
      <c r="J90" s="1258" t="str">
        <f>IF(J56=J87,"In Balance","NOT BALANCED")</f>
        <v>In Balance</v>
      </c>
      <c r="K90" s="1258" t="str">
        <f>IF(K56=K87,"In Balance","NOT BALANCED")</f>
        <v>In Balance</v>
      </c>
      <c r="L90" s="693"/>
      <c r="M90" s="693"/>
      <c r="N90" s="693"/>
    </row>
    <row r="91" spans="2:14" x14ac:dyDescent="0.2">
      <c r="K91" s="693"/>
      <c r="L91" s="693"/>
      <c r="M91" s="693"/>
      <c r="N91" s="693"/>
    </row>
    <row r="92" spans="2:14" x14ac:dyDescent="0.2">
      <c r="K92" s="691"/>
      <c r="L92" s="691"/>
      <c r="M92" s="691"/>
      <c r="N92" s="691"/>
    </row>
    <row r="93" spans="2:14" x14ac:dyDescent="0.2">
      <c r="K93" s="691"/>
      <c r="L93" s="691"/>
      <c r="M93" s="691"/>
      <c r="N93" s="691"/>
    </row>
    <row r="94" spans="2:14" x14ac:dyDescent="0.2">
      <c r="K94" s="691"/>
      <c r="L94" s="691"/>
      <c r="M94" s="691"/>
      <c r="N94" s="691"/>
    </row>
    <row r="95" spans="2:14" x14ac:dyDescent="0.2">
      <c r="K95" s="691"/>
      <c r="L95" s="691"/>
      <c r="M95" s="691"/>
      <c r="N95" s="691"/>
    </row>
    <row r="96" spans="2:14" x14ac:dyDescent="0.2">
      <c r="K96" s="691"/>
      <c r="L96" s="691"/>
      <c r="M96" s="691"/>
      <c r="N96" s="691"/>
    </row>
    <row r="97" spans="11:14" x14ac:dyDescent="0.2">
      <c r="K97" s="691"/>
      <c r="L97" s="691"/>
      <c r="M97" s="691"/>
      <c r="N97" s="691"/>
    </row>
    <row r="98" spans="11:14" x14ac:dyDescent="0.2">
      <c r="K98" s="691"/>
      <c r="L98" s="691"/>
      <c r="M98" s="691"/>
      <c r="N98" s="691"/>
    </row>
    <row r="99" spans="11:14" x14ac:dyDescent="0.2">
      <c r="K99" s="691"/>
      <c r="L99" s="691"/>
      <c r="M99" s="691"/>
      <c r="N99" s="691"/>
    </row>
    <row r="100" spans="11:14" x14ac:dyDescent="0.2">
      <c r="K100" s="691"/>
      <c r="L100" s="691"/>
      <c r="M100" s="691"/>
      <c r="N100" s="691"/>
    </row>
    <row r="101" spans="11:14" x14ac:dyDescent="0.2">
      <c r="K101" s="691"/>
      <c r="L101" s="691"/>
      <c r="M101" s="691"/>
      <c r="N101" s="691"/>
    </row>
    <row r="102" spans="11:14" x14ac:dyDescent="0.2">
      <c r="K102" s="692"/>
      <c r="L102" s="692"/>
      <c r="M102" s="692"/>
      <c r="N102" s="692"/>
    </row>
    <row r="103" spans="11:14" x14ac:dyDescent="0.2">
      <c r="K103" s="688"/>
      <c r="L103" s="688"/>
      <c r="M103" s="688"/>
      <c r="N103" s="688"/>
    </row>
    <row r="104" spans="11:14" x14ac:dyDescent="0.2">
      <c r="K104" s="691"/>
      <c r="L104" s="691"/>
      <c r="M104" s="691"/>
      <c r="N104" s="691"/>
    </row>
    <row r="105" spans="11:14" x14ac:dyDescent="0.2">
      <c r="K105" s="692"/>
      <c r="L105" s="692"/>
      <c r="M105" s="692"/>
      <c r="N105" s="692"/>
    </row>
    <row r="106" spans="11:14" x14ac:dyDescent="0.2">
      <c r="K106" s="692"/>
      <c r="L106" s="692"/>
      <c r="M106" s="692"/>
      <c r="N106" s="692"/>
    </row>
    <row r="107" spans="11:14" x14ac:dyDescent="0.2">
      <c r="K107" s="691"/>
      <c r="L107" s="691"/>
      <c r="M107" s="691"/>
      <c r="N107" s="691"/>
    </row>
    <row r="108" spans="11:14" x14ac:dyDescent="0.2">
      <c r="K108" s="692"/>
      <c r="L108" s="692"/>
      <c r="M108" s="692"/>
      <c r="N108" s="692"/>
    </row>
    <row r="109" spans="11:14" x14ac:dyDescent="0.2">
      <c r="K109" s="691"/>
      <c r="L109" s="691"/>
      <c r="M109" s="691"/>
      <c r="N109" s="691"/>
    </row>
    <row r="110" spans="11:14" x14ac:dyDescent="0.2">
      <c r="K110" s="691"/>
      <c r="L110" s="691"/>
      <c r="M110" s="691"/>
      <c r="N110" s="691"/>
    </row>
    <row r="111" spans="11:14" x14ac:dyDescent="0.2">
      <c r="K111" s="691"/>
      <c r="L111" s="691"/>
      <c r="M111" s="691"/>
      <c r="N111" s="691"/>
    </row>
    <row r="112" spans="11:14" x14ac:dyDescent="0.2">
      <c r="K112" s="691"/>
      <c r="L112" s="691"/>
      <c r="M112" s="691"/>
      <c r="N112" s="691"/>
    </row>
    <row r="113" spans="11:14" x14ac:dyDescent="0.2">
      <c r="K113" s="691"/>
      <c r="L113" s="691"/>
      <c r="M113" s="691"/>
      <c r="N113" s="691"/>
    </row>
    <row r="114" spans="11:14" x14ac:dyDescent="0.2">
      <c r="K114" s="691"/>
      <c r="L114" s="691"/>
      <c r="M114" s="691"/>
      <c r="N114" s="691"/>
    </row>
    <row r="115" spans="11:14" x14ac:dyDescent="0.2">
      <c r="K115" s="691"/>
      <c r="L115" s="691"/>
      <c r="M115" s="691"/>
      <c r="N115" s="691"/>
    </row>
    <row r="116" spans="11:14" x14ac:dyDescent="0.2">
      <c r="K116" s="691"/>
      <c r="L116" s="691"/>
      <c r="M116" s="691"/>
      <c r="N116" s="691"/>
    </row>
    <row r="117" spans="11:14" x14ac:dyDescent="0.2">
      <c r="K117" s="672"/>
      <c r="L117" s="672"/>
      <c r="M117" s="672"/>
      <c r="N117" s="672"/>
    </row>
    <row r="118" spans="11:14" x14ac:dyDescent="0.2">
      <c r="K118" s="672"/>
      <c r="L118" s="672"/>
      <c r="M118" s="672"/>
      <c r="N118" s="672"/>
    </row>
    <row r="120" spans="11:14" x14ac:dyDescent="0.2">
      <c r="K120" s="703"/>
      <c r="L120" s="703"/>
      <c r="M120" s="703"/>
      <c r="N120" s="703"/>
    </row>
    <row r="121" spans="11:14" x14ac:dyDescent="0.2">
      <c r="K121" s="703"/>
      <c r="L121" s="703"/>
      <c r="M121" s="703"/>
      <c r="N121" s="703"/>
    </row>
    <row r="122" spans="11:14" x14ac:dyDescent="0.2">
      <c r="K122" s="703"/>
      <c r="L122" s="703"/>
      <c r="M122" s="703"/>
      <c r="N122" s="703"/>
    </row>
    <row r="123" spans="11:14" x14ac:dyDescent="0.2">
      <c r="K123" s="703"/>
      <c r="L123" s="703"/>
      <c r="M123" s="703"/>
      <c r="N123" s="703"/>
    </row>
    <row r="124" spans="11:14" x14ac:dyDescent="0.2">
      <c r="K124" s="691"/>
      <c r="L124" s="691"/>
      <c r="M124" s="691"/>
      <c r="N124" s="691"/>
    </row>
    <row r="125" spans="11:14" x14ac:dyDescent="0.2">
      <c r="K125" s="705"/>
      <c r="L125" s="705"/>
      <c r="M125" s="705"/>
      <c r="N125" s="705"/>
    </row>
    <row r="126" spans="11:14" x14ac:dyDescent="0.2">
      <c r="K126" s="691"/>
      <c r="L126" s="691"/>
      <c r="M126" s="691"/>
      <c r="N126" s="691"/>
    </row>
    <row r="127" spans="11:14" x14ac:dyDescent="0.2">
      <c r="K127" s="691"/>
      <c r="L127" s="691"/>
      <c r="M127" s="691"/>
      <c r="N127" s="691"/>
    </row>
    <row r="128" spans="11:14" x14ac:dyDescent="0.2">
      <c r="K128" s="691"/>
      <c r="L128" s="691"/>
      <c r="M128" s="691"/>
      <c r="N128" s="691"/>
    </row>
    <row r="129" spans="11:14" x14ac:dyDescent="0.2">
      <c r="K129" s="691"/>
      <c r="L129" s="691"/>
      <c r="M129" s="691"/>
      <c r="N129" s="691"/>
    </row>
    <row r="130" spans="11:14" x14ac:dyDescent="0.2">
      <c r="K130" s="691"/>
      <c r="L130" s="691"/>
      <c r="M130" s="691"/>
      <c r="N130" s="691"/>
    </row>
    <row r="131" spans="11:14" x14ac:dyDescent="0.2">
      <c r="K131" s="691"/>
      <c r="L131" s="691"/>
      <c r="M131" s="691"/>
      <c r="N131" s="691"/>
    </row>
    <row r="132" spans="11:14" x14ac:dyDescent="0.2">
      <c r="K132" s="691"/>
      <c r="L132" s="691"/>
      <c r="M132" s="691"/>
      <c r="N132" s="691"/>
    </row>
    <row r="133" spans="11:14" x14ac:dyDescent="0.2">
      <c r="K133" s="691"/>
      <c r="L133" s="691"/>
      <c r="M133" s="691"/>
      <c r="N133" s="691"/>
    </row>
    <row r="134" spans="11:14" x14ac:dyDescent="0.2">
      <c r="K134" s="691"/>
      <c r="L134" s="691"/>
      <c r="M134" s="691"/>
      <c r="N134" s="691"/>
    </row>
    <row r="135" spans="11:14" x14ac:dyDescent="0.2">
      <c r="K135" s="705"/>
      <c r="L135" s="705"/>
      <c r="M135" s="705"/>
      <c r="N135" s="705"/>
    </row>
    <row r="136" spans="11:14" x14ac:dyDescent="0.2">
      <c r="K136" s="691"/>
      <c r="L136" s="691"/>
      <c r="M136" s="691"/>
      <c r="N136" s="691"/>
    </row>
    <row r="137" spans="11:14" x14ac:dyDescent="0.2">
      <c r="K137" s="691"/>
      <c r="L137" s="691"/>
      <c r="M137" s="691"/>
      <c r="N137" s="691"/>
    </row>
    <row r="138" spans="11:14" x14ac:dyDescent="0.2">
      <c r="K138" s="691"/>
      <c r="L138" s="691"/>
      <c r="M138" s="691"/>
      <c r="N138" s="691"/>
    </row>
    <row r="139" spans="11:14" x14ac:dyDescent="0.2">
      <c r="K139" s="691"/>
      <c r="L139" s="691"/>
      <c r="M139" s="691"/>
      <c r="N139" s="691"/>
    </row>
    <row r="140" spans="11:14" x14ac:dyDescent="0.2">
      <c r="K140" s="691"/>
      <c r="L140" s="691"/>
      <c r="M140" s="691"/>
      <c r="N140" s="691"/>
    </row>
    <row r="141" spans="11:14" x14ac:dyDescent="0.2">
      <c r="K141" s="691"/>
      <c r="L141" s="691"/>
      <c r="M141" s="691"/>
      <c r="N141" s="691"/>
    </row>
    <row r="142" spans="11:14" x14ac:dyDescent="0.2">
      <c r="K142" s="691"/>
      <c r="L142" s="691"/>
      <c r="M142" s="691"/>
      <c r="N142" s="691"/>
    </row>
    <row r="143" spans="11:14" x14ac:dyDescent="0.2">
      <c r="K143" s="691"/>
      <c r="L143" s="691"/>
      <c r="M143" s="691"/>
      <c r="N143" s="691"/>
    </row>
    <row r="144" spans="11:14" x14ac:dyDescent="0.2">
      <c r="K144" s="691"/>
      <c r="L144" s="691"/>
      <c r="M144" s="691"/>
      <c r="N144" s="691"/>
    </row>
    <row r="145" spans="11:14" x14ac:dyDescent="0.2">
      <c r="K145" s="691"/>
      <c r="L145" s="691"/>
      <c r="M145" s="691"/>
      <c r="N145" s="691"/>
    </row>
    <row r="146" spans="11:14" x14ac:dyDescent="0.2">
      <c r="K146" s="691"/>
      <c r="L146" s="691"/>
      <c r="M146" s="691"/>
      <c r="N146" s="691"/>
    </row>
    <row r="147" spans="11:14" x14ac:dyDescent="0.2">
      <c r="K147" s="688"/>
      <c r="L147" s="688"/>
      <c r="M147" s="688"/>
      <c r="N147" s="688"/>
    </row>
    <row r="148" spans="11:14" x14ac:dyDescent="0.2">
      <c r="K148" s="691"/>
      <c r="L148" s="691"/>
      <c r="M148" s="691"/>
      <c r="N148" s="691"/>
    </row>
    <row r="149" spans="11:14" x14ac:dyDescent="0.2">
      <c r="K149" s="691"/>
      <c r="L149" s="691"/>
      <c r="M149" s="691"/>
      <c r="N149" s="691"/>
    </row>
    <row r="150" spans="11:14" x14ac:dyDescent="0.2">
      <c r="K150" s="691"/>
      <c r="L150" s="691"/>
      <c r="M150" s="691"/>
      <c r="N150" s="691"/>
    </row>
    <row r="151" spans="11:14" x14ac:dyDescent="0.2">
      <c r="K151" s="691"/>
      <c r="L151" s="691"/>
      <c r="M151" s="691"/>
      <c r="N151" s="691"/>
    </row>
    <row r="152" spans="11:14" x14ac:dyDescent="0.2">
      <c r="K152" s="691"/>
      <c r="L152" s="691"/>
      <c r="M152" s="691"/>
      <c r="N152" s="691"/>
    </row>
    <row r="153" spans="11:14" x14ac:dyDescent="0.2">
      <c r="K153" s="691"/>
      <c r="L153" s="691"/>
      <c r="M153" s="691"/>
      <c r="N153" s="691"/>
    </row>
    <row r="154" spans="11:14" x14ac:dyDescent="0.2">
      <c r="K154" s="691"/>
      <c r="L154" s="691"/>
      <c r="M154" s="691"/>
      <c r="N154" s="691"/>
    </row>
    <row r="155" spans="11:14" x14ac:dyDescent="0.2">
      <c r="K155" s="691"/>
      <c r="L155" s="691"/>
      <c r="M155" s="691"/>
      <c r="N155" s="691"/>
    </row>
    <row r="156" spans="11:14" x14ac:dyDescent="0.2">
      <c r="K156" s="691"/>
      <c r="L156" s="691"/>
      <c r="M156" s="691"/>
      <c r="N156" s="691"/>
    </row>
    <row r="157" spans="11:14" x14ac:dyDescent="0.2">
      <c r="K157" s="691"/>
      <c r="L157" s="691"/>
      <c r="M157" s="691"/>
      <c r="N157" s="691"/>
    </row>
    <row r="158" spans="11:14" x14ac:dyDescent="0.2">
      <c r="K158" s="691"/>
      <c r="L158" s="691"/>
      <c r="M158" s="691"/>
      <c r="N158" s="691"/>
    </row>
    <row r="159" spans="11:14" x14ac:dyDescent="0.2">
      <c r="K159" s="691"/>
      <c r="L159" s="691"/>
      <c r="M159" s="691"/>
      <c r="N159" s="691"/>
    </row>
    <row r="160" spans="11:14" x14ac:dyDescent="0.2">
      <c r="K160" s="691"/>
      <c r="L160" s="691"/>
      <c r="M160" s="691"/>
      <c r="N160" s="691"/>
    </row>
    <row r="161" spans="11:14" x14ac:dyDescent="0.2">
      <c r="K161" s="691"/>
      <c r="L161" s="691"/>
      <c r="M161" s="691"/>
      <c r="N161" s="691"/>
    </row>
    <row r="162" spans="11:14" x14ac:dyDescent="0.2">
      <c r="K162" s="691"/>
      <c r="L162" s="691"/>
      <c r="M162" s="691"/>
      <c r="N162" s="691"/>
    </row>
    <row r="163" spans="11:14" x14ac:dyDescent="0.2">
      <c r="K163" s="691"/>
      <c r="L163" s="691"/>
      <c r="M163" s="691"/>
      <c r="N163" s="691"/>
    </row>
    <row r="164" spans="11:14" x14ac:dyDescent="0.2">
      <c r="K164" s="691"/>
      <c r="L164" s="691"/>
      <c r="M164" s="691"/>
      <c r="N164" s="691"/>
    </row>
    <row r="165" spans="11:14" x14ac:dyDescent="0.2">
      <c r="K165" s="691"/>
      <c r="L165" s="691"/>
      <c r="M165" s="691"/>
      <c r="N165" s="691"/>
    </row>
    <row r="166" spans="11:14" x14ac:dyDescent="0.2">
      <c r="K166" s="691"/>
      <c r="L166" s="691"/>
      <c r="M166" s="691"/>
      <c r="N166" s="691"/>
    </row>
    <row r="167" spans="11:14" x14ac:dyDescent="0.2">
      <c r="K167" s="691"/>
      <c r="L167" s="691"/>
      <c r="M167" s="691"/>
      <c r="N167" s="691"/>
    </row>
    <row r="168" spans="11:14" x14ac:dyDescent="0.2">
      <c r="K168" s="691"/>
      <c r="L168" s="691"/>
      <c r="M168" s="691"/>
      <c r="N168" s="691"/>
    </row>
    <row r="169" spans="11:14" x14ac:dyDescent="0.2">
      <c r="K169" s="691"/>
      <c r="L169" s="691"/>
      <c r="M169" s="691"/>
      <c r="N169" s="691"/>
    </row>
  </sheetData>
  <sheetProtection algorithmName="SHA-512" hashValue="9xlbYmScQod6UD9a5VYBkSMgpoVMjPSR/AffvXGx0efOxynSLea2tAin3Tbisc6qDNu0dzR/uDTtlP/9v7x9aw==" saltValue="jDSxu0k3RF/gN+X9bsgioA==" spinCount="100000" sheet="1" objects="1" scenarios="1" autoFilter="0"/>
  <mergeCells count="74">
    <mergeCell ref="B87:I87"/>
    <mergeCell ref="B90:I90"/>
    <mergeCell ref="B81:I81"/>
    <mergeCell ref="B82:I82"/>
    <mergeCell ref="B83:I83"/>
    <mergeCell ref="B84:I84"/>
    <mergeCell ref="B85:I85"/>
    <mergeCell ref="B86:I86"/>
    <mergeCell ref="B80:I80"/>
    <mergeCell ref="B68:I68"/>
    <mergeCell ref="B69:I69"/>
    <mergeCell ref="B70:I70"/>
    <mergeCell ref="B71:I71"/>
    <mergeCell ref="B72:I72"/>
    <mergeCell ref="B73:I73"/>
    <mergeCell ref="B74:I74"/>
    <mergeCell ref="B75:I75"/>
    <mergeCell ref="B76:I76"/>
    <mergeCell ref="B78:I78"/>
    <mergeCell ref="B79:I79"/>
    <mergeCell ref="B67:I67"/>
    <mergeCell ref="B51:I51"/>
    <mergeCell ref="B54:I54"/>
    <mergeCell ref="B55:I55"/>
    <mergeCell ref="B56:I56"/>
    <mergeCell ref="B58:I58"/>
    <mergeCell ref="B61:I61"/>
    <mergeCell ref="B62:I62"/>
    <mergeCell ref="B63:I63"/>
    <mergeCell ref="B64:I64"/>
    <mergeCell ref="B65:I65"/>
    <mergeCell ref="B66:I66"/>
    <mergeCell ref="B50:I50"/>
    <mergeCell ref="B36:I36"/>
    <mergeCell ref="B37:I37"/>
    <mergeCell ref="B38:I38"/>
    <mergeCell ref="B39:I39"/>
    <mergeCell ref="B43:I43"/>
    <mergeCell ref="B44:I44"/>
    <mergeCell ref="B45:I45"/>
    <mergeCell ref="B46:I46"/>
    <mergeCell ref="B47:I47"/>
    <mergeCell ref="B48:I48"/>
    <mergeCell ref="B49:I49"/>
    <mergeCell ref="B35:I35"/>
    <mergeCell ref="B23:I23"/>
    <mergeCell ref="B24:I24"/>
    <mergeCell ref="B25:I25"/>
    <mergeCell ref="B26:I26"/>
    <mergeCell ref="B27:I27"/>
    <mergeCell ref="B28:I28"/>
    <mergeCell ref="B29:I29"/>
    <mergeCell ref="B31:I31"/>
    <mergeCell ref="B32:I32"/>
    <mergeCell ref="B33:I33"/>
    <mergeCell ref="B34:I34"/>
    <mergeCell ref="B22:I22"/>
    <mergeCell ref="G7:J7"/>
    <mergeCell ref="B11:I11"/>
    <mergeCell ref="B13:I13"/>
    <mergeCell ref="B14:I14"/>
    <mergeCell ref="B15:I15"/>
    <mergeCell ref="B16:I16"/>
    <mergeCell ref="B17:I17"/>
    <mergeCell ref="B18:I18"/>
    <mergeCell ref="B19:I19"/>
    <mergeCell ref="B20:I20"/>
    <mergeCell ref="B21:I21"/>
    <mergeCell ref="D6:G6"/>
    <mergeCell ref="B1:J1"/>
    <mergeCell ref="K1:K3"/>
    <mergeCell ref="B2:J2"/>
    <mergeCell ref="B3:J3"/>
    <mergeCell ref="H5:J5"/>
  </mergeCells>
  <conditionalFormatting sqref="K1:K3">
    <cfRule type="cellIs" dxfId="0" priority="1" stopIfTrue="1" operator="equal">
      <formula>"na"</formula>
    </cfRule>
  </conditionalFormatting>
  <hyperlinks>
    <hyperlink ref="B1:J1" location="Index!A1" display="Index!A1" xr:uid="{00000000-0004-0000-5B00-000000000000}"/>
  </hyperlinks>
  <printOptions headings="1" gridLines="1"/>
  <pageMargins left="0.75" right="0.5" top="0.5" bottom="0.5" header="0.5" footer="0.25"/>
  <pageSetup scale="87" fitToHeight="2" orientation="portrait" r:id="rId1"/>
  <headerFooter alignWithMargins="0">
    <oddFooter>&amp;R&amp;A (&amp;P of &amp;N)</oddFooter>
  </headerFooter>
  <rowBreaks count="1" manualBreakCount="1">
    <brk id="59" min="1" max="10" man="1"/>
  </rowBreaks>
  <legacy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7">
    <tabColor rgb="FFFFFF00"/>
  </sheetPr>
  <dimension ref="A1:T149"/>
  <sheetViews>
    <sheetView topLeftCell="B1" zoomScaleNormal="100" workbookViewId="0">
      <pane ySplit="2" topLeftCell="A117" activePane="bottomLeft" state="frozen"/>
      <selection sqref="A1:E1"/>
      <selection pane="bottomLeft" activeCell="K128" sqref="K128"/>
    </sheetView>
  </sheetViews>
  <sheetFormatPr defaultColWidth="9.42578125" defaultRowHeight="15.75" x14ac:dyDescent="0.25"/>
  <cols>
    <col min="1" max="1" width="11.42578125" style="390" hidden="1" customWidth="1"/>
    <col min="2" max="2" width="8.5703125" style="390" customWidth="1"/>
    <col min="3" max="3" width="15.5703125" style="390" customWidth="1"/>
    <col min="4" max="4" width="42.42578125" style="390" customWidth="1"/>
    <col min="5" max="6" width="10.5703125" style="390" customWidth="1"/>
    <col min="7" max="7" width="21.5703125" style="841" bestFit="1" customWidth="1"/>
    <col min="8" max="8" width="21.5703125" style="841" customWidth="1"/>
    <col min="9" max="9" width="34.5703125" style="841" bestFit="1" customWidth="1"/>
    <col min="10" max="10" width="15.5703125" style="390" customWidth="1"/>
    <col min="11" max="11" width="69.42578125" style="390" customWidth="1"/>
    <col min="12" max="13" width="9.42578125" style="390"/>
    <col min="14" max="20" width="9.42578125" style="841"/>
    <col min="21" max="16384" width="9.42578125" style="390"/>
  </cols>
  <sheetData>
    <row r="1" spans="1:20" ht="31.5" x14ac:dyDescent="0.25">
      <c r="B1" s="391"/>
      <c r="C1" s="1055"/>
      <c r="D1" s="1209" t="s">
        <v>1007</v>
      </c>
      <c r="E1" s="1054"/>
      <c r="F1" s="1059"/>
      <c r="G1" s="1060"/>
      <c r="J1" s="1060" t="s">
        <v>427</v>
      </c>
    </row>
    <row r="2" spans="1:20" ht="33" customHeight="1" x14ac:dyDescent="0.25">
      <c r="A2" s="390" t="s">
        <v>195</v>
      </c>
      <c r="B2" s="391" t="s">
        <v>1173</v>
      </c>
      <c r="C2" s="1056" t="s">
        <v>1466</v>
      </c>
      <c r="D2" s="1057" t="s">
        <v>5327</v>
      </c>
      <c r="E2" s="1058" t="s">
        <v>1467</v>
      </c>
      <c r="F2" s="1060" t="s">
        <v>1468</v>
      </c>
      <c r="G2" s="1060" t="s">
        <v>4952</v>
      </c>
      <c r="H2" s="1060" t="s">
        <v>4953</v>
      </c>
      <c r="I2" s="1060"/>
      <c r="J2" s="1060" t="s">
        <v>4954</v>
      </c>
      <c r="K2" s="1059" t="s">
        <v>5631</v>
      </c>
      <c r="N2" s="841" t="s">
        <v>1755</v>
      </c>
      <c r="O2" s="841" t="s">
        <v>5169</v>
      </c>
      <c r="S2" s="841" t="s">
        <v>1130</v>
      </c>
      <c r="T2" s="841" t="s">
        <v>5170</v>
      </c>
    </row>
    <row r="3" spans="1:20" x14ac:dyDescent="0.25">
      <c r="A3" s="390" t="str">
        <f t="shared" ref="A3:A34" si="0">C3&amp;" "&amp;D3</f>
        <v>01 North Carolina General Assembly</v>
      </c>
      <c r="B3" s="391">
        <v>1</v>
      </c>
      <c r="C3" s="391" t="str">
        <f t="shared" ref="C3:C46" si="1">TEXT(B3,"00")</f>
        <v>01</v>
      </c>
      <c r="D3" s="390" t="s">
        <v>237</v>
      </c>
      <c r="E3" s="390" t="s">
        <v>925</v>
      </c>
      <c r="F3" s="390" t="s">
        <v>1155</v>
      </c>
      <c r="G3" s="1162" t="s">
        <v>4765</v>
      </c>
      <c r="H3" s="841" t="s">
        <v>4766</v>
      </c>
      <c r="I3" s="2363" t="s">
        <v>5789</v>
      </c>
      <c r="J3" s="764"/>
      <c r="N3" s="2204" t="str">
        <f>C3</f>
        <v>01</v>
      </c>
      <c r="O3" s="2205" t="s">
        <v>5171</v>
      </c>
      <c r="S3" s="841" t="s">
        <v>401</v>
      </c>
      <c r="T3" s="841" t="s">
        <v>401</v>
      </c>
    </row>
    <row r="4" spans="1:20" x14ac:dyDescent="0.25">
      <c r="A4" s="390" t="str">
        <f t="shared" si="0"/>
        <v>02 Administrative Office of the Courts</v>
      </c>
      <c r="B4" s="391">
        <v>2</v>
      </c>
      <c r="C4" s="391" t="str">
        <f t="shared" si="1"/>
        <v>02</v>
      </c>
      <c r="D4" s="390" t="s">
        <v>1178</v>
      </c>
      <c r="E4" s="390" t="s">
        <v>925</v>
      </c>
      <c r="F4" s="390" t="s">
        <v>1155</v>
      </c>
      <c r="G4" s="1162" t="s">
        <v>5318</v>
      </c>
      <c r="H4" s="841" t="s">
        <v>5319</v>
      </c>
      <c r="J4" s="764"/>
      <c r="K4" s="841"/>
      <c r="N4" s="2204" t="str">
        <f t="shared" ref="N4:N10" si="2">C4</f>
        <v>02</v>
      </c>
      <c r="O4" s="2205" t="s">
        <v>5172</v>
      </c>
      <c r="S4" s="841" t="s">
        <v>402</v>
      </c>
      <c r="T4" s="841" t="s">
        <v>402</v>
      </c>
    </row>
    <row r="5" spans="1:20" x14ac:dyDescent="0.25">
      <c r="A5" s="390" t="str">
        <f t="shared" si="0"/>
        <v>03 Office of the Governor</v>
      </c>
      <c r="B5" s="391">
        <v>3</v>
      </c>
      <c r="C5" s="391" t="str">
        <f t="shared" si="1"/>
        <v>03</v>
      </c>
      <c r="D5" s="390" t="s">
        <v>1179</v>
      </c>
      <c r="E5" s="390" t="s">
        <v>925</v>
      </c>
      <c r="F5" s="390" t="s">
        <v>1155</v>
      </c>
      <c r="G5" s="1162" t="s">
        <v>4483</v>
      </c>
      <c r="H5" s="841" t="s">
        <v>4769</v>
      </c>
      <c r="I5" s="2363" t="s">
        <v>5788</v>
      </c>
      <c r="J5" s="764"/>
      <c r="N5" s="2204" t="str">
        <f t="shared" si="2"/>
        <v>03</v>
      </c>
      <c r="O5" s="2205" t="s">
        <v>5173</v>
      </c>
      <c r="S5" s="841" t="s">
        <v>403</v>
      </c>
      <c r="T5" s="841" t="s">
        <v>403</v>
      </c>
    </row>
    <row r="6" spans="1:20" x14ac:dyDescent="0.25">
      <c r="A6" s="390" t="str">
        <f t="shared" si="0"/>
        <v>04 Office of Lieutenant Governor</v>
      </c>
      <c r="B6" s="391">
        <v>4</v>
      </c>
      <c r="C6" s="391" t="str">
        <f t="shared" si="1"/>
        <v>04</v>
      </c>
      <c r="D6" s="390" t="s">
        <v>1180</v>
      </c>
      <c r="E6" s="390" t="s">
        <v>925</v>
      </c>
      <c r="F6" s="390" t="s">
        <v>1155</v>
      </c>
      <c r="G6" s="1162" t="s">
        <v>5699</v>
      </c>
      <c r="H6" s="841" t="s">
        <v>5700</v>
      </c>
      <c r="I6" s="841" t="s">
        <v>5861</v>
      </c>
      <c r="J6" s="764"/>
      <c r="N6" s="2204" t="str">
        <f t="shared" si="2"/>
        <v>04</v>
      </c>
      <c r="O6" s="2205" t="s">
        <v>5174</v>
      </c>
      <c r="S6" s="841" t="s">
        <v>404</v>
      </c>
      <c r="T6" s="841" t="s">
        <v>404</v>
      </c>
    </row>
    <row r="7" spans="1:20" x14ac:dyDescent="0.25">
      <c r="A7" s="390" t="str">
        <f t="shared" si="0"/>
        <v>05 Office of the Secretary of State</v>
      </c>
      <c r="B7" s="391">
        <v>5</v>
      </c>
      <c r="C7" s="391" t="str">
        <f t="shared" si="1"/>
        <v>05</v>
      </c>
      <c r="D7" s="390" t="s">
        <v>238</v>
      </c>
      <c r="E7" s="390" t="s">
        <v>925</v>
      </c>
      <c r="F7" s="390" t="s">
        <v>1155</v>
      </c>
      <c r="G7" s="1162" t="s">
        <v>5850</v>
      </c>
      <c r="H7" s="841" t="s">
        <v>5852</v>
      </c>
      <c r="I7" s="1162" t="s">
        <v>5851</v>
      </c>
      <c r="J7" s="764"/>
      <c r="N7" s="2204" t="str">
        <f t="shared" si="2"/>
        <v>05</v>
      </c>
      <c r="O7" s="2205" t="s">
        <v>5175</v>
      </c>
      <c r="S7" s="841" t="s">
        <v>405</v>
      </c>
      <c r="T7" s="841" t="s">
        <v>405</v>
      </c>
    </row>
    <row r="8" spans="1:20" x14ac:dyDescent="0.25">
      <c r="A8" s="390" t="str">
        <f t="shared" si="0"/>
        <v>06 Office of the State Auditor</v>
      </c>
      <c r="B8" s="391">
        <v>6</v>
      </c>
      <c r="C8" s="391" t="str">
        <f t="shared" si="1"/>
        <v>06</v>
      </c>
      <c r="D8" s="390" t="s">
        <v>217</v>
      </c>
      <c r="E8" s="390" t="s">
        <v>925</v>
      </c>
      <c r="F8" s="390" t="s">
        <v>1155</v>
      </c>
      <c r="G8" s="1162" t="s">
        <v>5234</v>
      </c>
      <c r="H8" s="841" t="s">
        <v>5235</v>
      </c>
      <c r="I8" s="2363" t="s">
        <v>5862</v>
      </c>
      <c r="J8" s="764"/>
      <c r="L8" s="390" t="b">
        <f t="shared" ref="L8:L32" si="3">ISTEXT(B8)</f>
        <v>0</v>
      </c>
      <c r="M8" s="390" t="b">
        <f t="shared" ref="M8:M32" si="4">ISTEXT(C8)</f>
        <v>1</v>
      </c>
      <c r="N8" s="2204" t="str">
        <f t="shared" si="2"/>
        <v>06</v>
      </c>
      <c r="O8" s="2205" t="s">
        <v>5176</v>
      </c>
      <c r="S8" s="841" t="s">
        <v>406</v>
      </c>
      <c r="T8" s="841" t="s">
        <v>406</v>
      </c>
    </row>
    <row r="9" spans="1:20" ht="16.5" customHeight="1" x14ac:dyDescent="0.25">
      <c r="A9" s="390" t="str">
        <f t="shared" si="0"/>
        <v xml:space="preserve">07 Department of the State Treasurer </v>
      </c>
      <c r="B9" s="391">
        <v>7</v>
      </c>
      <c r="C9" s="391" t="str">
        <f t="shared" si="1"/>
        <v>07</v>
      </c>
      <c r="D9" s="390" t="s">
        <v>56</v>
      </c>
      <c r="E9" s="390" t="s">
        <v>925</v>
      </c>
      <c r="F9" s="390" t="s">
        <v>1155</v>
      </c>
      <c r="G9" s="1162" t="s">
        <v>3687</v>
      </c>
      <c r="H9" s="841" t="s">
        <v>4175</v>
      </c>
      <c r="I9" s="2363" t="s">
        <v>5769</v>
      </c>
      <c r="J9" s="765"/>
      <c r="K9" s="1163"/>
      <c r="L9" s="390" t="b">
        <f t="shared" si="3"/>
        <v>0</v>
      </c>
      <c r="M9" s="390" t="b">
        <f t="shared" si="4"/>
        <v>1</v>
      </c>
      <c r="N9" s="2204" t="str">
        <f t="shared" si="2"/>
        <v>07</v>
      </c>
      <c r="O9" s="2205" t="s">
        <v>5177</v>
      </c>
      <c r="S9" s="841" t="s">
        <v>64</v>
      </c>
      <c r="T9" s="841" t="s">
        <v>64</v>
      </c>
    </row>
    <row r="10" spans="1:20" ht="16.5" customHeight="1" x14ac:dyDescent="0.25">
      <c r="A10" s="390" t="str">
        <f t="shared" si="0"/>
        <v>07 State Health Plan</v>
      </c>
      <c r="B10" s="391">
        <v>7</v>
      </c>
      <c r="C10" s="391" t="str">
        <f t="shared" si="1"/>
        <v>07</v>
      </c>
      <c r="D10" s="1868" t="s">
        <v>4476</v>
      </c>
      <c r="E10" s="841" t="s">
        <v>4477</v>
      </c>
      <c r="F10" s="390" t="s">
        <v>1155</v>
      </c>
      <c r="G10" s="1162" t="s">
        <v>3687</v>
      </c>
      <c r="H10" s="841" t="s">
        <v>4175</v>
      </c>
      <c r="I10" s="2363" t="s">
        <v>5769</v>
      </c>
      <c r="J10" s="764">
        <v>2629</v>
      </c>
      <c r="K10" s="1163"/>
      <c r="L10" s="390" t="b">
        <f t="shared" si="3"/>
        <v>0</v>
      </c>
      <c r="M10" s="390" t="b">
        <f t="shared" si="4"/>
        <v>1</v>
      </c>
      <c r="N10" s="2204" t="str">
        <f t="shared" si="2"/>
        <v>07</v>
      </c>
      <c r="O10" s="2205" t="s">
        <v>5177</v>
      </c>
      <c r="S10" s="841" t="s">
        <v>65</v>
      </c>
      <c r="T10" s="841" t="s">
        <v>65</v>
      </c>
    </row>
    <row r="11" spans="1:20" ht="17.25" customHeight="1" x14ac:dyDescent="0.25">
      <c r="A11" s="390" t="str">
        <f t="shared" si="0"/>
        <v xml:space="preserve">08 Department of Public Instruction </v>
      </c>
      <c r="B11" s="391">
        <v>8</v>
      </c>
      <c r="C11" s="391" t="str">
        <f t="shared" si="1"/>
        <v>08</v>
      </c>
      <c r="D11" s="390" t="s">
        <v>749</v>
      </c>
      <c r="E11" s="390" t="s">
        <v>925</v>
      </c>
      <c r="F11" s="390" t="s">
        <v>1155</v>
      </c>
      <c r="G11" s="1162" t="s">
        <v>3534</v>
      </c>
      <c r="H11" s="841" t="s">
        <v>4629</v>
      </c>
      <c r="I11" s="1162" t="s">
        <v>5853</v>
      </c>
      <c r="J11" s="765"/>
      <c r="L11" s="390" t="b">
        <f t="shared" si="3"/>
        <v>0</v>
      </c>
      <c r="M11" s="390" t="b">
        <f t="shared" si="4"/>
        <v>1</v>
      </c>
      <c r="N11" s="2204" t="str">
        <f t="shared" ref="N11:N42" si="5">C11</f>
        <v>08</v>
      </c>
      <c r="O11" s="2205" t="s">
        <v>5178</v>
      </c>
      <c r="S11" s="841" t="s">
        <v>66</v>
      </c>
      <c r="T11" s="841" t="s">
        <v>66</v>
      </c>
    </row>
    <row r="12" spans="1:20" x14ac:dyDescent="0.25">
      <c r="A12" s="390" t="str">
        <f t="shared" si="0"/>
        <v xml:space="preserve">09 Department of Justice </v>
      </c>
      <c r="B12" s="391">
        <v>9</v>
      </c>
      <c r="C12" s="391" t="str">
        <f t="shared" si="1"/>
        <v>09</v>
      </c>
      <c r="D12" s="390" t="s">
        <v>305</v>
      </c>
      <c r="E12" s="390" t="s">
        <v>925</v>
      </c>
      <c r="F12" s="390" t="s">
        <v>1155</v>
      </c>
      <c r="G12" s="1162" t="s">
        <v>4141</v>
      </c>
      <c r="H12" s="1648" t="s">
        <v>4142</v>
      </c>
      <c r="I12" s="2369" t="s">
        <v>5869</v>
      </c>
      <c r="J12" s="764"/>
      <c r="L12" s="390" t="b">
        <f t="shared" si="3"/>
        <v>0</v>
      </c>
      <c r="M12" s="390" t="b">
        <f t="shared" si="4"/>
        <v>1</v>
      </c>
      <c r="N12" s="2204" t="str">
        <f t="shared" si="5"/>
        <v>09</v>
      </c>
      <c r="O12" s="2205" t="s">
        <v>5179</v>
      </c>
      <c r="S12" s="841" t="s">
        <v>67</v>
      </c>
      <c r="T12" s="841" t="s">
        <v>67</v>
      </c>
    </row>
    <row r="13" spans="1:20" x14ac:dyDescent="0.25">
      <c r="A13" s="390" t="str">
        <f t="shared" si="0"/>
        <v>10 Department of Agriculture</v>
      </c>
      <c r="B13" s="391">
        <v>10</v>
      </c>
      <c r="C13" s="391" t="str">
        <f t="shared" si="1"/>
        <v>10</v>
      </c>
      <c r="D13" s="390" t="s">
        <v>306</v>
      </c>
      <c r="E13" s="390" t="s">
        <v>925</v>
      </c>
      <c r="F13" s="390" t="s">
        <v>1155</v>
      </c>
      <c r="G13" s="1162" t="s">
        <v>5742</v>
      </c>
      <c r="H13" s="841" t="s">
        <v>3535</v>
      </c>
      <c r="I13" s="2363" t="s">
        <v>5782</v>
      </c>
      <c r="J13" s="764"/>
      <c r="L13" s="390" t="b">
        <f t="shared" si="3"/>
        <v>0</v>
      </c>
      <c r="M13" s="390" t="b">
        <f t="shared" si="4"/>
        <v>1</v>
      </c>
      <c r="N13" s="2204" t="str">
        <f t="shared" si="5"/>
        <v>10</v>
      </c>
      <c r="O13" s="2205" t="s">
        <v>5180</v>
      </c>
      <c r="S13" s="841" t="s">
        <v>741</v>
      </c>
      <c r="T13" s="841" t="s">
        <v>741</v>
      </c>
    </row>
    <row r="14" spans="1:20" x14ac:dyDescent="0.25">
      <c r="A14" s="390" t="str">
        <f t="shared" si="0"/>
        <v>11 Department of Labor</v>
      </c>
      <c r="B14" s="391">
        <v>11</v>
      </c>
      <c r="C14" s="391" t="str">
        <f t="shared" si="1"/>
        <v>11</v>
      </c>
      <c r="D14" s="390" t="s">
        <v>307</v>
      </c>
      <c r="E14" s="390" t="s">
        <v>925</v>
      </c>
      <c r="F14" s="390" t="s">
        <v>1155</v>
      </c>
      <c r="G14" s="1162" t="s">
        <v>4804</v>
      </c>
      <c r="H14" s="841" t="s">
        <v>4805</v>
      </c>
      <c r="I14" s="2363" t="s">
        <v>5774</v>
      </c>
      <c r="J14" s="764"/>
      <c r="L14" s="390" t="b">
        <f t="shared" si="3"/>
        <v>0</v>
      </c>
      <c r="M14" s="390" t="b">
        <f t="shared" si="4"/>
        <v>1</v>
      </c>
      <c r="N14" s="2204" t="str">
        <f t="shared" si="5"/>
        <v>11</v>
      </c>
      <c r="O14" s="2205" t="s">
        <v>516</v>
      </c>
      <c r="S14" s="841" t="s">
        <v>742</v>
      </c>
      <c r="T14" s="841" t="s">
        <v>742</v>
      </c>
    </row>
    <row r="15" spans="1:20" x14ac:dyDescent="0.25">
      <c r="A15" s="390" t="str">
        <f t="shared" si="0"/>
        <v xml:space="preserve">12 Department of Insurance </v>
      </c>
      <c r="B15" s="391">
        <v>12</v>
      </c>
      <c r="C15" s="391" t="str">
        <f t="shared" si="1"/>
        <v>12</v>
      </c>
      <c r="D15" s="390" t="s">
        <v>308</v>
      </c>
      <c r="E15" s="390" t="s">
        <v>925</v>
      </c>
      <c r="F15" s="390" t="s">
        <v>1155</v>
      </c>
      <c r="G15" s="1162" t="s">
        <v>5743</v>
      </c>
      <c r="H15" s="841" t="s">
        <v>5744</v>
      </c>
      <c r="I15" s="2363" t="s">
        <v>5783</v>
      </c>
      <c r="J15" s="764"/>
      <c r="L15" s="390" t="b">
        <f t="shared" si="3"/>
        <v>0</v>
      </c>
      <c r="M15" s="390" t="b">
        <f t="shared" si="4"/>
        <v>1</v>
      </c>
      <c r="N15" s="2204" t="str">
        <f t="shared" si="5"/>
        <v>12</v>
      </c>
      <c r="O15" s="2205" t="s">
        <v>5181</v>
      </c>
      <c r="S15" s="841" t="s">
        <v>743</v>
      </c>
      <c r="T15" s="841" t="s">
        <v>743</v>
      </c>
    </row>
    <row r="16" spans="1:20" x14ac:dyDescent="0.25">
      <c r="A16" s="390" t="str">
        <f t="shared" si="0"/>
        <v xml:space="preserve">13 Department of Administration </v>
      </c>
      <c r="B16" s="391">
        <v>13</v>
      </c>
      <c r="C16" s="391" t="str">
        <f t="shared" si="1"/>
        <v>13</v>
      </c>
      <c r="D16" s="390" t="s">
        <v>185</v>
      </c>
      <c r="E16" s="390" t="s">
        <v>925</v>
      </c>
      <c r="F16" s="390" t="s">
        <v>1155</v>
      </c>
      <c r="G16" s="1162" t="s">
        <v>5699</v>
      </c>
      <c r="H16" s="841" t="s">
        <v>5700</v>
      </c>
      <c r="I16" s="841" t="s">
        <v>5861</v>
      </c>
      <c r="J16" s="764"/>
      <c r="L16" s="390" t="b">
        <f t="shared" si="3"/>
        <v>0</v>
      </c>
      <c r="M16" s="390" t="b">
        <f t="shared" si="4"/>
        <v>1</v>
      </c>
      <c r="N16" s="2204" t="str">
        <f t="shared" si="5"/>
        <v>13</v>
      </c>
      <c r="O16" s="2205" t="s">
        <v>5182</v>
      </c>
      <c r="S16" s="841" t="s">
        <v>744</v>
      </c>
      <c r="T16" s="841" t="s">
        <v>744</v>
      </c>
    </row>
    <row r="17" spans="1:20" x14ac:dyDescent="0.25">
      <c r="A17" s="390" t="str">
        <f t="shared" si="0"/>
        <v xml:space="preserve">14 Office of the State Controller </v>
      </c>
      <c r="B17" s="391">
        <v>14</v>
      </c>
      <c r="C17" s="391" t="str">
        <f t="shared" si="1"/>
        <v>14</v>
      </c>
      <c r="D17" s="390" t="s">
        <v>186</v>
      </c>
      <c r="E17" s="390" t="s">
        <v>925</v>
      </c>
      <c r="F17" s="390" t="s">
        <v>1155</v>
      </c>
      <c r="G17" s="1162" t="s">
        <v>5236</v>
      </c>
      <c r="H17" s="841" t="s">
        <v>3561</v>
      </c>
      <c r="I17" s="1162" t="s">
        <v>5856</v>
      </c>
      <c r="J17" s="764"/>
      <c r="L17" s="390" t="b">
        <f t="shared" si="3"/>
        <v>0</v>
      </c>
      <c r="M17" s="390" t="b">
        <f t="shared" si="4"/>
        <v>1</v>
      </c>
      <c r="N17" s="2204" t="str">
        <f t="shared" si="5"/>
        <v>14</v>
      </c>
      <c r="O17" s="2205" t="s">
        <v>5183</v>
      </c>
      <c r="S17" s="841" t="s">
        <v>745</v>
      </c>
      <c r="T17" s="841" t="s">
        <v>745</v>
      </c>
    </row>
    <row r="18" spans="1:20" x14ac:dyDescent="0.25">
      <c r="A18" s="390" t="str">
        <f t="shared" si="0"/>
        <v>15 Department of Transportation</v>
      </c>
      <c r="B18" s="391">
        <v>15</v>
      </c>
      <c r="C18" s="391" t="str">
        <f t="shared" si="1"/>
        <v>15</v>
      </c>
      <c r="D18" s="390" t="s">
        <v>144</v>
      </c>
      <c r="E18" s="390" t="s">
        <v>925</v>
      </c>
      <c r="F18" s="390" t="s">
        <v>1155</v>
      </c>
      <c r="G18" s="1162" t="s">
        <v>5854</v>
      </c>
      <c r="H18" s="1162" t="s">
        <v>5860</v>
      </c>
      <c r="I18" s="1162" t="s">
        <v>5855</v>
      </c>
      <c r="J18" s="764"/>
      <c r="L18" s="390" t="b">
        <f t="shared" si="3"/>
        <v>0</v>
      </c>
      <c r="M18" s="390" t="b">
        <f t="shared" si="4"/>
        <v>1</v>
      </c>
      <c r="N18" s="2204" t="str">
        <f t="shared" si="5"/>
        <v>15</v>
      </c>
      <c r="O18" s="2205" t="s">
        <v>5184</v>
      </c>
      <c r="S18" s="841" t="s">
        <v>746</v>
      </c>
      <c r="T18" s="841" t="s">
        <v>746</v>
      </c>
    </row>
    <row r="19" spans="1:20" x14ac:dyDescent="0.25">
      <c r="A19" s="390" t="str">
        <f t="shared" si="0"/>
        <v>16 Department of Environmental Quality</v>
      </c>
      <c r="B19" s="391">
        <v>16</v>
      </c>
      <c r="C19" s="391" t="str">
        <f t="shared" si="1"/>
        <v>16</v>
      </c>
      <c r="D19" s="841" t="s">
        <v>4044</v>
      </c>
      <c r="E19" s="390" t="s">
        <v>925</v>
      </c>
      <c r="F19" s="390" t="s">
        <v>1155</v>
      </c>
      <c r="G19" s="1162" t="s">
        <v>4562</v>
      </c>
      <c r="H19" s="841" t="s">
        <v>4185</v>
      </c>
      <c r="I19" s="2363" t="s">
        <v>5784</v>
      </c>
      <c r="J19" s="768"/>
      <c r="L19" s="390" t="b">
        <f t="shared" si="3"/>
        <v>0</v>
      </c>
      <c r="M19" s="390" t="b">
        <f t="shared" si="4"/>
        <v>1</v>
      </c>
      <c r="N19" s="2204" t="str">
        <f t="shared" si="5"/>
        <v>16</v>
      </c>
      <c r="O19" s="2205" t="s">
        <v>5185</v>
      </c>
      <c r="S19" s="841" t="s">
        <v>747</v>
      </c>
      <c r="T19" s="841" t="s">
        <v>747</v>
      </c>
    </row>
    <row r="20" spans="1:20" x14ac:dyDescent="0.25">
      <c r="A20" s="390" t="str">
        <f t="shared" si="0"/>
        <v>17 Wildlife Resources Commission</v>
      </c>
      <c r="B20" s="391">
        <v>17</v>
      </c>
      <c r="C20" s="391" t="str">
        <f t="shared" si="1"/>
        <v>17</v>
      </c>
      <c r="D20" s="390" t="s">
        <v>1017</v>
      </c>
      <c r="E20" s="390" t="s">
        <v>925</v>
      </c>
      <c r="F20" s="390" t="s">
        <v>1155</v>
      </c>
      <c r="G20" s="2045" t="s">
        <v>5701</v>
      </c>
      <c r="H20" s="841" t="s">
        <v>5702</v>
      </c>
      <c r="I20" s="2363" t="s">
        <v>5770</v>
      </c>
      <c r="L20" s="390" t="b">
        <f t="shared" si="3"/>
        <v>0</v>
      </c>
      <c r="M20" s="390" t="b">
        <f t="shared" si="4"/>
        <v>1</v>
      </c>
      <c r="N20" s="2204" t="str">
        <f t="shared" si="5"/>
        <v>17</v>
      </c>
      <c r="O20" s="2205" t="s">
        <v>5186</v>
      </c>
      <c r="S20" s="2205" t="s">
        <v>399</v>
      </c>
      <c r="T20" s="841" t="s">
        <v>5230</v>
      </c>
    </row>
    <row r="21" spans="1:20" x14ac:dyDescent="0.25">
      <c r="A21" s="390" t="str">
        <f t="shared" si="0"/>
        <v>19 Dept. of Public Safety</v>
      </c>
      <c r="B21" s="391">
        <v>19</v>
      </c>
      <c r="C21" s="391" t="str">
        <f t="shared" si="1"/>
        <v>19</v>
      </c>
      <c r="D21" s="841" t="s">
        <v>1783</v>
      </c>
      <c r="E21" s="390" t="s">
        <v>925</v>
      </c>
      <c r="F21" s="390" t="s">
        <v>1155</v>
      </c>
      <c r="G21" s="1162" t="s">
        <v>5237</v>
      </c>
      <c r="H21" s="841" t="s">
        <v>5238</v>
      </c>
      <c r="K21" s="1163"/>
      <c r="L21" s="390" t="b">
        <f t="shared" si="3"/>
        <v>0</v>
      </c>
      <c r="M21" s="390" t="b">
        <f t="shared" si="4"/>
        <v>1</v>
      </c>
      <c r="N21" s="2204" t="str">
        <f t="shared" si="5"/>
        <v>19</v>
      </c>
      <c r="O21" s="2205" t="s">
        <v>5187</v>
      </c>
      <c r="S21" s="841" t="s">
        <v>1689</v>
      </c>
      <c r="T21" s="841" t="s">
        <v>1689</v>
      </c>
    </row>
    <row r="22" spans="1:20" x14ac:dyDescent="0.25">
      <c r="A22" s="390" t="str">
        <f t="shared" si="0"/>
        <v>2X Dept. of Health and Human Services</v>
      </c>
      <c r="B22" s="391" t="s">
        <v>1018</v>
      </c>
      <c r="C22" s="391" t="str">
        <f t="shared" si="1"/>
        <v>2X</v>
      </c>
      <c r="D22" s="390" t="s">
        <v>565</v>
      </c>
      <c r="E22" s="390" t="s">
        <v>925</v>
      </c>
      <c r="F22" s="390" t="s">
        <v>1155</v>
      </c>
      <c r="G22" s="1162" t="s">
        <v>3635</v>
      </c>
      <c r="H22" s="841" t="s">
        <v>3636</v>
      </c>
      <c r="K22" s="1163"/>
      <c r="L22" s="390" t="b">
        <f t="shared" si="3"/>
        <v>1</v>
      </c>
      <c r="M22" s="390" t="b">
        <f t="shared" si="4"/>
        <v>1</v>
      </c>
      <c r="N22" s="2204" t="str">
        <f t="shared" si="5"/>
        <v>2X</v>
      </c>
      <c r="O22" s="2205" t="s">
        <v>5644</v>
      </c>
    </row>
    <row r="23" spans="1:20" x14ac:dyDescent="0.25">
      <c r="A23" s="390" t="str">
        <f t="shared" si="0"/>
        <v>3X DHHS - Mental Health</v>
      </c>
      <c r="B23" s="391" t="s">
        <v>432</v>
      </c>
      <c r="C23" s="391" t="str">
        <f t="shared" si="1"/>
        <v>3X</v>
      </c>
      <c r="D23" s="390" t="s">
        <v>1019</v>
      </c>
      <c r="E23" s="390" t="s">
        <v>925</v>
      </c>
      <c r="F23" s="390" t="s">
        <v>1155</v>
      </c>
      <c r="G23" s="1162" t="s">
        <v>4050</v>
      </c>
      <c r="H23" s="841" t="s">
        <v>4563</v>
      </c>
      <c r="K23" s="1163"/>
      <c r="L23" s="390" t="b">
        <f t="shared" si="3"/>
        <v>1</v>
      </c>
      <c r="M23" s="390" t="b">
        <f t="shared" si="4"/>
        <v>1</v>
      </c>
      <c r="N23" s="2204" t="str">
        <f t="shared" si="5"/>
        <v>3X</v>
      </c>
      <c r="O23" s="2205" t="s">
        <v>5645</v>
      </c>
    </row>
    <row r="24" spans="1:20" x14ac:dyDescent="0.25">
      <c r="A24" s="390" t="str">
        <f t="shared" si="0"/>
        <v>40 Department of Military &amp; Veterans Affairs</v>
      </c>
      <c r="B24" s="1666">
        <v>40</v>
      </c>
      <c r="C24" s="391" t="str">
        <f t="shared" si="1"/>
        <v>40</v>
      </c>
      <c r="D24" s="841" t="s">
        <v>4042</v>
      </c>
      <c r="E24" s="390" t="s">
        <v>925</v>
      </c>
      <c r="F24" s="390" t="s">
        <v>1155</v>
      </c>
      <c r="G24" s="1162" t="s">
        <v>5699</v>
      </c>
      <c r="H24" s="841" t="s">
        <v>5700</v>
      </c>
      <c r="I24" s="841" t="s">
        <v>5861</v>
      </c>
      <c r="K24" s="841"/>
      <c r="L24" s="390" t="b">
        <f t="shared" si="3"/>
        <v>0</v>
      </c>
      <c r="M24" s="390" t="b">
        <f t="shared" si="4"/>
        <v>1</v>
      </c>
      <c r="N24" s="2204" t="str">
        <f t="shared" si="5"/>
        <v>40</v>
      </c>
      <c r="O24" s="2205" t="s">
        <v>5188</v>
      </c>
    </row>
    <row r="25" spans="1:20" x14ac:dyDescent="0.25">
      <c r="A25" s="390" t="str">
        <f t="shared" si="0"/>
        <v>41 Department of Information Technology</v>
      </c>
      <c r="B25" s="391">
        <v>41</v>
      </c>
      <c r="C25" s="391" t="str">
        <f t="shared" si="1"/>
        <v>41</v>
      </c>
      <c r="D25" s="841" t="s">
        <v>4043</v>
      </c>
      <c r="E25" s="390" t="s">
        <v>925</v>
      </c>
      <c r="F25" s="390" t="s">
        <v>1155</v>
      </c>
      <c r="G25" s="1162" t="s">
        <v>5881</v>
      </c>
      <c r="H25" s="841" t="s">
        <v>5882</v>
      </c>
      <c r="I25" s="2363" t="s">
        <v>5883</v>
      </c>
      <c r="K25" s="841"/>
      <c r="L25" s="390" t="b">
        <f t="shared" si="3"/>
        <v>0</v>
      </c>
      <c r="M25" s="390" t="b">
        <f t="shared" si="4"/>
        <v>1</v>
      </c>
      <c r="N25" s="2204" t="str">
        <f t="shared" si="5"/>
        <v>41</v>
      </c>
      <c r="O25" s="2205" t="s">
        <v>5189</v>
      </c>
    </row>
    <row r="26" spans="1:20" x14ac:dyDescent="0.25">
      <c r="A26" s="390" t="str">
        <f t="shared" si="0"/>
        <v>43 Department of Commerce</v>
      </c>
      <c r="B26" s="391">
        <v>43</v>
      </c>
      <c r="C26" s="391" t="str">
        <f t="shared" si="1"/>
        <v>43</v>
      </c>
      <c r="D26" s="390" t="s">
        <v>433</v>
      </c>
      <c r="E26" s="390" t="s">
        <v>925</v>
      </c>
      <c r="F26" s="390" t="s">
        <v>1155</v>
      </c>
      <c r="G26" s="1162" t="s">
        <v>4489</v>
      </c>
      <c r="H26" s="841" t="s">
        <v>4488</v>
      </c>
      <c r="I26" s="2363" t="s">
        <v>5863</v>
      </c>
      <c r="K26" s="1163"/>
      <c r="L26" s="390" t="b">
        <f t="shared" si="3"/>
        <v>0</v>
      </c>
      <c r="M26" s="390" t="b">
        <f t="shared" si="4"/>
        <v>1</v>
      </c>
      <c r="N26" s="2204" t="str">
        <f t="shared" si="5"/>
        <v>43</v>
      </c>
      <c r="O26" s="2205" t="s">
        <v>5190</v>
      </c>
    </row>
    <row r="27" spans="1:20" x14ac:dyDescent="0.25">
      <c r="A27" s="390" t="str">
        <f t="shared" si="0"/>
        <v>45 Department of Revenue</v>
      </c>
      <c r="B27" s="391">
        <v>45</v>
      </c>
      <c r="C27" s="391" t="str">
        <f t="shared" si="1"/>
        <v>45</v>
      </c>
      <c r="D27" s="390" t="s">
        <v>434</v>
      </c>
      <c r="E27" s="390" t="s">
        <v>925</v>
      </c>
      <c r="F27" s="390" t="s">
        <v>1155</v>
      </c>
      <c r="G27" s="1162" t="s">
        <v>3536</v>
      </c>
      <c r="H27" s="841" t="s">
        <v>3547</v>
      </c>
      <c r="I27" s="2363" t="s">
        <v>5775</v>
      </c>
      <c r="K27" s="1163"/>
      <c r="L27" s="390" t="b">
        <f t="shared" si="3"/>
        <v>0</v>
      </c>
      <c r="M27" s="390" t="b">
        <f t="shared" si="4"/>
        <v>1</v>
      </c>
      <c r="N27" s="2204" t="str">
        <f t="shared" si="5"/>
        <v>45</v>
      </c>
      <c r="O27" s="2205" t="s">
        <v>5191</v>
      </c>
    </row>
    <row r="28" spans="1:20" x14ac:dyDescent="0.25">
      <c r="A28" s="390" t="str">
        <f t="shared" si="0"/>
        <v>46 Department of Natural and Cultural Resources</v>
      </c>
      <c r="B28" s="391">
        <v>46</v>
      </c>
      <c r="C28" s="391" t="str">
        <f t="shared" si="1"/>
        <v>46</v>
      </c>
      <c r="D28" s="841" t="s">
        <v>4045</v>
      </c>
      <c r="E28" s="390" t="s">
        <v>925</v>
      </c>
      <c r="F28" s="390" t="s">
        <v>1155</v>
      </c>
      <c r="G28" s="1162" t="s">
        <v>3891</v>
      </c>
      <c r="H28" s="841" t="s">
        <v>4768</v>
      </c>
      <c r="I28" s="2363" t="s">
        <v>5785</v>
      </c>
      <c r="K28" s="841"/>
      <c r="L28" s="390" t="b">
        <f t="shared" si="3"/>
        <v>0</v>
      </c>
      <c r="M28" s="390" t="b">
        <f t="shared" si="4"/>
        <v>1</v>
      </c>
      <c r="N28" s="2204" t="str">
        <f t="shared" si="5"/>
        <v>46</v>
      </c>
      <c r="O28" s="2205" t="s">
        <v>5192</v>
      </c>
    </row>
    <row r="29" spans="1:20" x14ac:dyDescent="0.25">
      <c r="A29" s="1053" t="str">
        <f t="shared" si="0"/>
        <v>48X UNC Hlth Care Rep Unit (Combined Pkg)</v>
      </c>
      <c r="B29" s="391" t="s">
        <v>1461</v>
      </c>
      <c r="C29" s="391" t="str">
        <f t="shared" si="1"/>
        <v>48X</v>
      </c>
      <c r="D29" s="390" t="s">
        <v>1475</v>
      </c>
      <c r="E29" s="841" t="s">
        <v>821</v>
      </c>
      <c r="F29" s="390" t="s">
        <v>926</v>
      </c>
      <c r="G29" s="1162" t="s">
        <v>4763</v>
      </c>
      <c r="H29" s="841" t="s">
        <v>4764</v>
      </c>
      <c r="J29" s="841" t="s">
        <v>1462</v>
      </c>
      <c r="K29" s="841"/>
      <c r="L29" s="390" t="b">
        <f t="shared" si="3"/>
        <v>1</v>
      </c>
      <c r="M29" s="390" t="b">
        <f t="shared" si="4"/>
        <v>1</v>
      </c>
      <c r="N29" s="2204" t="str">
        <f t="shared" si="5"/>
        <v>48X</v>
      </c>
      <c r="O29" s="2205"/>
    </row>
    <row r="30" spans="1:20" x14ac:dyDescent="0.25">
      <c r="A30" s="390" t="str">
        <f t="shared" si="0"/>
        <v>48 UNC Hospitals</v>
      </c>
      <c r="B30" s="391">
        <v>48</v>
      </c>
      <c r="C30" s="391" t="str">
        <f t="shared" si="1"/>
        <v>48</v>
      </c>
      <c r="D30" s="390" t="s">
        <v>678</v>
      </c>
      <c r="E30" s="390" t="s">
        <v>821</v>
      </c>
      <c r="F30" s="390" t="s">
        <v>926</v>
      </c>
      <c r="G30" s="1162" t="s">
        <v>4643</v>
      </c>
      <c r="H30" s="841" t="s">
        <v>4644</v>
      </c>
      <c r="J30" s="390" t="s">
        <v>428</v>
      </c>
      <c r="K30" s="841"/>
      <c r="L30" s="390" t="b">
        <f t="shared" si="3"/>
        <v>0</v>
      </c>
      <c r="M30" s="390" t="b">
        <f t="shared" si="4"/>
        <v>1</v>
      </c>
      <c r="N30" s="2204" t="str">
        <f t="shared" si="5"/>
        <v>48</v>
      </c>
      <c r="O30" s="2205"/>
    </row>
    <row r="31" spans="1:20" x14ac:dyDescent="0.25">
      <c r="A31" s="390" t="str">
        <f t="shared" si="0"/>
        <v>48E UNC Hospitals - Enterprise Fund</v>
      </c>
      <c r="B31" s="391" t="s">
        <v>896</v>
      </c>
      <c r="C31" s="391" t="str">
        <f t="shared" si="1"/>
        <v>48E</v>
      </c>
      <c r="D31" s="390" t="s">
        <v>897</v>
      </c>
      <c r="E31" s="390" t="s">
        <v>821</v>
      </c>
      <c r="F31" s="390" t="s">
        <v>926</v>
      </c>
      <c r="G31" s="1162" t="s">
        <v>4817</v>
      </c>
      <c r="H31" s="841" t="s">
        <v>4818</v>
      </c>
      <c r="J31" s="764">
        <v>2635</v>
      </c>
      <c r="K31" s="841"/>
      <c r="L31" s="390" t="b">
        <f t="shared" si="3"/>
        <v>1</v>
      </c>
      <c r="M31" s="390" t="b">
        <f t="shared" si="4"/>
        <v>1</v>
      </c>
      <c r="N31" s="2204" t="str">
        <f t="shared" si="5"/>
        <v>48E</v>
      </c>
      <c r="O31" s="2205"/>
    </row>
    <row r="32" spans="1:20" x14ac:dyDescent="0.25">
      <c r="A32" s="390" t="str">
        <f t="shared" si="0"/>
        <v>48L UNC Hospitals - LITF</v>
      </c>
      <c r="B32" s="391" t="s">
        <v>169</v>
      </c>
      <c r="C32" s="391" t="str">
        <f t="shared" si="1"/>
        <v>48L</v>
      </c>
      <c r="D32" s="390" t="s">
        <v>170</v>
      </c>
      <c r="E32" s="390" t="s">
        <v>821</v>
      </c>
      <c r="F32" s="390" t="s">
        <v>926</v>
      </c>
      <c r="G32" s="1162" t="s">
        <v>4046</v>
      </c>
      <c r="H32" s="841" t="s">
        <v>4047</v>
      </c>
      <c r="J32" s="764">
        <v>2632</v>
      </c>
      <c r="K32" s="841"/>
      <c r="L32" s="390" t="b">
        <f t="shared" si="3"/>
        <v>1</v>
      </c>
      <c r="M32" s="390" t="b">
        <f t="shared" si="4"/>
        <v>1</v>
      </c>
      <c r="N32" s="2204" t="str">
        <f t="shared" si="5"/>
        <v>48L</v>
      </c>
      <c r="O32" s="2205"/>
    </row>
    <row r="33" spans="1:16" x14ac:dyDescent="0.25">
      <c r="A33" s="390" t="str">
        <f t="shared" si="0"/>
        <v>48R Rex Healthcare</v>
      </c>
      <c r="B33" s="391" t="s">
        <v>168</v>
      </c>
      <c r="C33" s="391" t="str">
        <f t="shared" si="1"/>
        <v>48R</v>
      </c>
      <c r="D33" s="390" t="s">
        <v>573</v>
      </c>
      <c r="E33" s="390" t="s">
        <v>821</v>
      </c>
      <c r="F33" s="390" t="s">
        <v>926</v>
      </c>
      <c r="G33" s="1162" t="s">
        <v>4645</v>
      </c>
      <c r="H33" s="841" t="s">
        <v>4646</v>
      </c>
      <c r="J33" s="764">
        <v>2637</v>
      </c>
      <c r="K33" s="841"/>
      <c r="L33" s="390" t="b">
        <f>ISTEXT(B33)</f>
        <v>1</v>
      </c>
      <c r="N33" s="2204" t="str">
        <f t="shared" si="5"/>
        <v>48R</v>
      </c>
      <c r="O33" s="2205"/>
    </row>
    <row r="34" spans="1:16" x14ac:dyDescent="0.25">
      <c r="A34" s="390" t="str">
        <f t="shared" si="0"/>
        <v>48C Chatham Hospital</v>
      </c>
      <c r="B34" s="391" t="s">
        <v>1304</v>
      </c>
      <c r="C34" s="391" t="str">
        <f t="shared" si="1"/>
        <v>48C</v>
      </c>
      <c r="D34" s="841" t="s">
        <v>1310</v>
      </c>
      <c r="E34" s="390" t="s">
        <v>821</v>
      </c>
      <c r="F34" s="390" t="s">
        <v>926</v>
      </c>
      <c r="G34" s="1162" t="s">
        <v>4647</v>
      </c>
      <c r="H34" s="841" t="s">
        <v>4648</v>
      </c>
      <c r="J34" s="1162">
        <v>2638</v>
      </c>
      <c r="K34" s="841"/>
      <c r="N34" s="2204" t="str">
        <f t="shared" si="5"/>
        <v>48C</v>
      </c>
      <c r="O34" s="2205"/>
    </row>
    <row r="35" spans="1:16" x14ac:dyDescent="0.25">
      <c r="A35" s="976" t="str">
        <f t="shared" ref="A35:A66" si="6">C35&amp;" "&amp;D35</f>
        <v>48T UNC Physicians Network</v>
      </c>
      <c r="B35" s="391" t="s">
        <v>1399</v>
      </c>
      <c r="C35" s="391" t="str">
        <f t="shared" si="1"/>
        <v>48T</v>
      </c>
      <c r="D35" s="390" t="s">
        <v>4292</v>
      </c>
      <c r="E35" s="390" t="s">
        <v>821</v>
      </c>
      <c r="F35" s="390" t="s">
        <v>926</v>
      </c>
      <c r="G35" s="1162" t="s">
        <v>4819</v>
      </c>
      <c r="H35" s="841" t="s">
        <v>4820</v>
      </c>
      <c r="J35" s="764">
        <v>2639</v>
      </c>
      <c r="K35" s="841"/>
      <c r="N35" s="2204" t="str">
        <f t="shared" si="5"/>
        <v>48T</v>
      </c>
      <c r="O35" s="2205"/>
    </row>
    <row r="36" spans="1:16" x14ac:dyDescent="0.25">
      <c r="A36" s="976" t="str">
        <f t="shared" si="6"/>
        <v>48RH UNC Rockingham Health Care</v>
      </c>
      <c r="B36" s="1967" t="s">
        <v>4581</v>
      </c>
      <c r="C36" s="391" t="str">
        <f t="shared" si="1"/>
        <v>48RH</v>
      </c>
      <c r="D36" s="390" t="s">
        <v>4584</v>
      </c>
      <c r="E36" s="390" t="s">
        <v>821</v>
      </c>
      <c r="F36" s="390" t="s">
        <v>926</v>
      </c>
      <c r="G36" s="1162" t="s">
        <v>4643</v>
      </c>
      <c r="H36" s="841" t="s">
        <v>4644</v>
      </c>
      <c r="J36" s="1162" t="s">
        <v>1462</v>
      </c>
      <c r="K36" s="841"/>
      <c r="N36" s="2204" t="str">
        <f t="shared" si="5"/>
        <v>48RH</v>
      </c>
      <c r="O36" s="2205"/>
    </row>
    <row r="37" spans="1:16" x14ac:dyDescent="0.25">
      <c r="A37" s="976" t="str">
        <f t="shared" si="6"/>
        <v>48CW Caldwell Memorial Hospital</v>
      </c>
      <c r="B37" s="391" t="s">
        <v>3525</v>
      </c>
      <c r="C37" s="391" t="str">
        <f t="shared" si="1"/>
        <v>48CW</v>
      </c>
      <c r="D37" s="390" t="s">
        <v>3526</v>
      </c>
      <c r="E37" s="390" t="s">
        <v>821</v>
      </c>
      <c r="F37" s="390" t="s">
        <v>926</v>
      </c>
      <c r="G37" s="1162" t="s">
        <v>4647</v>
      </c>
      <c r="H37" s="841" t="s">
        <v>4648</v>
      </c>
      <c r="J37" s="1162" t="s">
        <v>1462</v>
      </c>
      <c r="K37" s="976"/>
      <c r="N37" s="2204" t="str">
        <f t="shared" si="5"/>
        <v>48CW</v>
      </c>
      <c r="O37" s="2205"/>
    </row>
    <row r="38" spans="1:16" x14ac:dyDescent="0.25">
      <c r="A38" s="390" t="str">
        <f t="shared" si="6"/>
        <v>50 Community College System Office</v>
      </c>
      <c r="B38" s="391">
        <v>50</v>
      </c>
      <c r="C38" s="391" t="str">
        <f t="shared" si="1"/>
        <v>50</v>
      </c>
      <c r="D38" s="390" t="s">
        <v>47</v>
      </c>
      <c r="E38" s="390" t="s">
        <v>925</v>
      </c>
      <c r="F38" s="390" t="s">
        <v>1155</v>
      </c>
      <c r="G38" s="1162" t="s">
        <v>4767</v>
      </c>
      <c r="H38" s="1601" t="s">
        <v>4368</v>
      </c>
      <c r="I38" s="2371" t="s">
        <v>5877</v>
      </c>
      <c r="N38" s="2204" t="str">
        <f t="shared" si="5"/>
        <v>50</v>
      </c>
      <c r="O38" s="2205" t="s">
        <v>5193</v>
      </c>
    </row>
    <row r="39" spans="1:16" x14ac:dyDescent="0.25">
      <c r="A39" s="390" t="str">
        <f t="shared" si="6"/>
        <v>60 State Board of Elections</v>
      </c>
      <c r="B39" s="391">
        <v>60</v>
      </c>
      <c r="C39" s="391" t="str">
        <f t="shared" si="1"/>
        <v>60</v>
      </c>
      <c r="D39" s="390" t="s">
        <v>48</v>
      </c>
      <c r="E39" s="390" t="s">
        <v>925</v>
      </c>
      <c r="F39" s="390" t="s">
        <v>1155</v>
      </c>
      <c r="G39" s="1162" t="s">
        <v>5699</v>
      </c>
      <c r="H39" s="841" t="s">
        <v>5700</v>
      </c>
      <c r="I39" s="841" t="s">
        <v>5861</v>
      </c>
      <c r="N39" s="2204" t="str">
        <f t="shared" si="5"/>
        <v>60</v>
      </c>
      <c r="O39" s="2205" t="s">
        <v>5194</v>
      </c>
    </row>
    <row r="40" spans="1:16" x14ac:dyDescent="0.25">
      <c r="A40" s="390" t="str">
        <f t="shared" si="6"/>
        <v>61 NC Education Lottery</v>
      </c>
      <c r="B40" s="391" t="s">
        <v>908</v>
      </c>
      <c r="C40" s="391" t="str">
        <f t="shared" si="1"/>
        <v>61</v>
      </c>
      <c r="D40" s="390" t="s">
        <v>574</v>
      </c>
      <c r="E40" s="390" t="s">
        <v>925</v>
      </c>
      <c r="F40" s="390" t="s">
        <v>1155</v>
      </c>
      <c r="G40" s="1162" t="s">
        <v>5885</v>
      </c>
      <c r="H40" s="841" t="s">
        <v>5884</v>
      </c>
      <c r="I40" s="841" t="s">
        <v>5886</v>
      </c>
      <c r="N40" s="2204" t="str">
        <f t="shared" si="5"/>
        <v>61</v>
      </c>
      <c r="O40" s="2205" t="s">
        <v>5195</v>
      </c>
    </row>
    <row r="41" spans="1:16" x14ac:dyDescent="0.25">
      <c r="A41" s="390" t="str">
        <f t="shared" si="6"/>
        <v>67 Office of Administrative Hearings</v>
      </c>
      <c r="B41" s="391">
        <v>67</v>
      </c>
      <c r="C41" s="391" t="str">
        <f t="shared" si="1"/>
        <v>67</v>
      </c>
      <c r="D41" s="390" t="s">
        <v>190</v>
      </c>
      <c r="E41" s="390" t="s">
        <v>925</v>
      </c>
      <c r="F41" s="390" t="s">
        <v>1155</v>
      </c>
      <c r="G41" s="1162" t="s">
        <v>4362</v>
      </c>
      <c r="H41" s="841" t="s">
        <v>4855</v>
      </c>
      <c r="I41" s="2363" t="s">
        <v>5870</v>
      </c>
      <c r="N41" s="2204" t="str">
        <f t="shared" si="5"/>
        <v>67</v>
      </c>
      <c r="O41" s="2205" t="s">
        <v>5196</v>
      </c>
    </row>
    <row r="42" spans="1:16" x14ac:dyDescent="0.25">
      <c r="A42" s="390" t="str">
        <f t="shared" si="6"/>
        <v>69 USS North Carolina Battleship Comm.</v>
      </c>
      <c r="B42" s="391" t="s">
        <v>399</v>
      </c>
      <c r="C42" s="391" t="str">
        <f t="shared" si="1"/>
        <v>69</v>
      </c>
      <c r="D42" s="390" t="s">
        <v>724</v>
      </c>
      <c r="E42" s="390" t="s">
        <v>925</v>
      </c>
      <c r="F42" s="390" t="s">
        <v>926</v>
      </c>
      <c r="G42" s="1162" t="s">
        <v>4357</v>
      </c>
      <c r="H42" s="841" t="s">
        <v>4678</v>
      </c>
      <c r="I42" s="2363" t="s">
        <v>5864</v>
      </c>
      <c r="N42" s="2204" t="str">
        <f t="shared" si="5"/>
        <v>69</v>
      </c>
      <c r="O42" s="2205" t="s">
        <v>5197</v>
      </c>
    </row>
    <row r="43" spans="1:16" x14ac:dyDescent="0.25">
      <c r="A43" s="390" t="str">
        <f t="shared" si="6"/>
        <v>6BC Deferred Comp &amp; NC 401(k)-Combined Pkg</v>
      </c>
      <c r="B43" s="391" t="s">
        <v>1964</v>
      </c>
      <c r="C43" s="391" t="str">
        <f t="shared" si="1"/>
        <v>6BC</v>
      </c>
      <c r="D43" s="976" t="s">
        <v>1939</v>
      </c>
      <c r="E43" s="390" t="s">
        <v>925</v>
      </c>
      <c r="F43" s="390" t="s">
        <v>926</v>
      </c>
      <c r="G43" s="1162" t="s">
        <v>3687</v>
      </c>
      <c r="H43" s="841" t="s">
        <v>4175</v>
      </c>
      <c r="I43" s="2363" t="s">
        <v>5769</v>
      </c>
      <c r="K43" s="1053"/>
      <c r="N43" s="2204" t="str">
        <f t="shared" ref="N43:N65" si="7">C43</f>
        <v>6BC</v>
      </c>
      <c r="O43" s="2205"/>
    </row>
    <row r="44" spans="1:16" x14ac:dyDescent="0.25">
      <c r="A44" s="390" t="str">
        <f t="shared" si="6"/>
        <v>87 NC School of Science &amp; Mathematics</v>
      </c>
      <c r="B44" s="391">
        <v>87</v>
      </c>
      <c r="C44" s="391" t="str">
        <f t="shared" si="1"/>
        <v>87</v>
      </c>
      <c r="D44" s="841" t="s">
        <v>1286</v>
      </c>
      <c r="E44" s="390" t="s">
        <v>821</v>
      </c>
      <c r="F44" s="390" t="s">
        <v>1155</v>
      </c>
      <c r="G44" s="1162" t="s">
        <v>3678</v>
      </c>
      <c r="H44" s="841" t="s">
        <v>4234</v>
      </c>
      <c r="I44" s="2363" t="s">
        <v>5865</v>
      </c>
      <c r="J44" s="390" t="s">
        <v>351</v>
      </c>
      <c r="K44" s="1163" t="s">
        <v>1750</v>
      </c>
      <c r="N44" s="2204" t="str">
        <f t="shared" si="7"/>
        <v>87</v>
      </c>
      <c r="O44" s="2205" t="s">
        <v>5198</v>
      </c>
    </row>
    <row r="45" spans="1:16" x14ac:dyDescent="0.25">
      <c r="A45" s="390" t="str">
        <f t="shared" si="6"/>
        <v>90 General Fund - OSC</v>
      </c>
      <c r="B45" s="391" t="s">
        <v>1166</v>
      </c>
      <c r="C45" s="391" t="str">
        <f t="shared" si="1"/>
        <v>90</v>
      </c>
      <c r="D45" s="390" t="s">
        <v>1167</v>
      </c>
      <c r="E45" s="390" t="s">
        <v>925</v>
      </c>
      <c r="F45" s="390" t="s">
        <v>1155</v>
      </c>
      <c r="G45" s="1162" t="s">
        <v>5311</v>
      </c>
      <c r="H45" s="841" t="s">
        <v>5312</v>
      </c>
      <c r="I45" s="2363" t="s">
        <v>5776</v>
      </c>
      <c r="N45" s="2204" t="str">
        <f t="shared" si="7"/>
        <v>90</v>
      </c>
      <c r="O45" s="2205" t="s">
        <v>5199</v>
      </c>
    </row>
    <row r="46" spans="1:16" x14ac:dyDescent="0.25">
      <c r="A46" s="390" t="str">
        <f t="shared" si="6"/>
        <v>99 General Fund - DOR</v>
      </c>
      <c r="B46" s="391" t="s">
        <v>1169</v>
      </c>
      <c r="C46" s="391" t="str">
        <f t="shared" si="1"/>
        <v>99</v>
      </c>
      <c r="D46" s="390" t="s">
        <v>1168</v>
      </c>
      <c r="E46" s="390" t="s">
        <v>925</v>
      </c>
      <c r="F46" s="390" t="s">
        <v>1155</v>
      </c>
      <c r="G46" s="1162" t="s">
        <v>3548</v>
      </c>
      <c r="H46" s="841" t="s">
        <v>3549</v>
      </c>
      <c r="I46" s="2363" t="s">
        <v>5777</v>
      </c>
      <c r="N46" s="2204" t="str">
        <f t="shared" si="7"/>
        <v>99</v>
      </c>
      <c r="O46" s="2205" t="s">
        <v>5200</v>
      </c>
    </row>
    <row r="47" spans="1:16" x14ac:dyDescent="0.25">
      <c r="A47" s="390" t="str">
        <f t="shared" si="6"/>
        <v>RX OSC-Central Accounts</v>
      </c>
      <c r="B47" s="391" t="s">
        <v>49</v>
      </c>
      <c r="C47" s="391" t="str">
        <f t="shared" ref="C47:C64" si="8">B47</f>
        <v>RX</v>
      </c>
      <c r="D47" s="390" t="s">
        <v>502</v>
      </c>
      <c r="E47" s="390" t="s">
        <v>925</v>
      </c>
      <c r="F47" s="390" t="s">
        <v>1155</v>
      </c>
      <c r="G47" s="1162" t="s">
        <v>4770</v>
      </c>
      <c r="H47" s="841" t="s">
        <v>4771</v>
      </c>
      <c r="I47" s="2363" t="s">
        <v>5778</v>
      </c>
      <c r="N47" s="2204" t="str">
        <f t="shared" si="7"/>
        <v>RX</v>
      </c>
      <c r="O47" s="2205" t="s">
        <v>5201</v>
      </c>
    </row>
    <row r="48" spans="1:16" ht="18.75" x14ac:dyDescent="0.3">
      <c r="A48" s="390" t="str">
        <f t="shared" si="6"/>
        <v>U10 UNC-System Office</v>
      </c>
      <c r="B48" s="391" t="s">
        <v>401</v>
      </c>
      <c r="C48" s="391" t="str">
        <f t="shared" si="8"/>
        <v>U10</v>
      </c>
      <c r="D48" s="841" t="s">
        <v>4613</v>
      </c>
      <c r="E48" s="390" t="s">
        <v>821</v>
      </c>
      <c r="F48" s="390" t="s">
        <v>1469</v>
      </c>
      <c r="G48" s="1162" t="s">
        <v>4616</v>
      </c>
      <c r="H48" s="841" t="s">
        <v>4617</v>
      </c>
      <c r="I48" s="2363" t="s">
        <v>5790</v>
      </c>
      <c r="J48" s="390" t="s">
        <v>351</v>
      </c>
      <c r="K48" s="2103" t="s">
        <v>4955</v>
      </c>
      <c r="N48" s="2204" t="str">
        <f t="shared" si="7"/>
        <v>U10</v>
      </c>
      <c r="O48" s="2205" t="s">
        <v>5202</v>
      </c>
      <c r="P48" s="841" t="s">
        <v>401</v>
      </c>
    </row>
    <row r="49" spans="1:16" ht="18.75" x14ac:dyDescent="0.3">
      <c r="A49" s="390" t="str">
        <f t="shared" si="6"/>
        <v>U20 UNC at Chapel Hill</v>
      </c>
      <c r="B49" s="391" t="s">
        <v>402</v>
      </c>
      <c r="C49" s="391" t="str">
        <f t="shared" si="8"/>
        <v>U20</v>
      </c>
      <c r="D49" s="390" t="s">
        <v>725</v>
      </c>
      <c r="E49" s="390" t="s">
        <v>821</v>
      </c>
      <c r="F49" s="390" t="s">
        <v>1469</v>
      </c>
      <c r="G49" s="1162" t="s">
        <v>4460</v>
      </c>
      <c r="H49" s="841" t="s">
        <v>4461</v>
      </c>
      <c r="I49" s="2363" t="s">
        <v>5876</v>
      </c>
      <c r="J49" s="390" t="s">
        <v>351</v>
      </c>
      <c r="K49" s="976"/>
      <c r="N49" s="2204" t="str">
        <f t="shared" si="7"/>
        <v>U20</v>
      </c>
      <c r="O49" s="2205" t="s">
        <v>5203</v>
      </c>
      <c r="P49" s="841" t="s">
        <v>402</v>
      </c>
    </row>
    <row r="50" spans="1:16" ht="18.75" x14ac:dyDescent="0.3">
      <c r="A50" s="390" t="str">
        <f t="shared" si="6"/>
        <v>U30 North Carolina State University</v>
      </c>
      <c r="B50" s="391" t="s">
        <v>403</v>
      </c>
      <c r="C50" s="391" t="str">
        <f t="shared" si="8"/>
        <v>U30</v>
      </c>
      <c r="D50" s="390" t="s">
        <v>171</v>
      </c>
      <c r="E50" s="390" t="s">
        <v>821</v>
      </c>
      <c r="F50" s="841" t="s">
        <v>1469</v>
      </c>
      <c r="G50" s="1162" t="s">
        <v>4614</v>
      </c>
      <c r="H50" s="841" t="s">
        <v>4615</v>
      </c>
      <c r="I50" s="2363" t="s">
        <v>5871</v>
      </c>
      <c r="J50" s="390" t="s">
        <v>351</v>
      </c>
      <c r="K50" s="976"/>
      <c r="N50" s="2204" t="str">
        <f t="shared" si="7"/>
        <v>U30</v>
      </c>
      <c r="O50" s="2205" t="s">
        <v>5204</v>
      </c>
      <c r="P50" s="841" t="s">
        <v>403</v>
      </c>
    </row>
    <row r="51" spans="1:16" ht="18.75" x14ac:dyDescent="0.3">
      <c r="A51" s="390" t="str">
        <f t="shared" si="6"/>
        <v>U40 UNC at Greensboro</v>
      </c>
      <c r="B51" s="391" t="s">
        <v>404</v>
      </c>
      <c r="C51" s="391" t="str">
        <f t="shared" si="8"/>
        <v>U40</v>
      </c>
      <c r="D51" s="390" t="s">
        <v>726</v>
      </c>
      <c r="E51" s="390" t="s">
        <v>821</v>
      </c>
      <c r="F51" s="841" t="s">
        <v>1469</v>
      </c>
      <c r="G51" s="1162" t="s">
        <v>5693</v>
      </c>
      <c r="H51" s="841" t="s">
        <v>5694</v>
      </c>
      <c r="I51" s="2363" t="s">
        <v>5771</v>
      </c>
      <c r="J51" s="390" t="s">
        <v>351</v>
      </c>
      <c r="N51" s="2204" t="str">
        <f t="shared" si="7"/>
        <v>U40</v>
      </c>
      <c r="O51" s="2205" t="s">
        <v>5205</v>
      </c>
      <c r="P51" s="841" t="s">
        <v>404</v>
      </c>
    </row>
    <row r="52" spans="1:16" ht="18.75" x14ac:dyDescent="0.3">
      <c r="A52" s="390" t="str">
        <f t="shared" si="6"/>
        <v>U50 UNC at Charlotte</v>
      </c>
      <c r="B52" s="391" t="s">
        <v>405</v>
      </c>
      <c r="C52" s="391" t="str">
        <f t="shared" si="8"/>
        <v>U50</v>
      </c>
      <c r="D52" s="390" t="s">
        <v>178</v>
      </c>
      <c r="E52" s="390" t="s">
        <v>821</v>
      </c>
      <c r="F52" s="841" t="s">
        <v>1469</v>
      </c>
      <c r="G52" s="1162" t="s">
        <v>5328</v>
      </c>
      <c r="H52" s="841" t="s">
        <v>3550</v>
      </c>
      <c r="I52" s="1162" t="s">
        <v>5857</v>
      </c>
      <c r="J52" s="390" t="s">
        <v>351</v>
      </c>
      <c r="N52" s="2204" t="str">
        <f t="shared" si="7"/>
        <v>U50</v>
      </c>
      <c r="O52" s="2205" t="s">
        <v>5206</v>
      </c>
      <c r="P52" s="841" t="s">
        <v>405</v>
      </c>
    </row>
    <row r="53" spans="1:16" ht="18.75" x14ac:dyDescent="0.3">
      <c r="A53" s="390" t="str">
        <f t="shared" si="6"/>
        <v>U55 UNC at Asheville</v>
      </c>
      <c r="B53" s="391" t="s">
        <v>406</v>
      </c>
      <c r="C53" s="391" t="str">
        <f t="shared" si="8"/>
        <v>U55</v>
      </c>
      <c r="D53" s="390" t="s">
        <v>179</v>
      </c>
      <c r="E53" s="390" t="s">
        <v>821</v>
      </c>
      <c r="F53" s="841" t="s">
        <v>1469</v>
      </c>
      <c r="G53" s="1162" t="s">
        <v>4057</v>
      </c>
      <c r="H53" s="841" t="s">
        <v>3537</v>
      </c>
      <c r="I53" s="841" t="s">
        <v>5887</v>
      </c>
      <c r="J53" s="390" t="s">
        <v>351</v>
      </c>
      <c r="N53" s="2204" t="str">
        <f t="shared" si="7"/>
        <v>U55</v>
      </c>
      <c r="O53" s="2205" t="s">
        <v>5207</v>
      </c>
      <c r="P53" s="841" t="s">
        <v>406</v>
      </c>
    </row>
    <row r="54" spans="1:16" ht="18.75" x14ac:dyDescent="0.3">
      <c r="A54" s="390" t="str">
        <f t="shared" si="6"/>
        <v>U60 UNC at Wilmington</v>
      </c>
      <c r="B54" s="391" t="s">
        <v>64</v>
      </c>
      <c r="C54" s="391" t="str">
        <f t="shared" si="8"/>
        <v>U60</v>
      </c>
      <c r="D54" s="390" t="s">
        <v>180</v>
      </c>
      <c r="E54" s="390" t="s">
        <v>821</v>
      </c>
      <c r="F54" s="841" t="s">
        <v>1469</v>
      </c>
      <c r="G54" s="1162" t="s">
        <v>4048</v>
      </c>
      <c r="H54" s="841" t="s">
        <v>4049</v>
      </c>
      <c r="I54" s="2363" t="s">
        <v>5772</v>
      </c>
      <c r="J54" s="390" t="s">
        <v>351</v>
      </c>
      <c r="K54" s="976"/>
      <c r="N54" s="2204" t="str">
        <f t="shared" si="7"/>
        <v>U60</v>
      </c>
      <c r="O54" s="2205" t="s">
        <v>5208</v>
      </c>
      <c r="P54" s="841" t="s">
        <v>64</v>
      </c>
    </row>
    <row r="55" spans="1:16" ht="18.75" x14ac:dyDescent="0.3">
      <c r="A55" s="390" t="str">
        <f t="shared" si="6"/>
        <v>U65 East Carolina University</v>
      </c>
      <c r="B55" s="391" t="s">
        <v>65</v>
      </c>
      <c r="C55" s="391" t="str">
        <f t="shared" si="8"/>
        <v>U65</v>
      </c>
      <c r="D55" s="390" t="s">
        <v>6</v>
      </c>
      <c r="E55" s="390" t="s">
        <v>821</v>
      </c>
      <c r="F55" s="841" t="s">
        <v>1469</v>
      </c>
      <c r="G55" s="1162" t="s">
        <v>5893</v>
      </c>
      <c r="H55" s="841" t="s">
        <v>5894</v>
      </c>
      <c r="I55" s="2363" t="s">
        <v>5895</v>
      </c>
      <c r="J55" s="390" t="s">
        <v>351</v>
      </c>
      <c r="K55" s="976"/>
      <c r="N55" s="2204" t="str">
        <f t="shared" si="7"/>
        <v>U65</v>
      </c>
      <c r="O55" s="2205" t="s">
        <v>5209</v>
      </c>
      <c r="P55" s="841" t="s">
        <v>65</v>
      </c>
    </row>
    <row r="56" spans="1:16" ht="18.75" x14ac:dyDescent="0.3">
      <c r="A56" s="390" t="str">
        <f t="shared" si="6"/>
        <v>U70 North Carolina A&amp;T University</v>
      </c>
      <c r="B56" s="391" t="s">
        <v>66</v>
      </c>
      <c r="C56" s="391" t="str">
        <f t="shared" si="8"/>
        <v>U70</v>
      </c>
      <c r="D56" s="841" t="s">
        <v>1285</v>
      </c>
      <c r="E56" s="390" t="s">
        <v>821</v>
      </c>
      <c r="F56" s="841" t="s">
        <v>1469</v>
      </c>
      <c r="G56" s="1162" t="s">
        <v>3890</v>
      </c>
      <c r="H56" s="841" t="s">
        <v>3538</v>
      </c>
      <c r="I56" s="2363" t="s">
        <v>5786</v>
      </c>
      <c r="J56" s="390" t="s">
        <v>351</v>
      </c>
      <c r="K56" s="976"/>
      <c r="N56" s="2204" t="str">
        <f t="shared" si="7"/>
        <v>U70</v>
      </c>
      <c r="O56" s="2205" t="s">
        <v>5210</v>
      </c>
      <c r="P56" s="841" t="s">
        <v>66</v>
      </c>
    </row>
    <row r="57" spans="1:16" ht="18.75" x14ac:dyDescent="0.3">
      <c r="A57" s="390" t="str">
        <f t="shared" si="6"/>
        <v>U75 Western Carolina University</v>
      </c>
      <c r="B57" s="391" t="s">
        <v>67</v>
      </c>
      <c r="C57" s="391" t="str">
        <f t="shared" si="8"/>
        <v>U75</v>
      </c>
      <c r="D57" s="390" t="s">
        <v>173</v>
      </c>
      <c r="E57" s="390" t="s">
        <v>821</v>
      </c>
      <c r="F57" s="841" t="s">
        <v>1469</v>
      </c>
      <c r="G57" s="1162" t="s">
        <v>5745</v>
      </c>
      <c r="H57" s="841" t="s">
        <v>5746</v>
      </c>
      <c r="I57" s="2363" t="s">
        <v>5787</v>
      </c>
      <c r="J57" s="390" t="s">
        <v>351</v>
      </c>
      <c r="N57" s="2204" t="str">
        <f t="shared" si="7"/>
        <v>U75</v>
      </c>
      <c r="O57" s="2205" t="s">
        <v>5211</v>
      </c>
      <c r="P57" s="841" t="s">
        <v>67</v>
      </c>
    </row>
    <row r="58" spans="1:16" ht="18.75" x14ac:dyDescent="0.3">
      <c r="A58" s="390" t="str">
        <f t="shared" si="6"/>
        <v>U80 Appalachian State University</v>
      </c>
      <c r="B58" s="391" t="s">
        <v>741</v>
      </c>
      <c r="C58" s="391" t="str">
        <f t="shared" si="8"/>
        <v>U80</v>
      </c>
      <c r="D58" s="390" t="s">
        <v>172</v>
      </c>
      <c r="E58" s="390" t="s">
        <v>821</v>
      </c>
      <c r="F58" s="841" t="s">
        <v>1469</v>
      </c>
      <c r="G58" s="1162" t="s">
        <v>3562</v>
      </c>
      <c r="H58" s="841" t="s">
        <v>3563</v>
      </c>
      <c r="I58" s="2363" t="s">
        <v>5779</v>
      </c>
      <c r="J58" s="390" t="s">
        <v>351</v>
      </c>
      <c r="N58" s="2204" t="str">
        <f t="shared" si="7"/>
        <v>U80</v>
      </c>
      <c r="O58" s="2205" t="s">
        <v>5212</v>
      </c>
      <c r="P58" s="841" t="s">
        <v>741</v>
      </c>
    </row>
    <row r="59" spans="1:16" ht="18.75" x14ac:dyDescent="0.3">
      <c r="A59" s="390" t="str">
        <f t="shared" si="6"/>
        <v>U82 UNC at Pembroke</v>
      </c>
      <c r="B59" s="391" t="s">
        <v>742</v>
      </c>
      <c r="C59" s="391" t="str">
        <f t="shared" si="8"/>
        <v>U82</v>
      </c>
      <c r="D59" s="390" t="s">
        <v>181</v>
      </c>
      <c r="E59" s="390" t="s">
        <v>821</v>
      </c>
      <c r="F59" s="841" t="s">
        <v>1469</v>
      </c>
      <c r="G59" s="1162" t="s">
        <v>5329</v>
      </c>
      <c r="H59" s="841" t="s">
        <v>5330</v>
      </c>
      <c r="I59" s="1162" t="s">
        <v>5858</v>
      </c>
      <c r="J59" s="390" t="s">
        <v>351</v>
      </c>
      <c r="N59" s="2204" t="str">
        <f t="shared" si="7"/>
        <v>U82</v>
      </c>
      <c r="O59" s="2205" t="s">
        <v>5213</v>
      </c>
      <c r="P59" s="841" t="s">
        <v>742</v>
      </c>
    </row>
    <row r="60" spans="1:16" ht="18.75" x14ac:dyDescent="0.3">
      <c r="A60" s="390" t="str">
        <f t="shared" si="6"/>
        <v>U84 Winston-Salem State University</v>
      </c>
      <c r="B60" s="391" t="s">
        <v>743</v>
      </c>
      <c r="C60" s="391" t="str">
        <f t="shared" si="8"/>
        <v>U84</v>
      </c>
      <c r="D60" s="390" t="s">
        <v>174</v>
      </c>
      <c r="E60" s="390" t="s">
        <v>821</v>
      </c>
      <c r="F60" s="841" t="s">
        <v>1469</v>
      </c>
      <c r="G60" s="1162" t="s">
        <v>5793</v>
      </c>
      <c r="H60" s="841" t="s">
        <v>5533</v>
      </c>
      <c r="I60" s="2364" t="s">
        <v>5794</v>
      </c>
      <c r="J60" s="390" t="s">
        <v>351</v>
      </c>
      <c r="N60" s="2204" t="str">
        <f t="shared" si="7"/>
        <v>U84</v>
      </c>
      <c r="O60" s="2205" t="s">
        <v>5214</v>
      </c>
      <c r="P60" s="841" t="s">
        <v>743</v>
      </c>
    </row>
    <row r="61" spans="1:16" ht="18.75" x14ac:dyDescent="0.3">
      <c r="A61" s="390" t="str">
        <f t="shared" si="6"/>
        <v>U86 Elizabeth City State University</v>
      </c>
      <c r="B61" s="391" t="s">
        <v>744</v>
      </c>
      <c r="C61" s="391" t="str">
        <f t="shared" si="8"/>
        <v>U86</v>
      </c>
      <c r="D61" s="390" t="s">
        <v>68</v>
      </c>
      <c r="E61" s="390" t="s">
        <v>821</v>
      </c>
      <c r="F61" s="841" t="s">
        <v>1469</v>
      </c>
      <c r="G61" s="1162" t="s">
        <v>3630</v>
      </c>
      <c r="H61" s="841" t="s">
        <v>3631</v>
      </c>
      <c r="I61" s="2363" t="s">
        <v>5791</v>
      </c>
      <c r="J61" s="390" t="s">
        <v>351</v>
      </c>
      <c r="N61" s="2204" t="str">
        <f t="shared" si="7"/>
        <v>U86</v>
      </c>
      <c r="O61" s="2205" t="s">
        <v>5215</v>
      </c>
      <c r="P61" s="841" t="s">
        <v>744</v>
      </c>
    </row>
    <row r="62" spans="1:16" ht="18.75" x14ac:dyDescent="0.3">
      <c r="A62" s="390" t="str">
        <f t="shared" si="6"/>
        <v>U88 Fayetteville State University</v>
      </c>
      <c r="B62" s="391" t="s">
        <v>745</v>
      </c>
      <c r="C62" s="391" t="str">
        <f t="shared" si="8"/>
        <v>U88</v>
      </c>
      <c r="D62" s="390" t="s">
        <v>69</v>
      </c>
      <c r="E62" s="390" t="s">
        <v>821</v>
      </c>
      <c r="F62" s="841" t="s">
        <v>1469</v>
      </c>
      <c r="G62" s="1162" t="s">
        <v>5888</v>
      </c>
      <c r="H62" s="841" t="s">
        <v>3927</v>
      </c>
      <c r="I62" s="2363" t="s">
        <v>5889</v>
      </c>
      <c r="J62" s="390" t="s">
        <v>351</v>
      </c>
      <c r="N62" s="2204" t="str">
        <f t="shared" si="7"/>
        <v>U88</v>
      </c>
      <c r="O62" s="2205" t="s">
        <v>5216</v>
      </c>
      <c r="P62" s="841" t="s">
        <v>745</v>
      </c>
    </row>
    <row r="63" spans="1:16" ht="18.75" x14ac:dyDescent="0.3">
      <c r="A63" s="390" t="str">
        <f t="shared" si="6"/>
        <v>U90 North Carolina Central University</v>
      </c>
      <c r="B63" s="391" t="s">
        <v>746</v>
      </c>
      <c r="C63" s="391" t="str">
        <f t="shared" si="8"/>
        <v>U90</v>
      </c>
      <c r="D63" s="390" t="s">
        <v>7</v>
      </c>
      <c r="E63" s="390" t="s">
        <v>821</v>
      </c>
      <c r="F63" s="841" t="s">
        <v>1469</v>
      </c>
      <c r="G63" s="1162" t="s">
        <v>4856</v>
      </c>
      <c r="H63" s="841" t="s">
        <v>4857</v>
      </c>
      <c r="I63" s="2363" t="s">
        <v>5872</v>
      </c>
      <c r="J63" s="390" t="s">
        <v>351</v>
      </c>
      <c r="N63" s="2204" t="str">
        <f t="shared" si="7"/>
        <v>U90</v>
      </c>
      <c r="O63" s="2205" t="s">
        <v>5217</v>
      </c>
      <c r="P63" s="841" t="s">
        <v>746</v>
      </c>
    </row>
    <row r="64" spans="1:16" ht="18.75" x14ac:dyDescent="0.3">
      <c r="A64" s="390" t="str">
        <f t="shared" si="6"/>
        <v>U92 UNC School of the Arts</v>
      </c>
      <c r="B64" s="391" t="s">
        <v>747</v>
      </c>
      <c r="C64" s="391" t="str">
        <f t="shared" si="8"/>
        <v>U92</v>
      </c>
      <c r="D64" s="841" t="s">
        <v>1284</v>
      </c>
      <c r="E64" s="390" t="s">
        <v>821</v>
      </c>
      <c r="F64" s="841" t="s">
        <v>1469</v>
      </c>
      <c r="G64" s="1162" t="s">
        <v>5695</v>
      </c>
      <c r="H64" s="841" t="s">
        <v>5696</v>
      </c>
      <c r="I64" s="2363" t="s">
        <v>5866</v>
      </c>
      <c r="J64" s="390" t="s">
        <v>351</v>
      </c>
      <c r="N64" s="2204" t="str">
        <f t="shared" si="7"/>
        <v>U92</v>
      </c>
      <c r="O64" s="2205" t="s">
        <v>5218</v>
      </c>
      <c r="P64" s="841" t="s">
        <v>747</v>
      </c>
    </row>
    <row r="65" spans="1:15" x14ac:dyDescent="0.25">
      <c r="A65" s="390" t="str">
        <f t="shared" si="6"/>
        <v>0A North Carolina Housing Finance Ag.</v>
      </c>
      <c r="B65" s="391" t="s">
        <v>150</v>
      </c>
      <c r="C65" s="391" t="str">
        <f>TEXT(B65,"00")</f>
        <v>0A</v>
      </c>
      <c r="D65" s="390" t="s">
        <v>182</v>
      </c>
      <c r="E65" s="841" t="s">
        <v>823</v>
      </c>
      <c r="F65" s="390" t="s">
        <v>926</v>
      </c>
      <c r="G65" s="1162" t="s">
        <v>4904</v>
      </c>
      <c r="H65" s="841" t="s">
        <v>4905</v>
      </c>
      <c r="J65" s="764">
        <v>2611</v>
      </c>
      <c r="K65" s="976" t="s">
        <v>4956</v>
      </c>
      <c r="N65" s="2204" t="str">
        <f t="shared" si="7"/>
        <v>0A</v>
      </c>
      <c r="O65" s="2205" t="s">
        <v>5219</v>
      </c>
    </row>
    <row r="66" spans="1:15" x14ac:dyDescent="0.25">
      <c r="A66" s="390" t="str">
        <f t="shared" si="6"/>
        <v>Z2 NC Biotechnology Center</v>
      </c>
      <c r="B66" s="391" t="s">
        <v>1311</v>
      </c>
      <c r="C66" s="391" t="str">
        <f t="shared" ref="C66:C76" si="9">B66</f>
        <v>Z2</v>
      </c>
      <c r="D66" s="841" t="s">
        <v>1312</v>
      </c>
      <c r="E66" s="390" t="s">
        <v>823</v>
      </c>
      <c r="F66" s="390" t="s">
        <v>926</v>
      </c>
      <c r="G66" s="1162" t="s">
        <v>4484</v>
      </c>
      <c r="H66" s="841" t="s">
        <v>4485</v>
      </c>
      <c r="I66" s="2363" t="s">
        <v>5780</v>
      </c>
      <c r="J66" s="764">
        <v>2618</v>
      </c>
      <c r="N66" s="2204" t="str">
        <f t="shared" ref="N66:N76" si="10">C66</f>
        <v>Z2</v>
      </c>
      <c r="O66" s="2205" t="s">
        <v>5220</v>
      </c>
    </row>
    <row r="67" spans="1:15" x14ac:dyDescent="0.25">
      <c r="A67" s="390" t="str">
        <f t="shared" ref="A67:A98" si="11">C67&amp;" "&amp;D67</f>
        <v>Z3 NC Global TransPark Authority</v>
      </c>
      <c r="B67" s="391" t="s">
        <v>623</v>
      </c>
      <c r="C67" s="391" t="str">
        <f t="shared" si="9"/>
        <v>Z3</v>
      </c>
      <c r="D67" s="390" t="s">
        <v>576</v>
      </c>
      <c r="E67" s="390" t="s">
        <v>823</v>
      </c>
      <c r="F67" s="841" t="s">
        <v>1064</v>
      </c>
      <c r="G67" s="1162" t="s">
        <v>3555</v>
      </c>
      <c r="H67" s="841" t="s">
        <v>5878</v>
      </c>
      <c r="I67" s="2363" t="s">
        <v>5879</v>
      </c>
      <c r="J67" s="764">
        <v>2615</v>
      </c>
      <c r="K67" s="1163"/>
      <c r="N67" s="2204" t="str">
        <f t="shared" si="10"/>
        <v>Z3</v>
      </c>
      <c r="O67" s="2205" t="s">
        <v>5221</v>
      </c>
    </row>
    <row r="68" spans="1:15" x14ac:dyDescent="0.25">
      <c r="A68" s="390" t="str">
        <f t="shared" si="11"/>
        <v>Z3F NC Global TransPark Authority Foundation</v>
      </c>
      <c r="B68" s="391" t="s">
        <v>1748</v>
      </c>
      <c r="C68" s="391" t="str">
        <f t="shared" si="9"/>
        <v>Z3F</v>
      </c>
      <c r="D68" s="841" t="s">
        <v>1749</v>
      </c>
      <c r="E68" s="390" t="s">
        <v>823</v>
      </c>
      <c r="F68" s="390" t="s">
        <v>926</v>
      </c>
      <c r="G68" s="1162" t="s">
        <v>3555</v>
      </c>
      <c r="H68" s="841" t="s">
        <v>5878</v>
      </c>
      <c r="I68" s="2363" t="s">
        <v>5879</v>
      </c>
      <c r="J68" s="764">
        <v>2615</v>
      </c>
      <c r="K68" s="1163" t="s">
        <v>1751</v>
      </c>
      <c r="N68" s="2204" t="str">
        <f t="shared" si="10"/>
        <v>Z3F</v>
      </c>
      <c r="O68" s="2205" t="s">
        <v>5221</v>
      </c>
    </row>
    <row r="69" spans="1:15" x14ac:dyDescent="0.25">
      <c r="A69" s="390" t="str">
        <f t="shared" si="11"/>
        <v>Z7 NC Partnership for Children</v>
      </c>
      <c r="B69" s="391" t="s">
        <v>624</v>
      </c>
      <c r="C69" s="391" t="str">
        <f t="shared" si="9"/>
        <v>Z7</v>
      </c>
      <c r="D69" s="390" t="s">
        <v>577</v>
      </c>
      <c r="E69" s="390" t="s">
        <v>823</v>
      </c>
      <c r="F69" s="390" t="s">
        <v>926</v>
      </c>
      <c r="G69" s="1162" t="s">
        <v>5641</v>
      </c>
      <c r="H69" s="841" t="s">
        <v>4161</v>
      </c>
      <c r="J69" s="764">
        <v>2621</v>
      </c>
      <c r="N69" s="2204" t="str">
        <f t="shared" si="10"/>
        <v>Z7</v>
      </c>
      <c r="O69" s="2205" t="s">
        <v>5222</v>
      </c>
    </row>
    <row r="70" spans="1:15" x14ac:dyDescent="0.25">
      <c r="A70" s="390" t="str">
        <f t="shared" si="11"/>
        <v>ZA NC State Ports Authority</v>
      </c>
      <c r="B70" s="391" t="s">
        <v>622</v>
      </c>
      <c r="C70" s="391" t="str">
        <f t="shared" si="9"/>
        <v>ZA</v>
      </c>
      <c r="D70" s="390" t="s">
        <v>575</v>
      </c>
      <c r="E70" s="390" t="s">
        <v>823</v>
      </c>
      <c r="F70" s="841" t="s">
        <v>1064</v>
      </c>
      <c r="G70" s="1162" t="s">
        <v>3539</v>
      </c>
      <c r="H70" s="841" t="s">
        <v>3540</v>
      </c>
      <c r="I70" s="2363" t="s">
        <v>5880</v>
      </c>
      <c r="J70" s="764">
        <v>2612</v>
      </c>
      <c r="N70" s="2204" t="str">
        <f t="shared" si="10"/>
        <v>ZA</v>
      </c>
      <c r="O70" s="2205" t="s">
        <v>5223</v>
      </c>
    </row>
    <row r="71" spans="1:15" x14ac:dyDescent="0.25">
      <c r="A71" s="390" t="str">
        <f t="shared" si="11"/>
        <v>ZB State Education Assistance Authority</v>
      </c>
      <c r="B71" s="391" t="s">
        <v>400</v>
      </c>
      <c r="C71" s="391" t="str">
        <f t="shared" si="9"/>
        <v>ZB</v>
      </c>
      <c r="D71" s="390" t="s">
        <v>183</v>
      </c>
      <c r="E71" s="841" t="s">
        <v>823</v>
      </c>
      <c r="F71" s="390" t="s">
        <v>926</v>
      </c>
      <c r="G71" s="1162" t="s">
        <v>3682</v>
      </c>
      <c r="H71" s="841" t="s">
        <v>3683</v>
      </c>
      <c r="I71" s="2363" t="s">
        <v>5792</v>
      </c>
      <c r="J71" s="764">
        <v>2620</v>
      </c>
      <c r="K71" s="1163" t="s">
        <v>1968</v>
      </c>
      <c r="N71" s="2204" t="str">
        <f t="shared" si="10"/>
        <v>ZB</v>
      </c>
      <c r="O71" s="2205" t="s">
        <v>5224</v>
      </c>
    </row>
    <row r="72" spans="1:15" x14ac:dyDescent="0.25">
      <c r="A72" s="390" t="str">
        <f t="shared" si="11"/>
        <v>ZG Centennial Authority</v>
      </c>
      <c r="B72" s="391" t="s">
        <v>1965</v>
      </c>
      <c r="C72" s="391" t="str">
        <f t="shared" si="9"/>
        <v>ZG</v>
      </c>
      <c r="D72" s="841" t="s">
        <v>1966</v>
      </c>
      <c r="E72" s="390" t="s">
        <v>823</v>
      </c>
      <c r="F72" s="390" t="s">
        <v>926</v>
      </c>
      <c r="G72" s="1162" t="s">
        <v>3684</v>
      </c>
      <c r="H72" s="841" t="s">
        <v>3685</v>
      </c>
      <c r="I72" s="2363" t="s">
        <v>5773</v>
      </c>
      <c r="J72" s="764">
        <v>2626</v>
      </c>
      <c r="K72" s="1163" t="s">
        <v>4957</v>
      </c>
      <c r="N72" s="2204" t="str">
        <f t="shared" si="10"/>
        <v>ZG</v>
      </c>
      <c r="O72" s="2205" t="s">
        <v>5225</v>
      </c>
    </row>
    <row r="73" spans="1:15" x14ac:dyDescent="0.25">
      <c r="A73" s="390" t="str">
        <f t="shared" si="11"/>
        <v>ZH NC Railroad Company</v>
      </c>
      <c r="B73" s="391" t="s">
        <v>625</v>
      </c>
      <c r="C73" s="391" t="str">
        <f t="shared" si="9"/>
        <v>ZH</v>
      </c>
      <c r="D73" s="390" t="s">
        <v>621</v>
      </c>
      <c r="E73" s="390" t="s">
        <v>823</v>
      </c>
      <c r="F73" s="390" t="s">
        <v>926</v>
      </c>
      <c r="G73" s="1162" t="s">
        <v>5331</v>
      </c>
      <c r="H73" s="841" t="s">
        <v>3686</v>
      </c>
      <c r="I73" s="2368" t="s">
        <v>5859</v>
      </c>
      <c r="J73" s="764">
        <v>2627</v>
      </c>
      <c r="N73" s="2204" t="str">
        <f t="shared" si="10"/>
        <v>ZH</v>
      </c>
      <c r="O73" s="2205" t="s">
        <v>5226</v>
      </c>
    </row>
    <row r="74" spans="1:15" x14ac:dyDescent="0.25">
      <c r="A74" s="390" t="str">
        <f t="shared" si="11"/>
        <v>ZI The Golden LEAF, Inc.</v>
      </c>
      <c r="B74" s="391" t="s">
        <v>780</v>
      </c>
      <c r="C74" s="391" t="str">
        <f t="shared" si="9"/>
        <v>ZI</v>
      </c>
      <c r="D74" s="390" t="s">
        <v>184</v>
      </c>
      <c r="E74" s="841" t="s">
        <v>823</v>
      </c>
      <c r="F74" s="390" t="s">
        <v>926</v>
      </c>
      <c r="G74" s="1162" t="s">
        <v>5389</v>
      </c>
      <c r="H74" s="841" t="s">
        <v>781</v>
      </c>
      <c r="I74" s="2363" t="s">
        <v>5781</v>
      </c>
      <c r="J74" s="764">
        <v>2640</v>
      </c>
      <c r="K74" s="1163" t="s">
        <v>1968</v>
      </c>
      <c r="N74" s="2204" t="str">
        <f t="shared" si="10"/>
        <v>ZI</v>
      </c>
      <c r="O74" s="2205" t="s">
        <v>5227</v>
      </c>
    </row>
    <row r="75" spans="1:15" x14ac:dyDescent="0.25">
      <c r="A75" s="390" t="str">
        <f t="shared" si="11"/>
        <v>ZL Gateway Research Park, Inc.</v>
      </c>
      <c r="B75" s="391" t="s">
        <v>1689</v>
      </c>
      <c r="C75" s="391" t="str">
        <f t="shared" si="9"/>
        <v>ZL</v>
      </c>
      <c r="D75" s="841" t="s">
        <v>4654</v>
      </c>
      <c r="E75" s="390" t="s">
        <v>821</v>
      </c>
      <c r="F75" s="390" t="s">
        <v>926</v>
      </c>
      <c r="G75" s="1162" t="s">
        <v>4586</v>
      </c>
      <c r="H75" s="841" t="s">
        <v>4587</v>
      </c>
      <c r="I75" s="2363" t="s">
        <v>5873</v>
      </c>
      <c r="J75" s="1162" t="s">
        <v>351</v>
      </c>
      <c r="K75" s="1163" t="s">
        <v>4655</v>
      </c>
      <c r="N75" s="2204" t="str">
        <f t="shared" si="10"/>
        <v>ZL</v>
      </c>
      <c r="O75" s="2205" t="s">
        <v>5228</v>
      </c>
    </row>
    <row r="76" spans="1:15" x14ac:dyDescent="0.25">
      <c r="A76" s="390" t="str">
        <f t="shared" si="11"/>
        <v>ZM Economic Development Partnership of NC</v>
      </c>
      <c r="B76" s="391" t="s">
        <v>3858</v>
      </c>
      <c r="C76" s="391" t="str">
        <f t="shared" si="9"/>
        <v>ZM</v>
      </c>
      <c r="D76" s="841" t="s">
        <v>3864</v>
      </c>
      <c r="E76" s="390" t="s">
        <v>823</v>
      </c>
      <c r="F76" s="390" t="s">
        <v>926</v>
      </c>
      <c r="G76" s="1162" t="s">
        <v>5697</v>
      </c>
      <c r="H76" s="841" t="s">
        <v>5698</v>
      </c>
      <c r="I76" s="2363" t="s">
        <v>5867</v>
      </c>
      <c r="J76" s="764">
        <v>2644</v>
      </c>
      <c r="K76" s="1163" t="s">
        <v>3865</v>
      </c>
      <c r="N76" s="2204" t="str">
        <f t="shared" si="10"/>
        <v>ZM</v>
      </c>
      <c r="O76" s="2205" t="s">
        <v>5229</v>
      </c>
    </row>
    <row r="77" spans="1:15" x14ac:dyDescent="0.25">
      <c r="A77" s="390" t="str">
        <f t="shared" si="11"/>
        <v>C0 Alamance Community College</v>
      </c>
      <c r="B77" s="391" t="s">
        <v>603</v>
      </c>
      <c r="C77" s="391" t="s">
        <v>603</v>
      </c>
      <c r="D77" s="390" t="s">
        <v>604</v>
      </c>
      <c r="E77" s="390" t="s">
        <v>822</v>
      </c>
      <c r="F77" s="390" t="s">
        <v>926</v>
      </c>
      <c r="G77" s="1162" t="s">
        <v>5351</v>
      </c>
      <c r="H77" s="841" t="s">
        <v>3541</v>
      </c>
      <c r="I77" s="2363" t="s">
        <v>5795</v>
      </c>
      <c r="J77" s="390" t="s">
        <v>351</v>
      </c>
      <c r="N77" s="2204"/>
      <c r="O77" s="2205"/>
    </row>
    <row r="78" spans="1:15" x14ac:dyDescent="0.25">
      <c r="A78" s="390" t="str">
        <f t="shared" si="11"/>
        <v>C2 Asheville-Buncombe Technical Community College</v>
      </c>
      <c r="B78" s="391" t="s">
        <v>605</v>
      </c>
      <c r="C78" s="391" t="s">
        <v>605</v>
      </c>
      <c r="D78" s="841" t="s">
        <v>606</v>
      </c>
      <c r="E78" s="841" t="s">
        <v>822</v>
      </c>
      <c r="F78" s="841" t="s">
        <v>926</v>
      </c>
      <c r="G78" s="1162" t="s">
        <v>5244</v>
      </c>
      <c r="H78" s="841" t="s">
        <v>5245</v>
      </c>
      <c r="I78" s="2365" t="s">
        <v>5796</v>
      </c>
      <c r="J78" s="390" t="s">
        <v>351</v>
      </c>
      <c r="N78" s="2204"/>
      <c r="O78" s="2205"/>
    </row>
    <row r="79" spans="1:15" x14ac:dyDescent="0.25">
      <c r="A79" s="390" t="str">
        <f t="shared" si="11"/>
        <v>C3 Beaufort County Community College</v>
      </c>
      <c r="B79" s="391" t="s">
        <v>607</v>
      </c>
      <c r="C79" s="391" t="s">
        <v>607</v>
      </c>
      <c r="D79" s="841" t="s">
        <v>608</v>
      </c>
      <c r="E79" s="841" t="s">
        <v>822</v>
      </c>
      <c r="F79" s="841" t="s">
        <v>926</v>
      </c>
      <c r="G79" s="1162" t="s">
        <v>5246</v>
      </c>
      <c r="H79" s="841" t="s">
        <v>5247</v>
      </c>
      <c r="I79" s="2365" t="s">
        <v>5797</v>
      </c>
      <c r="J79" s="390" t="s">
        <v>351</v>
      </c>
      <c r="N79" s="2204"/>
      <c r="O79" s="2205"/>
    </row>
    <row r="80" spans="1:15" x14ac:dyDescent="0.25">
      <c r="A80" s="390" t="str">
        <f t="shared" si="11"/>
        <v>C4 Bladen Community College</v>
      </c>
      <c r="B80" s="391" t="s">
        <v>609</v>
      </c>
      <c r="C80" s="391" t="s">
        <v>609</v>
      </c>
      <c r="D80" s="841" t="s">
        <v>610</v>
      </c>
      <c r="E80" s="841" t="s">
        <v>822</v>
      </c>
      <c r="F80" s="841" t="s">
        <v>926</v>
      </c>
      <c r="G80" s="1162" t="s">
        <v>5248</v>
      </c>
      <c r="H80" s="841" t="s">
        <v>5249</v>
      </c>
      <c r="I80" s="2365" t="s">
        <v>5798</v>
      </c>
      <c r="J80" s="390" t="s">
        <v>351</v>
      </c>
      <c r="N80" s="2204"/>
      <c r="O80" s="2205"/>
    </row>
    <row r="81" spans="1:15" x14ac:dyDescent="0.25">
      <c r="A81" s="390" t="str">
        <f t="shared" si="11"/>
        <v>C5 Blue Ridge Community College</v>
      </c>
      <c r="B81" s="391" t="s">
        <v>611</v>
      </c>
      <c r="C81" s="391" t="s">
        <v>611</v>
      </c>
      <c r="D81" s="841" t="s">
        <v>612</v>
      </c>
      <c r="E81" s="841" t="s">
        <v>822</v>
      </c>
      <c r="F81" s="841" t="s">
        <v>926</v>
      </c>
      <c r="G81" s="1162" t="s">
        <v>5250</v>
      </c>
      <c r="H81" s="841" t="s">
        <v>5251</v>
      </c>
      <c r="I81" s="2365" t="s">
        <v>5799</v>
      </c>
      <c r="J81" s="390" t="s">
        <v>351</v>
      </c>
      <c r="N81" s="2204"/>
      <c r="O81" s="2205"/>
    </row>
    <row r="82" spans="1:15" x14ac:dyDescent="0.25">
      <c r="A82" s="390" t="str">
        <f t="shared" si="11"/>
        <v>C6 Brunswick Community College</v>
      </c>
      <c r="B82" s="391" t="s">
        <v>878</v>
      </c>
      <c r="C82" s="391" t="s">
        <v>878</v>
      </c>
      <c r="D82" s="841" t="s">
        <v>879</v>
      </c>
      <c r="E82" s="841" t="s">
        <v>822</v>
      </c>
      <c r="F82" s="841" t="s">
        <v>926</v>
      </c>
      <c r="G82" s="1162" t="s">
        <v>5252</v>
      </c>
      <c r="H82" s="841" t="s">
        <v>5253</v>
      </c>
      <c r="I82" s="2365" t="s">
        <v>5800</v>
      </c>
      <c r="J82" s="390" t="s">
        <v>351</v>
      </c>
      <c r="N82" s="2204"/>
      <c r="O82" s="2205"/>
    </row>
    <row r="83" spans="1:15" x14ac:dyDescent="0.25">
      <c r="A83" s="390" t="str">
        <f t="shared" si="11"/>
        <v>C7 Caldwell Community College and Technical Institute</v>
      </c>
      <c r="B83" s="391" t="s">
        <v>880</v>
      </c>
      <c r="C83" s="391" t="s">
        <v>880</v>
      </c>
      <c r="D83" s="841" t="s">
        <v>881</v>
      </c>
      <c r="E83" s="841" t="s">
        <v>822</v>
      </c>
      <c r="F83" s="841" t="s">
        <v>926</v>
      </c>
      <c r="G83" s="1162" t="s">
        <v>3542</v>
      </c>
      <c r="H83" s="841" t="s">
        <v>4365</v>
      </c>
      <c r="I83" s="2366" t="s">
        <v>5801</v>
      </c>
      <c r="J83" s="390" t="s">
        <v>351</v>
      </c>
      <c r="N83" s="2204"/>
      <c r="O83" s="2205"/>
    </row>
    <row r="84" spans="1:15" x14ac:dyDescent="0.25">
      <c r="A84" s="390" t="str">
        <f t="shared" si="11"/>
        <v>C8 Cape Fear Community College</v>
      </c>
      <c r="B84" s="391" t="s">
        <v>882</v>
      </c>
      <c r="C84" s="391" t="s">
        <v>882</v>
      </c>
      <c r="D84" s="841" t="s">
        <v>883</v>
      </c>
      <c r="E84" s="841" t="s">
        <v>822</v>
      </c>
      <c r="F84" s="841" t="s">
        <v>926</v>
      </c>
      <c r="G84" s="1162" t="s">
        <v>5254</v>
      </c>
      <c r="H84" s="841" t="s">
        <v>3543</v>
      </c>
      <c r="I84" s="2365" t="s">
        <v>5802</v>
      </c>
      <c r="J84" s="390" t="s">
        <v>351</v>
      </c>
      <c r="N84" s="2204"/>
      <c r="O84" s="2205"/>
    </row>
    <row r="85" spans="1:15" x14ac:dyDescent="0.25">
      <c r="A85" s="390" t="str">
        <f t="shared" si="11"/>
        <v>C9 Carteret Community College</v>
      </c>
      <c r="B85" s="391" t="s">
        <v>884</v>
      </c>
      <c r="C85" s="391" t="s">
        <v>884</v>
      </c>
      <c r="D85" s="841" t="s">
        <v>885</v>
      </c>
      <c r="E85" s="841" t="s">
        <v>822</v>
      </c>
      <c r="F85" s="841" t="s">
        <v>926</v>
      </c>
      <c r="G85" s="1162" t="s">
        <v>5255</v>
      </c>
      <c r="H85" s="841" t="s">
        <v>5256</v>
      </c>
      <c r="I85" s="2365" t="s">
        <v>5803</v>
      </c>
      <c r="J85" s="390" t="s">
        <v>351</v>
      </c>
      <c r="N85" s="2204"/>
      <c r="O85" s="2205"/>
    </row>
    <row r="86" spans="1:15" x14ac:dyDescent="0.25">
      <c r="A86" s="390" t="str">
        <f t="shared" si="11"/>
        <v>CA Catawba Valley Community College</v>
      </c>
      <c r="B86" s="391" t="s">
        <v>886</v>
      </c>
      <c r="C86" s="391" t="s">
        <v>886</v>
      </c>
      <c r="D86" s="841" t="s">
        <v>887</v>
      </c>
      <c r="E86" s="841" t="s">
        <v>822</v>
      </c>
      <c r="F86" s="841" t="s">
        <v>926</v>
      </c>
      <c r="G86" s="1162" t="s">
        <v>5257</v>
      </c>
      <c r="H86" s="841" t="s">
        <v>5258</v>
      </c>
      <c r="I86" s="2365" t="s">
        <v>5804</v>
      </c>
      <c r="J86" s="390" t="s">
        <v>351</v>
      </c>
      <c r="N86" s="2204"/>
      <c r="O86" s="2205"/>
    </row>
    <row r="87" spans="1:15" x14ac:dyDescent="0.25">
      <c r="A87" s="390" t="str">
        <f t="shared" si="11"/>
        <v>CB Central Carolina Community College</v>
      </c>
      <c r="B87" s="391" t="s">
        <v>888</v>
      </c>
      <c r="C87" s="391" t="s">
        <v>888</v>
      </c>
      <c r="D87" s="841" t="s">
        <v>889</v>
      </c>
      <c r="E87" s="841" t="s">
        <v>822</v>
      </c>
      <c r="F87" s="841" t="s">
        <v>926</v>
      </c>
      <c r="G87" s="1162" t="s">
        <v>5259</v>
      </c>
      <c r="H87" s="841" t="s">
        <v>3544</v>
      </c>
      <c r="I87" s="2365" t="s">
        <v>5805</v>
      </c>
      <c r="J87" s="390" t="s">
        <v>351</v>
      </c>
      <c r="N87" s="2204"/>
      <c r="O87" s="2205"/>
    </row>
    <row r="88" spans="1:15" x14ac:dyDescent="0.25">
      <c r="A88" s="390" t="str">
        <f t="shared" si="11"/>
        <v>CC Central Piedmont Community College</v>
      </c>
      <c r="B88" s="391" t="s">
        <v>890</v>
      </c>
      <c r="C88" s="391" t="s">
        <v>890</v>
      </c>
      <c r="D88" s="841" t="s">
        <v>891</v>
      </c>
      <c r="E88" s="841" t="s">
        <v>822</v>
      </c>
      <c r="F88" s="841" t="s">
        <v>926</v>
      </c>
      <c r="G88" s="1162" t="s">
        <v>5260</v>
      </c>
      <c r="H88" s="841" t="s">
        <v>5261</v>
      </c>
      <c r="I88" s="2365" t="s">
        <v>5806</v>
      </c>
      <c r="J88" s="390" t="s">
        <v>351</v>
      </c>
      <c r="N88" s="2204"/>
      <c r="O88" s="2205"/>
    </row>
    <row r="89" spans="1:15" x14ac:dyDescent="0.25">
      <c r="A89" s="390" t="str">
        <f t="shared" si="11"/>
        <v>CD Cleveland Community College</v>
      </c>
      <c r="B89" s="391" t="s">
        <v>892</v>
      </c>
      <c r="C89" s="391" t="s">
        <v>892</v>
      </c>
      <c r="D89" s="841" t="s">
        <v>893</v>
      </c>
      <c r="E89" s="841" t="s">
        <v>822</v>
      </c>
      <c r="F89" s="841" t="s">
        <v>926</v>
      </c>
      <c r="G89" s="1162" t="s">
        <v>5262</v>
      </c>
      <c r="H89" s="841" t="s">
        <v>5263</v>
      </c>
      <c r="I89" s="2366" t="s">
        <v>5807</v>
      </c>
      <c r="J89" s="390" t="s">
        <v>351</v>
      </c>
      <c r="N89" s="2204"/>
      <c r="O89" s="2205"/>
    </row>
    <row r="90" spans="1:15" x14ac:dyDescent="0.25">
      <c r="A90" s="390" t="str">
        <f t="shared" si="11"/>
        <v>CE Coastal Carolina Community College</v>
      </c>
      <c r="B90" s="391" t="s">
        <v>894</v>
      </c>
      <c r="C90" s="391" t="s">
        <v>894</v>
      </c>
      <c r="D90" s="841" t="s">
        <v>895</v>
      </c>
      <c r="E90" s="841" t="s">
        <v>822</v>
      </c>
      <c r="F90" s="841" t="s">
        <v>926</v>
      </c>
      <c r="G90" s="1162" t="s">
        <v>3545</v>
      </c>
      <c r="H90" s="841" t="s">
        <v>3546</v>
      </c>
      <c r="I90" s="2366" t="s">
        <v>5808</v>
      </c>
      <c r="J90" s="390" t="s">
        <v>351</v>
      </c>
      <c r="N90" s="2204"/>
      <c r="O90" s="2205"/>
    </row>
    <row r="91" spans="1:15" x14ac:dyDescent="0.25">
      <c r="A91" s="390" t="str">
        <f t="shared" si="11"/>
        <v>CF College of the Albemarle</v>
      </c>
      <c r="B91" s="391" t="s">
        <v>442</v>
      </c>
      <c r="C91" s="391" t="s">
        <v>442</v>
      </c>
      <c r="D91" s="841" t="s">
        <v>443</v>
      </c>
      <c r="E91" s="841" t="s">
        <v>822</v>
      </c>
      <c r="F91" s="841" t="s">
        <v>926</v>
      </c>
      <c r="G91" s="1162" t="s">
        <v>5264</v>
      </c>
      <c r="H91" s="841" t="s">
        <v>5265</v>
      </c>
      <c r="I91" s="2365" t="s">
        <v>5809</v>
      </c>
      <c r="J91" s="390" t="s">
        <v>351</v>
      </c>
      <c r="N91" s="2204"/>
      <c r="O91" s="2205"/>
    </row>
    <row r="92" spans="1:15" x14ac:dyDescent="0.25">
      <c r="A92" s="390" t="str">
        <f t="shared" si="11"/>
        <v>CG Craven Community College</v>
      </c>
      <c r="B92" s="391" t="s">
        <v>46</v>
      </c>
      <c r="C92" s="391" t="s">
        <v>46</v>
      </c>
      <c r="D92" s="841" t="s">
        <v>661</v>
      </c>
      <c r="E92" s="841" t="s">
        <v>822</v>
      </c>
      <c r="F92" s="841" t="s">
        <v>926</v>
      </c>
      <c r="G92" s="1162" t="s">
        <v>5874</v>
      </c>
      <c r="H92" s="841" t="s">
        <v>5266</v>
      </c>
      <c r="I92" s="2370" t="s">
        <v>5875</v>
      </c>
      <c r="J92" s="390" t="s">
        <v>351</v>
      </c>
      <c r="N92" s="2204"/>
      <c r="O92" s="2205"/>
    </row>
    <row r="93" spans="1:15" x14ac:dyDescent="0.25">
      <c r="A93" s="390" t="str">
        <f t="shared" si="11"/>
        <v>CH Davidson-Davie Community College</v>
      </c>
      <c r="B93" s="391" t="s">
        <v>662</v>
      </c>
      <c r="C93" s="391" t="s">
        <v>662</v>
      </c>
      <c r="D93" s="841" t="s">
        <v>5332</v>
      </c>
      <c r="E93" s="390" t="s">
        <v>822</v>
      </c>
      <c r="F93" s="390" t="s">
        <v>926</v>
      </c>
      <c r="G93" s="1162" t="s">
        <v>5333</v>
      </c>
      <c r="H93" s="841" t="s">
        <v>5334</v>
      </c>
      <c r="I93" s="2365" t="s">
        <v>5810</v>
      </c>
      <c r="J93" s="390" t="s">
        <v>351</v>
      </c>
      <c r="N93" s="2204"/>
      <c r="O93" s="2205"/>
    </row>
    <row r="94" spans="1:15" x14ac:dyDescent="0.25">
      <c r="A94" s="390" t="str">
        <f t="shared" si="11"/>
        <v>CJ Durham Technical Community College</v>
      </c>
      <c r="B94" s="391" t="s">
        <v>664</v>
      </c>
      <c r="C94" s="391" t="s">
        <v>664</v>
      </c>
      <c r="D94" s="841" t="s">
        <v>665</v>
      </c>
      <c r="E94" s="841" t="s">
        <v>822</v>
      </c>
      <c r="F94" s="841" t="s">
        <v>926</v>
      </c>
      <c r="G94" s="1162" t="s">
        <v>5267</v>
      </c>
      <c r="H94" s="841" t="s">
        <v>5268</v>
      </c>
      <c r="I94" s="2365" t="s">
        <v>5811</v>
      </c>
      <c r="J94" s="390" t="s">
        <v>351</v>
      </c>
      <c r="N94" s="2204"/>
      <c r="O94" s="2205"/>
    </row>
    <row r="95" spans="1:15" x14ac:dyDescent="0.25">
      <c r="A95" s="390" t="str">
        <f t="shared" si="11"/>
        <v>CK Edgecombe Community College</v>
      </c>
      <c r="B95" s="391" t="s">
        <v>666</v>
      </c>
      <c r="C95" s="391" t="s">
        <v>666</v>
      </c>
      <c r="D95" s="841" t="s">
        <v>667</v>
      </c>
      <c r="E95" s="841" t="s">
        <v>822</v>
      </c>
      <c r="F95" s="841" t="s">
        <v>926</v>
      </c>
      <c r="G95" s="1162" t="s">
        <v>5269</v>
      </c>
      <c r="H95" s="841" t="s">
        <v>5270</v>
      </c>
      <c r="I95" s="2365" t="s">
        <v>5812</v>
      </c>
      <c r="J95" s="390" t="s">
        <v>351</v>
      </c>
      <c r="N95" s="2204"/>
      <c r="O95" s="2205"/>
    </row>
    <row r="96" spans="1:15" x14ac:dyDescent="0.25">
      <c r="A96" s="390" t="str">
        <f t="shared" si="11"/>
        <v>CL Fayetteville Technical Community College</v>
      </c>
      <c r="B96" s="391" t="s">
        <v>668</v>
      </c>
      <c r="C96" s="391" t="s">
        <v>668</v>
      </c>
      <c r="D96" s="841" t="s">
        <v>669</v>
      </c>
      <c r="E96" s="841" t="s">
        <v>822</v>
      </c>
      <c r="F96" s="841" t="s">
        <v>926</v>
      </c>
      <c r="G96" s="1162" t="s">
        <v>5335</v>
      </c>
      <c r="H96" s="841" t="s">
        <v>5336</v>
      </c>
      <c r="I96" s="2365" t="s">
        <v>5813</v>
      </c>
      <c r="J96" s="390" t="s">
        <v>351</v>
      </c>
      <c r="N96" s="2204"/>
      <c r="O96" s="2205"/>
    </row>
    <row r="97" spans="1:15" x14ac:dyDescent="0.25">
      <c r="A97" s="390" t="str">
        <f t="shared" si="11"/>
        <v>CM Forsyth Technical Community College</v>
      </c>
      <c r="B97" s="391" t="s">
        <v>670</v>
      </c>
      <c r="C97" s="391" t="s">
        <v>670</v>
      </c>
      <c r="D97" s="841" t="s">
        <v>671</v>
      </c>
      <c r="E97" s="841" t="s">
        <v>822</v>
      </c>
      <c r="F97" s="841" t="s">
        <v>926</v>
      </c>
      <c r="G97" s="1162" t="s">
        <v>5271</v>
      </c>
      <c r="H97" s="841" t="s">
        <v>5272</v>
      </c>
      <c r="I97" s="2365" t="s">
        <v>5814</v>
      </c>
      <c r="J97" s="390" t="s">
        <v>351</v>
      </c>
      <c r="N97" s="2204"/>
      <c r="O97" s="2205"/>
    </row>
    <row r="98" spans="1:15" x14ac:dyDescent="0.25">
      <c r="A98" s="390" t="str">
        <f t="shared" si="11"/>
        <v>CN Gaston College</v>
      </c>
      <c r="B98" s="391" t="s">
        <v>672</v>
      </c>
      <c r="C98" s="391" t="s">
        <v>672</v>
      </c>
      <c r="D98" s="841" t="s">
        <v>673</v>
      </c>
      <c r="E98" s="841" t="s">
        <v>822</v>
      </c>
      <c r="F98" s="841" t="s">
        <v>926</v>
      </c>
      <c r="G98" s="1162" t="s">
        <v>5273</v>
      </c>
      <c r="H98" s="841" t="s">
        <v>5274</v>
      </c>
      <c r="I98" s="2365" t="s">
        <v>5815</v>
      </c>
      <c r="J98" s="390" t="s">
        <v>351</v>
      </c>
      <c r="N98" s="2204"/>
      <c r="O98" s="2205"/>
    </row>
    <row r="99" spans="1:15" x14ac:dyDescent="0.25">
      <c r="A99" s="390" t="str">
        <f t="shared" ref="A99:A134" si="12">C99&amp;" "&amp;D99</f>
        <v>CP Guilford Technical Community College</v>
      </c>
      <c r="B99" s="391" t="s">
        <v>674</v>
      </c>
      <c r="C99" s="391" t="s">
        <v>674</v>
      </c>
      <c r="D99" s="841" t="s">
        <v>675</v>
      </c>
      <c r="E99" s="841" t="s">
        <v>822</v>
      </c>
      <c r="F99" s="841" t="s">
        <v>926</v>
      </c>
      <c r="G99" s="1162" t="s">
        <v>5275</v>
      </c>
      <c r="H99" s="841" t="s">
        <v>5276</v>
      </c>
      <c r="I99" s="2367" t="s">
        <v>5816</v>
      </c>
      <c r="J99" s="390" t="s">
        <v>351</v>
      </c>
      <c r="N99" s="2204"/>
      <c r="O99" s="2205"/>
    </row>
    <row r="100" spans="1:15" x14ac:dyDescent="0.25">
      <c r="A100" s="390" t="str">
        <f t="shared" si="12"/>
        <v>CQ Halifax Community College</v>
      </c>
      <c r="B100" s="391" t="s">
        <v>676</v>
      </c>
      <c r="C100" s="391" t="s">
        <v>676</v>
      </c>
      <c r="D100" s="841" t="s">
        <v>677</v>
      </c>
      <c r="E100" s="841" t="s">
        <v>822</v>
      </c>
      <c r="F100" s="841" t="s">
        <v>926</v>
      </c>
      <c r="G100" s="1162" t="s">
        <v>5277</v>
      </c>
      <c r="H100" s="841" t="s">
        <v>5278</v>
      </c>
      <c r="I100" s="2365" t="s">
        <v>5817</v>
      </c>
      <c r="J100" s="390" t="s">
        <v>351</v>
      </c>
      <c r="N100" s="2204"/>
      <c r="O100" s="2205"/>
    </row>
    <row r="101" spans="1:15" x14ac:dyDescent="0.25">
      <c r="A101" s="390" t="str">
        <f t="shared" si="12"/>
        <v>CR Haywood Community College</v>
      </c>
      <c r="B101" s="391" t="s">
        <v>847</v>
      </c>
      <c r="C101" s="391" t="s">
        <v>847</v>
      </c>
      <c r="D101" s="841" t="s">
        <v>848</v>
      </c>
      <c r="E101" s="841" t="s">
        <v>822</v>
      </c>
      <c r="F101" s="841" t="s">
        <v>926</v>
      </c>
      <c r="G101" s="1162" t="s">
        <v>4366</v>
      </c>
      <c r="H101" s="841" t="s">
        <v>4367</v>
      </c>
      <c r="I101" s="2366" t="s">
        <v>5818</v>
      </c>
      <c r="J101" s="390" t="s">
        <v>351</v>
      </c>
      <c r="N101" s="2204"/>
      <c r="O101" s="2205"/>
    </row>
    <row r="102" spans="1:15" x14ac:dyDescent="0.25">
      <c r="A102" s="390" t="str">
        <f t="shared" si="12"/>
        <v>CS Isothermal Community College</v>
      </c>
      <c r="B102" s="391" t="s">
        <v>849</v>
      </c>
      <c r="C102" s="391" t="s">
        <v>849</v>
      </c>
      <c r="D102" s="841" t="s">
        <v>850</v>
      </c>
      <c r="E102" s="841" t="s">
        <v>822</v>
      </c>
      <c r="F102" s="841" t="s">
        <v>926</v>
      </c>
      <c r="G102" s="1162" t="s">
        <v>3668</v>
      </c>
      <c r="H102" s="841" t="s">
        <v>5279</v>
      </c>
      <c r="I102" s="2367" t="s">
        <v>5819</v>
      </c>
      <c r="J102" s="390" t="s">
        <v>351</v>
      </c>
      <c r="N102" s="2204"/>
      <c r="O102" s="2205"/>
    </row>
    <row r="103" spans="1:15" x14ac:dyDescent="0.25">
      <c r="A103" s="390" t="str">
        <f t="shared" si="12"/>
        <v>CT James Sprunt Community College</v>
      </c>
      <c r="B103" s="391" t="s">
        <v>851</v>
      </c>
      <c r="C103" s="391" t="s">
        <v>851</v>
      </c>
      <c r="D103" s="841" t="s">
        <v>852</v>
      </c>
      <c r="E103" s="841" t="s">
        <v>822</v>
      </c>
      <c r="F103" s="841" t="s">
        <v>926</v>
      </c>
      <c r="G103" s="1162" t="s">
        <v>3669</v>
      </c>
      <c r="H103" s="841" t="s">
        <v>5280</v>
      </c>
      <c r="I103" s="2366" t="s">
        <v>5820</v>
      </c>
      <c r="J103" s="390" t="s">
        <v>351</v>
      </c>
      <c r="N103" s="2204"/>
      <c r="O103" s="2205"/>
    </row>
    <row r="104" spans="1:15" x14ac:dyDescent="0.25">
      <c r="A104" s="390" t="str">
        <f t="shared" si="12"/>
        <v>CU Johnston Community College</v>
      </c>
      <c r="B104" s="391" t="s">
        <v>853</v>
      </c>
      <c r="C104" s="391" t="s">
        <v>853</v>
      </c>
      <c r="D104" s="841" t="s">
        <v>854</v>
      </c>
      <c r="E104" s="841" t="s">
        <v>822</v>
      </c>
      <c r="F104" s="841" t="s">
        <v>926</v>
      </c>
      <c r="G104" s="1162" t="s">
        <v>5281</v>
      </c>
      <c r="H104" s="841" t="s">
        <v>3670</v>
      </c>
      <c r="I104" s="2365" t="s">
        <v>5821</v>
      </c>
      <c r="J104" s="390" t="s">
        <v>351</v>
      </c>
      <c r="N104" s="2204"/>
      <c r="O104" s="2205"/>
    </row>
    <row r="105" spans="1:15" x14ac:dyDescent="0.25">
      <c r="A105" s="390" t="str">
        <f t="shared" si="12"/>
        <v>CV Lenoir Community College</v>
      </c>
      <c r="B105" s="391" t="s">
        <v>855</v>
      </c>
      <c r="C105" s="391" t="s">
        <v>855</v>
      </c>
      <c r="D105" s="841" t="s">
        <v>856</v>
      </c>
      <c r="E105" s="841" t="s">
        <v>822</v>
      </c>
      <c r="F105" s="841" t="s">
        <v>926</v>
      </c>
      <c r="G105" s="1162" t="s">
        <v>5282</v>
      </c>
      <c r="H105" s="841" t="s">
        <v>4370</v>
      </c>
      <c r="I105" s="2365" t="s">
        <v>5822</v>
      </c>
      <c r="J105" s="390" t="s">
        <v>351</v>
      </c>
      <c r="N105" s="2204"/>
      <c r="O105" s="2205"/>
    </row>
    <row r="106" spans="1:15" x14ac:dyDescent="0.25">
      <c r="A106" s="390" t="str">
        <f t="shared" si="12"/>
        <v>CW Martin Community College</v>
      </c>
      <c r="B106" s="391" t="s">
        <v>857</v>
      </c>
      <c r="C106" s="391" t="s">
        <v>857</v>
      </c>
      <c r="D106" s="841" t="s">
        <v>858</v>
      </c>
      <c r="E106" s="841" t="s">
        <v>822</v>
      </c>
      <c r="F106" s="841" t="s">
        <v>926</v>
      </c>
      <c r="G106" s="1162" t="s">
        <v>5283</v>
      </c>
      <c r="H106" s="841" t="s">
        <v>5284</v>
      </c>
      <c r="I106" s="2365" t="s">
        <v>5823</v>
      </c>
      <c r="J106" s="390" t="s">
        <v>351</v>
      </c>
      <c r="N106" s="2204"/>
      <c r="O106" s="2205"/>
    </row>
    <row r="107" spans="1:15" x14ac:dyDescent="0.25">
      <c r="A107" s="390" t="str">
        <f t="shared" si="12"/>
        <v>CX Mayland Community College</v>
      </c>
      <c r="B107" s="391" t="s">
        <v>859</v>
      </c>
      <c r="C107" s="391" t="s">
        <v>859</v>
      </c>
      <c r="D107" s="841" t="s">
        <v>860</v>
      </c>
      <c r="E107" s="841" t="s">
        <v>822</v>
      </c>
      <c r="F107" s="841" t="s">
        <v>926</v>
      </c>
      <c r="G107" s="1162" t="s">
        <v>5285</v>
      </c>
      <c r="H107" s="841" t="s">
        <v>5286</v>
      </c>
      <c r="I107" s="2365" t="s">
        <v>5824</v>
      </c>
      <c r="J107" s="390" t="s">
        <v>351</v>
      </c>
      <c r="N107" s="2204"/>
      <c r="O107" s="2205"/>
    </row>
    <row r="108" spans="1:15" x14ac:dyDescent="0.25">
      <c r="A108" s="390" t="str">
        <f t="shared" si="12"/>
        <v>CY McDowell Technical Community College</v>
      </c>
      <c r="B108" s="391" t="s">
        <v>861</v>
      </c>
      <c r="C108" s="391" t="s">
        <v>861</v>
      </c>
      <c r="D108" s="841" t="s">
        <v>862</v>
      </c>
      <c r="E108" s="841" t="s">
        <v>822</v>
      </c>
      <c r="F108" s="841" t="s">
        <v>926</v>
      </c>
      <c r="G108" s="1162" t="s">
        <v>5287</v>
      </c>
      <c r="H108" s="841" t="s">
        <v>5288</v>
      </c>
      <c r="I108" s="2365" t="s">
        <v>5825</v>
      </c>
      <c r="J108" s="390" t="s">
        <v>351</v>
      </c>
      <c r="N108" s="2204"/>
      <c r="O108" s="2205"/>
    </row>
    <row r="109" spans="1:15" x14ac:dyDescent="0.25">
      <c r="A109" s="390" t="str">
        <f t="shared" si="12"/>
        <v>CZ Mitchell Community College</v>
      </c>
      <c r="B109" s="391" t="s">
        <v>863</v>
      </c>
      <c r="C109" s="391" t="s">
        <v>863</v>
      </c>
      <c r="D109" s="841" t="s">
        <v>864</v>
      </c>
      <c r="E109" s="841" t="s">
        <v>822</v>
      </c>
      <c r="F109" s="841" t="s">
        <v>926</v>
      </c>
      <c r="G109" s="1162" t="s">
        <v>5289</v>
      </c>
      <c r="H109" s="841" t="s">
        <v>5290</v>
      </c>
      <c r="I109" s="2365" t="s">
        <v>5826</v>
      </c>
      <c r="J109" s="390" t="s">
        <v>351</v>
      </c>
      <c r="N109" s="2204"/>
      <c r="O109" s="2205"/>
    </row>
    <row r="110" spans="1:15" x14ac:dyDescent="0.25">
      <c r="A110" s="390" t="str">
        <f t="shared" si="12"/>
        <v>D0 Montgomery Community College</v>
      </c>
      <c r="B110" s="391" t="s">
        <v>865</v>
      </c>
      <c r="C110" s="391" t="s">
        <v>865</v>
      </c>
      <c r="D110" s="841" t="s">
        <v>1065</v>
      </c>
      <c r="E110" s="841" t="s">
        <v>822</v>
      </c>
      <c r="F110" s="841" t="s">
        <v>926</v>
      </c>
      <c r="G110" s="1162" t="s">
        <v>5291</v>
      </c>
      <c r="H110" s="841" t="s">
        <v>5292</v>
      </c>
      <c r="I110" s="2366" t="s">
        <v>5827</v>
      </c>
      <c r="J110" s="390" t="s">
        <v>351</v>
      </c>
      <c r="N110" s="2204"/>
      <c r="O110" s="2205"/>
    </row>
    <row r="111" spans="1:15" x14ac:dyDescent="0.25">
      <c r="A111" s="390" t="str">
        <f t="shared" si="12"/>
        <v>D1 Nash Community College</v>
      </c>
      <c r="B111" s="391" t="s">
        <v>1066</v>
      </c>
      <c r="C111" s="391" t="s">
        <v>1066</v>
      </c>
      <c r="D111" s="841" t="s">
        <v>1067</v>
      </c>
      <c r="E111" s="841" t="s">
        <v>822</v>
      </c>
      <c r="F111" s="841" t="s">
        <v>926</v>
      </c>
      <c r="G111" s="1162" t="s">
        <v>5337</v>
      </c>
      <c r="H111" s="841" t="s">
        <v>5338</v>
      </c>
      <c r="I111" s="2365" t="s">
        <v>5828</v>
      </c>
      <c r="J111" s="390" t="s">
        <v>351</v>
      </c>
      <c r="N111" s="2204"/>
      <c r="O111" s="2205"/>
    </row>
    <row r="112" spans="1:15" x14ac:dyDescent="0.25">
      <c r="A112" s="390" t="str">
        <f t="shared" si="12"/>
        <v>D2 Pamlico Community College</v>
      </c>
      <c r="B112" s="391" t="s">
        <v>1068</v>
      </c>
      <c r="C112" s="391" t="s">
        <v>1068</v>
      </c>
      <c r="D112" s="841" t="s">
        <v>1069</v>
      </c>
      <c r="E112" s="841" t="s">
        <v>822</v>
      </c>
      <c r="F112" s="841" t="s">
        <v>926</v>
      </c>
      <c r="G112" s="1162" t="s">
        <v>4369</v>
      </c>
      <c r="H112" s="841" t="s">
        <v>5293</v>
      </c>
      <c r="I112" s="2366" t="s">
        <v>5829</v>
      </c>
      <c r="J112" s="390" t="s">
        <v>351</v>
      </c>
      <c r="N112" s="2204"/>
      <c r="O112" s="2205"/>
    </row>
    <row r="113" spans="1:15" x14ac:dyDescent="0.25">
      <c r="A113" s="390" t="str">
        <f t="shared" si="12"/>
        <v>D3 Piedmont Community College</v>
      </c>
      <c r="B113" s="391" t="s">
        <v>1070</v>
      </c>
      <c r="C113" s="391" t="s">
        <v>1070</v>
      </c>
      <c r="D113" s="841" t="s">
        <v>1071</v>
      </c>
      <c r="E113" s="841" t="s">
        <v>822</v>
      </c>
      <c r="F113" s="841" t="s">
        <v>926</v>
      </c>
      <c r="G113" s="1162" t="s">
        <v>5352</v>
      </c>
      <c r="H113" s="841" t="s">
        <v>5353</v>
      </c>
      <c r="I113" s="2365" t="s">
        <v>5830</v>
      </c>
      <c r="J113" s="390" t="s">
        <v>351</v>
      </c>
      <c r="N113" s="2204"/>
      <c r="O113" s="2205"/>
    </row>
    <row r="114" spans="1:15" x14ac:dyDescent="0.25">
      <c r="A114" s="390" t="str">
        <f t="shared" si="12"/>
        <v>D4 Pitt Community College</v>
      </c>
      <c r="B114" s="391" t="s">
        <v>1072</v>
      </c>
      <c r="C114" s="391" t="s">
        <v>1072</v>
      </c>
      <c r="D114" s="841" t="s">
        <v>1073</v>
      </c>
      <c r="E114" s="841" t="s">
        <v>822</v>
      </c>
      <c r="F114" s="841" t="s">
        <v>926</v>
      </c>
      <c r="G114" s="1162" t="s">
        <v>5294</v>
      </c>
      <c r="H114" s="841" t="s">
        <v>5295</v>
      </c>
      <c r="I114" s="2365" t="s">
        <v>5831</v>
      </c>
      <c r="J114" s="390" t="s">
        <v>351</v>
      </c>
      <c r="N114" s="2204"/>
      <c r="O114" s="2205"/>
    </row>
    <row r="115" spans="1:15" x14ac:dyDescent="0.25">
      <c r="A115" s="390" t="str">
        <f t="shared" si="12"/>
        <v>D5 Randolph Community College</v>
      </c>
      <c r="B115" s="391" t="s">
        <v>1074</v>
      </c>
      <c r="C115" s="391" t="s">
        <v>1074</v>
      </c>
      <c r="D115" s="841" t="s">
        <v>866</v>
      </c>
      <c r="E115" s="841" t="s">
        <v>822</v>
      </c>
      <c r="F115" s="841" t="s">
        <v>926</v>
      </c>
      <c r="G115" s="1162" t="s">
        <v>5339</v>
      </c>
      <c r="H115" s="841" t="s">
        <v>5296</v>
      </c>
      <c r="I115" s="2365" t="s">
        <v>5832</v>
      </c>
      <c r="J115" s="390" t="s">
        <v>351</v>
      </c>
      <c r="N115" s="2204"/>
      <c r="O115" s="2205"/>
    </row>
    <row r="116" spans="1:15" x14ac:dyDescent="0.25">
      <c r="A116" s="390" t="str">
        <f t="shared" si="12"/>
        <v>D6 Richmond Community College</v>
      </c>
      <c r="B116" s="391" t="s">
        <v>867</v>
      </c>
      <c r="C116" s="391" t="s">
        <v>867</v>
      </c>
      <c r="D116" s="841" t="s">
        <v>868</v>
      </c>
      <c r="E116" s="841" t="s">
        <v>822</v>
      </c>
      <c r="F116" s="841" t="s">
        <v>926</v>
      </c>
      <c r="G116" s="1162" t="s">
        <v>3671</v>
      </c>
      <c r="H116" s="841" t="s">
        <v>3672</v>
      </c>
      <c r="I116" s="2365" t="s">
        <v>5833</v>
      </c>
      <c r="J116" s="390" t="s">
        <v>351</v>
      </c>
      <c r="N116" s="2204"/>
      <c r="O116" s="2205"/>
    </row>
    <row r="117" spans="1:15" x14ac:dyDescent="0.25">
      <c r="A117" s="390" t="str">
        <f t="shared" si="12"/>
        <v>D7 Roanoke-Chowan Community College</v>
      </c>
      <c r="B117" s="391" t="s">
        <v>869</v>
      </c>
      <c r="C117" s="391" t="s">
        <v>869</v>
      </c>
      <c r="D117" s="841" t="s">
        <v>870</v>
      </c>
      <c r="E117" s="841" t="s">
        <v>822</v>
      </c>
      <c r="F117" s="841" t="s">
        <v>926</v>
      </c>
      <c r="G117" s="1162" t="s">
        <v>5354</v>
      </c>
      <c r="H117" s="841" t="s">
        <v>5355</v>
      </c>
      <c r="I117" s="2365" t="s">
        <v>5834</v>
      </c>
      <c r="J117" s="390" t="s">
        <v>351</v>
      </c>
      <c r="N117" s="2204"/>
      <c r="O117" s="2205"/>
    </row>
    <row r="118" spans="1:15" x14ac:dyDescent="0.25">
      <c r="A118" s="390" t="str">
        <f t="shared" si="12"/>
        <v>D8 Robeson Community College</v>
      </c>
      <c r="B118" s="391" t="s">
        <v>871</v>
      </c>
      <c r="C118" s="391" t="s">
        <v>871</v>
      </c>
      <c r="D118" s="841" t="s">
        <v>872</v>
      </c>
      <c r="E118" s="841" t="s">
        <v>822</v>
      </c>
      <c r="F118" s="841" t="s">
        <v>926</v>
      </c>
      <c r="G118" s="1162" t="s">
        <v>3673</v>
      </c>
      <c r="H118" s="841" t="s">
        <v>3674</v>
      </c>
      <c r="I118" s="2366" t="s">
        <v>5835</v>
      </c>
      <c r="J118" s="390" t="s">
        <v>351</v>
      </c>
      <c r="N118" s="2204"/>
      <c r="O118" s="2205"/>
    </row>
    <row r="119" spans="1:15" x14ac:dyDescent="0.25">
      <c r="A119" s="390" t="str">
        <f t="shared" si="12"/>
        <v>D9 Rockingham Community College</v>
      </c>
      <c r="B119" s="391" t="s">
        <v>873</v>
      </c>
      <c r="C119" s="391" t="s">
        <v>873</v>
      </c>
      <c r="D119" s="841" t="s">
        <v>874</v>
      </c>
      <c r="E119" s="841" t="s">
        <v>822</v>
      </c>
      <c r="F119" s="841" t="s">
        <v>926</v>
      </c>
      <c r="G119" s="1162" t="s">
        <v>5297</v>
      </c>
      <c r="H119" s="841" t="s">
        <v>3675</v>
      </c>
      <c r="I119" s="2365" t="s">
        <v>5836</v>
      </c>
      <c r="J119" s="390" t="s">
        <v>351</v>
      </c>
      <c r="N119" s="2204"/>
      <c r="O119" s="2205"/>
    </row>
    <row r="120" spans="1:15" x14ac:dyDescent="0.25">
      <c r="A120" s="390" t="str">
        <f t="shared" si="12"/>
        <v>DA Rowan-Cabarrus Community College</v>
      </c>
      <c r="B120" s="391" t="s">
        <v>875</v>
      </c>
      <c r="C120" s="391" t="s">
        <v>875</v>
      </c>
      <c r="D120" s="841" t="s">
        <v>876</v>
      </c>
      <c r="E120" s="841" t="s">
        <v>822</v>
      </c>
      <c r="F120" s="841" t="s">
        <v>926</v>
      </c>
      <c r="G120" s="1162" t="s">
        <v>5340</v>
      </c>
      <c r="H120" s="841" t="s">
        <v>3676</v>
      </c>
      <c r="I120" s="2365" t="s">
        <v>5837</v>
      </c>
      <c r="J120" s="390" t="s">
        <v>351</v>
      </c>
      <c r="N120" s="2204"/>
      <c r="O120" s="2205"/>
    </row>
    <row r="121" spans="1:15" x14ac:dyDescent="0.25">
      <c r="A121" s="390" t="str">
        <f t="shared" si="12"/>
        <v>DB Sampson Community College</v>
      </c>
      <c r="B121" s="391" t="s">
        <v>877</v>
      </c>
      <c r="C121" s="391" t="s">
        <v>877</v>
      </c>
      <c r="D121" s="841" t="s">
        <v>121</v>
      </c>
      <c r="E121" s="841" t="s">
        <v>822</v>
      </c>
      <c r="F121" s="841" t="s">
        <v>926</v>
      </c>
      <c r="G121" s="1162" t="s">
        <v>3677</v>
      </c>
      <c r="H121" s="841" t="s">
        <v>5298</v>
      </c>
      <c r="I121" s="2366" t="s">
        <v>5838</v>
      </c>
      <c r="J121" s="390" t="s">
        <v>351</v>
      </c>
      <c r="N121" s="2204"/>
      <c r="O121" s="2205"/>
    </row>
    <row r="122" spans="1:15" x14ac:dyDescent="0.25">
      <c r="A122" s="390" t="str">
        <f t="shared" si="12"/>
        <v>DC Sandhills Community College</v>
      </c>
      <c r="B122" s="391" t="s">
        <v>122</v>
      </c>
      <c r="C122" s="391" t="s">
        <v>122</v>
      </c>
      <c r="D122" s="841" t="s">
        <v>123</v>
      </c>
      <c r="E122" s="841" t="s">
        <v>822</v>
      </c>
      <c r="F122" s="841" t="s">
        <v>926</v>
      </c>
      <c r="G122" s="1162" t="s">
        <v>5341</v>
      </c>
      <c r="H122" s="841" t="s">
        <v>5299</v>
      </c>
      <c r="I122" s="2365" t="s">
        <v>5839</v>
      </c>
      <c r="J122" s="390" t="s">
        <v>351</v>
      </c>
      <c r="N122" s="2204"/>
      <c r="O122" s="2205"/>
    </row>
    <row r="123" spans="1:15" x14ac:dyDescent="0.25">
      <c r="A123" s="390" t="str">
        <f t="shared" si="12"/>
        <v>C1 South Piedmont Community College</v>
      </c>
      <c r="B123" s="391" t="s">
        <v>124</v>
      </c>
      <c r="C123" s="391" t="s">
        <v>124</v>
      </c>
      <c r="D123" s="841" t="s">
        <v>125</v>
      </c>
      <c r="E123" s="841" t="s">
        <v>822</v>
      </c>
      <c r="F123" s="841" t="s">
        <v>926</v>
      </c>
      <c r="G123" s="1162" t="s">
        <v>5300</v>
      </c>
      <c r="H123" s="841" t="s">
        <v>5301</v>
      </c>
      <c r="I123" s="2365" t="s">
        <v>5840</v>
      </c>
      <c r="J123" s="390" t="s">
        <v>351</v>
      </c>
      <c r="N123" s="2204"/>
      <c r="O123" s="2205"/>
    </row>
    <row r="124" spans="1:15" x14ac:dyDescent="0.25">
      <c r="A124" s="390" t="str">
        <f t="shared" si="12"/>
        <v>DD Southeastern Community College</v>
      </c>
      <c r="B124" s="391" t="s">
        <v>126</v>
      </c>
      <c r="C124" s="391" t="s">
        <v>126</v>
      </c>
      <c r="D124" s="841" t="s">
        <v>127</v>
      </c>
      <c r="E124" s="841" t="s">
        <v>822</v>
      </c>
      <c r="F124" s="841" t="s">
        <v>926</v>
      </c>
      <c r="G124" s="1162" t="s">
        <v>5302</v>
      </c>
      <c r="H124" s="841" t="s">
        <v>5342</v>
      </c>
      <c r="I124" s="2365" t="s">
        <v>5841</v>
      </c>
      <c r="J124" s="390" t="s">
        <v>351</v>
      </c>
      <c r="N124" s="2204"/>
      <c r="O124" s="2205"/>
    </row>
    <row r="125" spans="1:15" x14ac:dyDescent="0.25">
      <c r="A125" s="390" t="str">
        <f t="shared" si="12"/>
        <v>DE Southwestern Community College</v>
      </c>
      <c r="B125" s="391" t="s">
        <v>578</v>
      </c>
      <c r="C125" s="391" t="s">
        <v>578</v>
      </c>
      <c r="D125" s="841" t="s">
        <v>1174</v>
      </c>
      <c r="E125" s="841" t="s">
        <v>822</v>
      </c>
      <c r="F125" s="841" t="s">
        <v>926</v>
      </c>
      <c r="G125" s="1162" t="s">
        <v>5898</v>
      </c>
      <c r="H125" s="841" t="s">
        <v>5343</v>
      </c>
      <c r="I125" s="2367" t="s">
        <v>5899</v>
      </c>
      <c r="J125" s="390" t="s">
        <v>351</v>
      </c>
      <c r="N125" s="2204"/>
      <c r="O125" s="2205"/>
    </row>
    <row r="126" spans="1:15" x14ac:dyDescent="0.25">
      <c r="A126" s="390" t="str">
        <f t="shared" si="12"/>
        <v>DF Stanly Community College</v>
      </c>
      <c r="B126" s="391" t="s">
        <v>1175</v>
      </c>
      <c r="C126" s="391" t="s">
        <v>1175</v>
      </c>
      <c r="D126" s="841" t="s">
        <v>1176</v>
      </c>
      <c r="E126" s="841" t="s">
        <v>822</v>
      </c>
      <c r="F126" s="841" t="s">
        <v>926</v>
      </c>
      <c r="G126" s="1162" t="s">
        <v>5344</v>
      </c>
      <c r="H126" s="841" t="s">
        <v>5345</v>
      </c>
      <c r="I126" s="2365" t="s">
        <v>5842</v>
      </c>
      <c r="J126" s="390" t="s">
        <v>351</v>
      </c>
      <c r="N126" s="2204"/>
      <c r="O126" s="2205"/>
    </row>
    <row r="127" spans="1:15" x14ac:dyDescent="0.25">
      <c r="A127" s="390" t="str">
        <f t="shared" si="12"/>
        <v>DG Surry Community College</v>
      </c>
      <c r="B127" s="391" t="s">
        <v>1177</v>
      </c>
      <c r="C127" s="391" t="s">
        <v>1177</v>
      </c>
      <c r="D127" s="841" t="s">
        <v>718</v>
      </c>
      <c r="E127" s="841" t="s">
        <v>822</v>
      </c>
      <c r="F127" s="841" t="s">
        <v>926</v>
      </c>
      <c r="G127" s="1162" t="s">
        <v>5303</v>
      </c>
      <c r="H127" s="841" t="s">
        <v>5304</v>
      </c>
      <c r="I127" s="2365" t="s">
        <v>5843</v>
      </c>
      <c r="J127" s="390" t="s">
        <v>351</v>
      </c>
      <c r="N127" s="2204"/>
      <c r="O127" s="2205"/>
    </row>
    <row r="128" spans="1:15" x14ac:dyDescent="0.25">
      <c r="A128" s="390" t="str">
        <f t="shared" si="12"/>
        <v>DH Tri-County Community College</v>
      </c>
      <c r="B128" s="391" t="s">
        <v>719</v>
      </c>
      <c r="C128" s="391" t="s">
        <v>719</v>
      </c>
      <c r="D128" s="841" t="s">
        <v>935</v>
      </c>
      <c r="E128" s="841" t="s">
        <v>822</v>
      </c>
      <c r="F128" s="841" t="s">
        <v>926</v>
      </c>
      <c r="G128" s="1162" t="s">
        <v>5305</v>
      </c>
      <c r="H128" s="841" t="s">
        <v>5306</v>
      </c>
      <c r="I128" s="2365" t="s">
        <v>5844</v>
      </c>
      <c r="J128" s="390" t="s">
        <v>351</v>
      </c>
      <c r="N128" s="2204"/>
      <c r="O128" s="2205"/>
    </row>
    <row r="129" spans="1:15" x14ac:dyDescent="0.25">
      <c r="A129" s="390" t="str">
        <f t="shared" si="12"/>
        <v>DJ Vance-Granville Community College</v>
      </c>
      <c r="B129" s="391" t="s">
        <v>936</v>
      </c>
      <c r="C129" s="391" t="s">
        <v>936</v>
      </c>
      <c r="D129" s="841" t="s">
        <v>937</v>
      </c>
      <c r="E129" s="841" t="s">
        <v>822</v>
      </c>
      <c r="F129" s="841" t="s">
        <v>926</v>
      </c>
      <c r="G129" s="1162" t="s">
        <v>5346</v>
      </c>
      <c r="H129" s="841" t="s">
        <v>5307</v>
      </c>
      <c r="I129" s="2365" t="s">
        <v>5845</v>
      </c>
      <c r="J129" s="390" t="s">
        <v>351</v>
      </c>
      <c r="N129" s="2204"/>
      <c r="O129" s="2205"/>
    </row>
    <row r="130" spans="1:15" x14ac:dyDescent="0.25">
      <c r="A130" s="390" t="str">
        <f t="shared" si="12"/>
        <v>DK Wake Technical Community College</v>
      </c>
      <c r="B130" s="391" t="s">
        <v>938</v>
      </c>
      <c r="C130" s="391" t="s">
        <v>938</v>
      </c>
      <c r="D130" s="841" t="s">
        <v>939</v>
      </c>
      <c r="E130" s="841" t="s">
        <v>822</v>
      </c>
      <c r="F130" s="841" t="s">
        <v>926</v>
      </c>
      <c r="G130" s="1162" t="s">
        <v>3679</v>
      </c>
      <c r="H130" s="841" t="s">
        <v>5308</v>
      </c>
      <c r="I130" s="2366" t="s">
        <v>5846</v>
      </c>
      <c r="J130" s="390" t="s">
        <v>351</v>
      </c>
      <c r="N130" s="2204"/>
      <c r="O130" s="2205"/>
    </row>
    <row r="131" spans="1:15" x14ac:dyDescent="0.25">
      <c r="A131" s="390" t="str">
        <f t="shared" si="12"/>
        <v>DL Wayne Community College</v>
      </c>
      <c r="B131" s="391" t="s">
        <v>940</v>
      </c>
      <c r="C131" s="391" t="s">
        <v>940</v>
      </c>
      <c r="D131" s="841" t="s">
        <v>941</v>
      </c>
      <c r="E131" s="841" t="s">
        <v>822</v>
      </c>
      <c r="F131" s="841" t="s">
        <v>926</v>
      </c>
      <c r="G131" s="1162" t="s">
        <v>3680</v>
      </c>
      <c r="H131" s="841" t="s">
        <v>5309</v>
      </c>
      <c r="I131" s="2366" t="s">
        <v>5847</v>
      </c>
      <c r="J131" s="390" t="s">
        <v>351</v>
      </c>
      <c r="N131" s="2204"/>
      <c r="O131" s="2205"/>
    </row>
    <row r="132" spans="1:15" x14ac:dyDescent="0.25">
      <c r="A132" s="390" t="str">
        <f t="shared" si="12"/>
        <v>DM Western Piedmont Community College</v>
      </c>
      <c r="B132" s="391" t="s">
        <v>942</v>
      </c>
      <c r="C132" s="391" t="s">
        <v>942</v>
      </c>
      <c r="D132" s="841" t="s">
        <v>218</v>
      </c>
      <c r="E132" s="841" t="s">
        <v>822</v>
      </c>
      <c r="F132" s="841" t="s">
        <v>926</v>
      </c>
      <c r="G132" s="1162" t="s">
        <v>5347</v>
      </c>
      <c r="H132" s="841" t="s">
        <v>5348</v>
      </c>
      <c r="I132" s="2365" t="s">
        <v>5848</v>
      </c>
      <c r="J132" s="390" t="s">
        <v>351</v>
      </c>
      <c r="N132" s="2204"/>
      <c r="O132" s="2205"/>
    </row>
    <row r="133" spans="1:15" x14ac:dyDescent="0.25">
      <c r="A133" s="390" t="str">
        <f t="shared" si="12"/>
        <v>DN Wilkes Community College</v>
      </c>
      <c r="B133" s="391" t="s">
        <v>219</v>
      </c>
      <c r="C133" s="391" t="s">
        <v>219</v>
      </c>
      <c r="D133" s="841" t="s">
        <v>220</v>
      </c>
      <c r="E133" s="841" t="s">
        <v>822</v>
      </c>
      <c r="F133" s="841" t="s">
        <v>926</v>
      </c>
      <c r="G133" s="1162" t="s">
        <v>4371</v>
      </c>
      <c r="H133" s="841" t="s">
        <v>4372</v>
      </c>
      <c r="I133" s="2365" t="s">
        <v>5849</v>
      </c>
      <c r="J133" s="390" t="s">
        <v>351</v>
      </c>
      <c r="N133" s="2204"/>
      <c r="O133" s="2205"/>
    </row>
    <row r="134" spans="1:15" x14ac:dyDescent="0.25">
      <c r="A134" s="390" t="str">
        <f t="shared" si="12"/>
        <v>DP Wilson Community College</v>
      </c>
      <c r="B134" s="391" t="s">
        <v>221</v>
      </c>
      <c r="C134" s="391" t="s">
        <v>221</v>
      </c>
      <c r="D134" s="841" t="s">
        <v>429</v>
      </c>
      <c r="E134" s="841" t="s">
        <v>822</v>
      </c>
      <c r="F134" s="841" t="s">
        <v>926</v>
      </c>
      <c r="G134" s="1162" t="s">
        <v>3681</v>
      </c>
      <c r="H134" s="841" t="s">
        <v>5310</v>
      </c>
      <c r="I134" s="2363" t="s">
        <v>5868</v>
      </c>
      <c r="J134" s="390" t="s">
        <v>351</v>
      </c>
      <c r="N134" s="2204"/>
      <c r="O134" s="2205"/>
    </row>
    <row r="135" spans="1:15" x14ac:dyDescent="0.25">
      <c r="B135" s="391" t="s">
        <v>748</v>
      </c>
      <c r="C135" s="391"/>
      <c r="N135" s="2204"/>
    </row>
    <row r="137" spans="1:15" x14ac:dyDescent="0.25">
      <c r="C137" s="390" t="s">
        <v>1147</v>
      </c>
    </row>
    <row r="138" spans="1:15" x14ac:dyDescent="0.25">
      <c r="C138" s="390" t="s">
        <v>853</v>
      </c>
      <c r="D138" s="390" t="s">
        <v>1144</v>
      </c>
    </row>
    <row r="139" spans="1:15" x14ac:dyDescent="0.25">
      <c r="C139" s="390" t="s">
        <v>1143</v>
      </c>
      <c r="D139" s="390" t="s">
        <v>1145</v>
      </c>
    </row>
    <row r="140" spans="1:15" x14ac:dyDescent="0.25">
      <c r="C140" s="390" t="s">
        <v>890</v>
      </c>
      <c r="D140" s="390" t="s">
        <v>1146</v>
      </c>
    </row>
    <row r="141" spans="1:15" x14ac:dyDescent="0.25">
      <c r="C141" s="976" t="s">
        <v>1470</v>
      </c>
      <c r="D141" s="841" t="s">
        <v>1967</v>
      </c>
    </row>
    <row r="142" spans="1:15" x14ac:dyDescent="0.25">
      <c r="C142" s="390" t="s">
        <v>1155</v>
      </c>
      <c r="D142" s="815" t="s">
        <v>4958</v>
      </c>
    </row>
    <row r="143" spans="1:15" x14ac:dyDescent="0.25">
      <c r="C143" s="390" t="s">
        <v>926</v>
      </c>
      <c r="D143" s="815" t="s">
        <v>4959</v>
      </c>
    </row>
    <row r="145" spans="1:12" x14ac:dyDescent="0.25">
      <c r="C145" s="841" t="s">
        <v>4960</v>
      </c>
    </row>
    <row r="146" spans="1:12" x14ac:dyDescent="0.25">
      <c r="C146" s="841" t="s">
        <v>4961</v>
      </c>
    </row>
    <row r="147" spans="1:12" x14ac:dyDescent="0.25">
      <c r="C147" s="841"/>
    </row>
    <row r="149" spans="1:12" x14ac:dyDescent="0.25">
      <c r="A149" s="390" t="str">
        <f>C149&amp;" "&amp;D149</f>
        <v xml:space="preserve"> </v>
      </c>
      <c r="B149" s="841">
        <v>40</v>
      </c>
      <c r="C149" s="391"/>
      <c r="D149" s="841"/>
      <c r="E149" s="841"/>
      <c r="G149" s="1162"/>
      <c r="K149" s="841"/>
      <c r="L149" s="390" t="b">
        <f>ISTEXT(B149)</f>
        <v>0</v>
      </c>
    </row>
  </sheetData>
  <sheetProtection algorithmName="SHA-512" hashValue="QP2sKFYiN92wqL+l3a8C7E4E19MOrqYEkbJUoTysU4asGCePOtg2mEAaJc3AkU/HpA1hiwi9f2brV1N5uu6Tmg==" saltValue="EjpMoanb69v3N14wREpeBg==" spinCount="100000" sheet="1" autoFilter="0"/>
  <autoFilter ref="A1:M135" xr:uid="{D5EACDEB-6328-405E-9C04-2B41E6186EF1}"/>
  <customSheetViews>
    <customSheetView guid="{B08879A4-635B-4C39-9937-AC7883D562FC}" hiddenColumns="1" topLeftCell="C1">
      <pane ySplit="2" topLeftCell="A3" activePane="bottomLeft" state="frozen"/>
      <selection pane="bottomLeft" activeCell="H3" sqref="H3"/>
      <pageMargins left="0.43" right="0.18" top="1" bottom="1" header="0.5" footer="0.5"/>
      <printOptions gridLines="1"/>
      <pageSetup scale="97" orientation="portrait" r:id="rId1"/>
      <headerFooter alignWithMargins="0"/>
    </customSheetView>
    <customSheetView guid="{9FCFC836-1CA5-48BF-958D-24D2EA94B219}" hiddenColumns="1" topLeftCell="C1">
      <pane ySplit="2" topLeftCell="A3" activePane="bottomLeft" state="frozen"/>
      <selection pane="bottomLeft" activeCell="H3" sqref="H3"/>
      <pageMargins left="0.43" right="0.18" top="1" bottom="1" header="0.5" footer="0.5"/>
      <printOptions gridLines="1"/>
      <pageSetup scale="97" orientation="portrait" r:id="rId2"/>
      <headerFooter alignWithMargins="0"/>
    </customSheetView>
  </customSheetViews>
  <phoneticPr fontId="15" type="noConversion"/>
  <hyperlinks>
    <hyperlink ref="D1" location="Index!A1" display="Office of the State Controller" xr:uid="{00000000-0004-0000-5D00-000000000000}"/>
    <hyperlink ref="I10" r:id="rId3" xr:uid="{AE92FF8A-27E4-4979-80B5-59731C015FBA}"/>
    <hyperlink ref="I20" r:id="rId4" xr:uid="{E63821FA-4FF2-4BB0-B18D-0B0041A06B43}"/>
    <hyperlink ref="I51" r:id="rId5" xr:uid="{E2E1B54C-5499-4993-8A02-25CCEEAF32B7}"/>
    <hyperlink ref="I54" r:id="rId6" xr:uid="{782A4252-3FC5-4A27-914E-3C26E45935A1}"/>
    <hyperlink ref="I72" r:id="rId7" xr:uid="{C4CB592C-E7EF-4F13-AF83-31A00BDF0236}"/>
    <hyperlink ref="I14" r:id="rId8" xr:uid="{2E987D4B-9097-49C1-980F-A355C238E235}"/>
    <hyperlink ref="I27" r:id="rId9" xr:uid="{EBD7C83A-14CF-4893-A101-A11DA2221889}"/>
    <hyperlink ref="I45" r:id="rId10" xr:uid="{AD19E83C-5ADE-4C82-B92F-6E3DB9EEAB15}"/>
    <hyperlink ref="I46" r:id="rId11" xr:uid="{C6193E76-F88E-468A-9FCB-5925AAC20FDD}"/>
    <hyperlink ref="I47" r:id="rId12" xr:uid="{B4140F17-FEA5-4820-8E1B-9798CB500A88}"/>
    <hyperlink ref="I58" r:id="rId13" xr:uid="{A109FE85-BC3F-4776-8E2C-2AC642F2583D}"/>
    <hyperlink ref="I66" r:id="rId14" xr:uid="{EEE4E0A6-4560-4C44-88FC-D6965029B349}"/>
    <hyperlink ref="I74" r:id="rId15" xr:uid="{AE24EE8F-AFC1-481A-8512-BA2F0353B476}"/>
    <hyperlink ref="I3" r:id="rId16" xr:uid="{81A28B72-6B1A-41E5-96B3-D3349693B935}"/>
    <hyperlink ref="I13" r:id="rId17" xr:uid="{DB4C5B8A-EA0F-4C1F-A5BC-9A50B3E5BE12}"/>
    <hyperlink ref="I15" r:id="rId18" xr:uid="{F873EB5E-D062-4200-A180-0BDA78E4C34F}"/>
    <hyperlink ref="I19" r:id="rId19" xr:uid="{454F4495-916D-4898-B5A5-1EF124A46E15}"/>
    <hyperlink ref="I28" r:id="rId20" xr:uid="{DD3A714C-F059-455A-B403-4FDFD42BFA4B}"/>
    <hyperlink ref="I56" r:id="rId21" xr:uid="{DFFFD3E0-F4DB-41C9-8225-F60E0DE9A3B1}"/>
    <hyperlink ref="I57" r:id="rId22" xr:uid="{C718CC1C-A787-4331-9BB1-F79D7A586AD3}"/>
    <hyperlink ref="I5" r:id="rId23" xr:uid="{E6D902A9-9F3F-41ED-83C4-111A442E8309}"/>
    <hyperlink ref="I9" r:id="rId24" xr:uid="{33517CE5-C463-4CFD-8286-08427031DAE7}"/>
    <hyperlink ref="I43" r:id="rId25" xr:uid="{8DE4C497-1A34-417C-8F87-3CBB21A6EACF}"/>
    <hyperlink ref="I48" r:id="rId26" xr:uid="{F4D5F5F9-1C37-491A-B33F-F5B1ABDFC551}"/>
    <hyperlink ref="I61" r:id="rId27" xr:uid="{15EA3FD6-7108-4CC1-AC15-935A69B18833}"/>
    <hyperlink ref="I71" r:id="rId28" xr:uid="{DDF6B4DE-4600-490B-B80B-9283107D8520}"/>
    <hyperlink ref="I60" r:id="rId29" display="mailto:jonesjn@wssu.edu" xr:uid="{3D3FFA43-5BAF-464C-A5B6-E9894FD263E8}"/>
    <hyperlink ref="I77" r:id="rId30" xr:uid="{5CF364E5-1AE1-4C48-AC21-A4761B50A0F6}"/>
    <hyperlink ref="I78" r:id="rId31" display="mailto:kristabellcertain@abtech.edu" xr:uid="{CAC60D88-11A9-40A9-A5FA-487C057D330B}"/>
    <hyperlink ref="I79" r:id="rId32" display="mailto:gay.edwards@BeaufortCCC.edu" xr:uid="{CB139E5E-BD17-4C27-B47A-98E4CEA0AED1}"/>
    <hyperlink ref="I80" r:id="rId33" display="mailto:ljacobs@bladencc.edu" xr:uid="{2217D79A-3FA6-4AD0-BA73-6673BD04226A}"/>
    <hyperlink ref="I81" r:id="rId34" display="mailto:carolyna@blueridge.edu" xr:uid="{25575E14-489E-4AA2-B25F-739258D23E70}"/>
    <hyperlink ref="I82" r:id="rId35" display="mailto:culpeppers@brunswickcc.edu" xr:uid="{2E36C65C-A759-49C5-A029-320BC8450E63}"/>
    <hyperlink ref="I84" r:id="rId36" display="mailto:lcolley@cfcc.edu" xr:uid="{E8E0437F-0335-4AF5-8F04-EB00C80E4F61}"/>
    <hyperlink ref="I85" r:id="rId37" display="mailto:cumbied@carteret.edu" xr:uid="{ABC5674D-E679-49EC-BD8E-6441FF114C58}"/>
    <hyperlink ref="I86" r:id="rId38" display="mailto:sswanson109@cvcc.edu" xr:uid="{9E0493B1-4124-4869-ACBF-B11D4769FB2D}"/>
    <hyperlink ref="I87" r:id="rId39" display="mailto:bbrid219@cccc.edu" xr:uid="{02090E6F-7E3E-4FAC-8F0E-8D6E2BD9FBE1}"/>
    <hyperlink ref="I88" r:id="rId40" display="mailto:lauren.gates@cpcc.edu" xr:uid="{8D93366D-88BD-4DE8-9376-EC7A87AD753A}"/>
    <hyperlink ref="I91" r:id="rId41" display="mailto:susan_gentry@albemarle.edu" xr:uid="{CC5AA28C-AEBC-4C47-AD40-B34F7F074ADA}"/>
    <hyperlink ref="I93" r:id="rId42" display="mailto:jennifer_starsick@davidsondavie.edu" xr:uid="{905E2F02-A9ED-4CBD-B41B-8EE21105CE24}"/>
    <hyperlink ref="I94" r:id="rId43" display="mailto:kleitsch@durhamtech.edu" xr:uid="{41ADD15F-D988-4835-BFF1-372D1581A7CE}"/>
    <hyperlink ref="I95" r:id="rId44" display="mailto:twittyp@edgecombe.edu" xr:uid="{3431C479-7801-42DB-85FF-31E7A3A9E2FC}"/>
    <hyperlink ref="I96" r:id="rId45" display="mailto:deaverr@faytechcc.edu" xr:uid="{84CBAB82-52B3-45A3-9C25-3EF355A14933}"/>
    <hyperlink ref="I97" r:id="rId46" display="mailto:kalexander@forsythtech.edu" xr:uid="{92DF1540-EC78-4721-A78A-16C9EFEE5ECC}"/>
    <hyperlink ref="I98" r:id="rId47" display="mailto:alman.shelly@gaston.edu" xr:uid="{1C485761-F41F-4308-9205-072750346549}"/>
    <hyperlink ref="I99" r:id="rId48" xr:uid="{E9256AB8-48BF-4EB3-8629-B0E3B0C16B3F}"/>
    <hyperlink ref="I100" r:id="rId49" display="mailto:ssmith640@halifaxcc.edu" xr:uid="{161806D4-3E0A-4D49-ACF6-811EA8F73EA4}"/>
    <hyperlink ref="I102" r:id="rId50" xr:uid="{9B56B464-B844-4149-9FC3-ED9DE4A9D25A}"/>
    <hyperlink ref="I104" r:id="rId51" display="mailto:dgwebb@johnstoncc.edu" xr:uid="{5C3812DC-7B95-4019-9B2E-B28D5209CA6F}"/>
    <hyperlink ref="I105" r:id="rId52" xr:uid="{92A502E5-9281-40FD-89D4-578D1913CA26}"/>
    <hyperlink ref="I106" r:id="rId53" display="mailto:tammy.bailey@martincc.edu" xr:uid="{D356A3CF-FD75-4FF2-A42B-D70DFF3B5596}"/>
    <hyperlink ref="I107" r:id="rId54" display="mailto:crenfro@mayland.edu" xr:uid="{E539EFD1-3885-46B6-AB05-A2CB97718960}"/>
    <hyperlink ref="I108" r:id="rId55" xr:uid="{FD15945E-DF46-4963-AE28-CBF5447C5A04}"/>
    <hyperlink ref="I109" r:id="rId56" display="mailto:jharris@mitchellcc.edu" xr:uid="{C833E672-A18D-4042-B7CF-5C034DFE79A1}"/>
    <hyperlink ref="I111" r:id="rId57" display="mailto:cjdornseif810@nashcc.edu" xr:uid="{27439B89-55CD-4276-B6BE-AD722AFD158E}"/>
    <hyperlink ref="I113" r:id="rId58" display="mailto:Beverly.murphy@piedmontcc.edu" xr:uid="{CA5B6220-1C47-4058-9517-85390DB6A03E}"/>
    <hyperlink ref="I114" r:id="rId59" display="mailto:apeaden@email.pittcc.edu" xr:uid="{55E71ED0-44CE-4B39-9FAD-1FD40E308D17}"/>
    <hyperlink ref="I115" r:id="rId60" display="mailto:cebiby@randolph.edu" xr:uid="{3C323FF5-CAF2-4E0E-B13B-2474AFFAB96A}"/>
    <hyperlink ref="I116" r:id="rId61" display="mailto:dccashwell@richmondcc.edu" xr:uid="{988F9877-E406-45AB-A8F6-1A4246CB6D6C}"/>
    <hyperlink ref="I117" r:id="rId62" display="mailto:carriedouglas8479@roanokechowan.edu" xr:uid="{6656191C-78E9-4E69-B39B-BC1B44A6C929}"/>
    <hyperlink ref="I119" r:id="rId63" display="mailto:mooreg6174@rockinghamcc.edu" xr:uid="{4B01A869-5ECF-4F89-B3BB-401AAC324C4A}"/>
    <hyperlink ref="I120" r:id="rId64" display="mailto:Norma.brice@rccc.edu" xr:uid="{47A49249-8D96-4DE7-9944-B6A83F2D4DA3}"/>
    <hyperlink ref="I122" r:id="rId65" display="mailto:dupontm@sandhills.edu" xr:uid="{B93AB87E-990E-40D0-BA37-37104413230C}"/>
    <hyperlink ref="I123" r:id="rId66" display="mailto:jricketts2@spcc.edu" xr:uid="{7A35446F-BA09-4182-8829-2492612D8EF9}"/>
    <hyperlink ref="I124" r:id="rId67" display="mailto:donna.turbeville@sccnc.edu" xr:uid="{006C0211-642A-4401-BDFB-2F32AFCF9CBB}"/>
    <hyperlink ref="I126" r:id="rId68" display="mailto:kbradshaw9661@stanly.edu" xr:uid="{54D2AB3F-37B4-4E54-AD0C-94A876479FCF}"/>
    <hyperlink ref="I127" r:id="rId69" display="mailto:martint@surry.edu" xr:uid="{8D3D0D7E-36FC-45BC-B183-D596CDADAB49}"/>
    <hyperlink ref="I128" r:id="rId70" display="mailto:bvespasian@tricountycc.edu" xr:uid="{8110C944-F834-4C3A-8F87-5C5E55D2A4E7}"/>
    <hyperlink ref="I129" r:id="rId71" xr:uid="{F048CBE5-B4A1-4ED2-BC70-243A94516BFE}"/>
    <hyperlink ref="I132" r:id="rId72" display="mailto:marney@wpcc.edu" xr:uid="{2C0A11A7-3A45-4C17-A0FF-22569F2CE6B6}"/>
    <hyperlink ref="I133" r:id="rId73" display="mailto:cahuffman078@wilkescc.edu" xr:uid="{57244E99-6229-49B6-A857-61A18DD8119E}"/>
    <hyperlink ref="I7" r:id="rId74" xr:uid="{35AF2C85-8F6C-4F37-98FA-46D9B50DB6EE}"/>
    <hyperlink ref="I11" r:id="rId75" display="mailto:sue.kearney@dpi.nc.gov" xr:uid="{F9B8B162-DF32-4C07-9FDA-4D97EE6DE666}"/>
    <hyperlink ref="I52" r:id="rId76" display="mailto:Mrobe138@uncc.edu" xr:uid="{207F75B3-F256-4B80-AFD2-20B2F859E8D0}"/>
    <hyperlink ref="I73" r:id="rId77" xr:uid="{F3E17E32-9F96-495A-9364-0CA45D321BDB}"/>
    <hyperlink ref="I8" r:id="rId78" xr:uid="{A1A05E12-A319-4AB9-BA59-49B0FE18CEA7}"/>
    <hyperlink ref="I26" r:id="rId79" xr:uid="{FA41F03E-0A25-4151-808F-926F4CC64955}"/>
    <hyperlink ref="I42" r:id="rId80" xr:uid="{AACD4A27-1541-485C-A6F1-F41AB7ED4FDC}"/>
    <hyperlink ref="I44" r:id="rId81" xr:uid="{283D82F6-2D87-4A52-983F-809D452290CC}"/>
    <hyperlink ref="I64" r:id="rId82" xr:uid="{2D319E3B-B4FC-4927-8309-723A3F19AB53}"/>
    <hyperlink ref="I76" r:id="rId83" xr:uid="{C4736EF7-C4C3-44E8-9012-4C067D433111}"/>
    <hyperlink ref="I134" r:id="rId84" xr:uid="{8A3D383C-FDD3-483E-9602-8D0478E1916C}"/>
    <hyperlink ref="I12" r:id="rId85" xr:uid="{0B818A20-91D6-4199-87BD-AD8C7105B2A7}"/>
    <hyperlink ref="I41" r:id="rId86" xr:uid="{BE1328EF-FD09-42AF-A151-AB0F15D68532}"/>
    <hyperlink ref="I50" r:id="rId87" xr:uid="{ACE5B963-05E0-4539-ACC4-6B2602F7D046}"/>
    <hyperlink ref="I63" r:id="rId88" xr:uid="{DC67EEBB-C3B6-4B35-8A11-D87925792B9A}"/>
    <hyperlink ref="I75" r:id="rId89" xr:uid="{05711D63-C518-483E-87B7-A179AFBBAD51}"/>
    <hyperlink ref="I92" r:id="rId90" xr:uid="{F4EE86DE-F19F-41F9-92DA-F7B427AD36E5}"/>
    <hyperlink ref="I49" r:id="rId91" xr:uid="{DAED03EB-811A-40F9-950E-3F89B57AE43F}"/>
    <hyperlink ref="I38" r:id="rId92" xr:uid="{5E5EAA7A-066C-4ED2-B82D-764250881A0A}"/>
    <hyperlink ref="I67" r:id="rId93" xr:uid="{E39AC599-B56A-4918-BB33-5F2516593519}"/>
    <hyperlink ref="I68" r:id="rId94" xr:uid="{4782AD40-F512-4CC1-B788-D81AF6E681EA}"/>
    <hyperlink ref="I70" r:id="rId95" xr:uid="{61ADF6E5-9627-4549-BD8A-F919A9024761}"/>
    <hyperlink ref="I25" r:id="rId96" xr:uid="{F7403EE3-774F-44D8-AA71-1DCB7EE47755}"/>
    <hyperlink ref="I62" r:id="rId97" xr:uid="{0152B088-37D6-4F93-93D0-4A38FD6F2C1C}"/>
    <hyperlink ref="I55" r:id="rId98" xr:uid="{996625C9-DFFC-474D-9953-36F837ACF48F}"/>
    <hyperlink ref="I125" r:id="rId99" xr:uid="{E8A18CC2-8402-49AA-BF9C-3041B7CA6EE2}"/>
  </hyperlinks>
  <printOptions headings="1"/>
  <pageMargins left="0.43" right="0.18" top="0.5" bottom="0.5" header="0.5" footer="0.5"/>
  <pageSetup scale="97" orientation="landscape" r:id="rId100"/>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3"/>
  <dimension ref="A1:C14"/>
  <sheetViews>
    <sheetView workbookViewId="0">
      <selection activeCell="A9" sqref="A9"/>
    </sheetView>
  </sheetViews>
  <sheetFormatPr defaultRowHeight="12.75" x14ac:dyDescent="0.2"/>
  <cols>
    <col min="1" max="1" width="17.42578125" customWidth="1"/>
    <col min="2" max="2" width="15.42578125" bestFit="1" customWidth="1"/>
    <col min="3" max="3" width="28.42578125" bestFit="1" customWidth="1"/>
  </cols>
  <sheetData>
    <row r="1" spans="1:3" ht="15.75" x14ac:dyDescent="0.25">
      <c r="A1" s="1838" t="s">
        <v>1007</v>
      </c>
    </row>
    <row r="2" spans="1:3" ht="15.75" x14ac:dyDescent="0.25">
      <c r="A2" s="1839" t="s">
        <v>4375</v>
      </c>
    </row>
    <row r="4" spans="1:3" ht="15.75" x14ac:dyDescent="0.25">
      <c r="A4" s="1841" t="s">
        <v>4376</v>
      </c>
      <c r="B4" s="1841" t="s">
        <v>4377</v>
      </c>
      <c r="C4" s="1841" t="s">
        <v>4378</v>
      </c>
    </row>
    <row r="5" spans="1:3" ht="15.75" x14ac:dyDescent="0.25">
      <c r="A5" s="1162" t="s">
        <v>4383</v>
      </c>
      <c r="B5" s="1162" t="s">
        <v>4384</v>
      </c>
      <c r="C5" s="1840" t="s">
        <v>4385</v>
      </c>
    </row>
    <row r="6" spans="1:3" ht="15.75" x14ac:dyDescent="0.25">
      <c r="A6" s="1162" t="s">
        <v>4387</v>
      </c>
      <c r="B6" s="1162" t="s">
        <v>4394</v>
      </c>
      <c r="C6" s="1840" t="s">
        <v>4386</v>
      </c>
    </row>
    <row r="7" spans="1:3" ht="15.75" x14ac:dyDescent="0.25">
      <c r="A7" s="1162" t="s">
        <v>4373</v>
      </c>
      <c r="B7" s="1162" t="s">
        <v>4388</v>
      </c>
      <c r="C7" s="1840" t="s">
        <v>4389</v>
      </c>
    </row>
    <row r="8" spans="1:3" ht="15.75" x14ac:dyDescent="0.25">
      <c r="A8" s="1162" t="s">
        <v>4397</v>
      </c>
      <c r="B8" s="1162" t="s">
        <v>4382</v>
      </c>
      <c r="C8" s="1840" t="s">
        <v>4398</v>
      </c>
    </row>
    <row r="9" spans="1:3" ht="15.75" x14ac:dyDescent="0.25">
      <c r="A9" s="1162" t="s">
        <v>5534</v>
      </c>
      <c r="B9" s="1162" t="s">
        <v>5535</v>
      </c>
      <c r="C9" s="1840" t="s">
        <v>5536</v>
      </c>
    </row>
    <row r="10" spans="1:3" ht="15.75" x14ac:dyDescent="0.25">
      <c r="A10" s="1162" t="s">
        <v>4380</v>
      </c>
      <c r="B10" s="1162" t="s">
        <v>4393</v>
      </c>
      <c r="C10" s="1840" t="s">
        <v>4381</v>
      </c>
    </row>
    <row r="11" spans="1:3" ht="15.75" x14ac:dyDescent="0.25">
      <c r="A11" s="1162" t="s">
        <v>4392</v>
      </c>
      <c r="B11" s="1162" t="s">
        <v>4390</v>
      </c>
      <c r="C11" s="1840" t="s">
        <v>4391</v>
      </c>
    </row>
    <row r="12" spans="1:3" ht="15.75" x14ac:dyDescent="0.25">
      <c r="A12" s="1162" t="s">
        <v>4618</v>
      </c>
      <c r="B12" s="1162" t="s">
        <v>4379</v>
      </c>
      <c r="C12" s="1840" t="s">
        <v>4619</v>
      </c>
    </row>
    <row r="13" spans="1:3" ht="15.75" x14ac:dyDescent="0.25">
      <c r="A13" s="1162" t="s">
        <v>5231</v>
      </c>
      <c r="B13" s="1162" t="s">
        <v>5232</v>
      </c>
      <c r="C13" s="2044" t="s">
        <v>5233</v>
      </c>
    </row>
    <row r="14" spans="1:3" ht="15.75" x14ac:dyDescent="0.25">
      <c r="A14" s="1162"/>
      <c r="C14" s="1840"/>
    </row>
  </sheetData>
  <sheetProtection algorithmName="SHA-512" hashValue="LDojoOH0Syus6rik4+ZTfXLNS34qePAOAjgvP66+MdZIvf7+h5CuL8mh80qtILXZrkONNSHSsAmWtqcPVgm7Mw==" saltValue="3QzAjyG2paggo4c/DzhjVA==" spinCount="100000" sheet="1" objects="1" scenarios="1" autoFilter="0"/>
  <sortState xmlns:xlrd2="http://schemas.microsoft.com/office/spreadsheetml/2017/richdata2" ref="A6:C14">
    <sortCondition ref="A6:A14"/>
  </sortState>
  <hyperlinks>
    <hyperlink ref="A1" location="Index!A1" display="Office of the State Controller" xr:uid="{00000000-0004-0000-5E00-000000000000}"/>
    <hyperlink ref="C10" r:id="rId1" display="mailto:ellen.rockefeller@osc.nc.gov" xr:uid="{00000000-0004-0000-5E00-000003000000}"/>
    <hyperlink ref="C8" r:id="rId2" xr:uid="{00000000-0004-0000-5E00-000006000000}"/>
    <hyperlink ref="C5" r:id="rId3" display="mailto:Kim.Battle@osc.nc.gov" xr:uid="{00000000-0004-0000-5E00-000007000000}"/>
    <hyperlink ref="C6" r:id="rId4" display="mailto:Joannie.Burtoft@osc.nc.gov" xr:uid="{00000000-0004-0000-5E00-000009000000}"/>
    <hyperlink ref="C7" r:id="rId5" display="mailto:Joy.darden@osc.nc.gov" xr:uid="{00000000-0004-0000-5E00-00000A000000}"/>
    <hyperlink ref="C11" r:id="rId6" display="mailto:Virginia.Sisson@osc.nc.gov" xr:uid="{00000000-0004-0000-5E00-00000B000000}"/>
    <hyperlink ref="C12" r:id="rId7" xr:uid="{0FFBA45E-DBD1-4011-BF36-9E81C25034DE}"/>
    <hyperlink ref="C13" r:id="rId8" xr:uid="{5B0F9C9C-8AE3-4C28-80CF-A7A91BF8AAC9}"/>
    <hyperlink ref="C9" r:id="rId9" display="mailto:John.Krellner@osc.nc.gov" xr:uid="{0E4418F3-20E4-40DE-9759-5219A974F78F}"/>
  </hyperlinks>
  <pageMargins left="0.7" right="0.7" top="0.75" bottom="0.75" header="0.3" footer="0.3"/>
  <pageSetup orientation="portrait" r:id="rId1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0"/>
  <dimension ref="A1:G10"/>
  <sheetViews>
    <sheetView workbookViewId="0">
      <selection activeCell="D16" sqref="D16"/>
    </sheetView>
  </sheetViews>
  <sheetFormatPr defaultColWidth="9.42578125" defaultRowHeight="15.75" x14ac:dyDescent="0.25"/>
  <cols>
    <col min="1" max="1" width="10.42578125" style="390" bestFit="1" customWidth="1"/>
    <col min="2" max="16384" width="9.42578125" style="390"/>
  </cols>
  <sheetData>
    <row r="1" spans="1:7" x14ac:dyDescent="0.25">
      <c r="A1" s="711" t="s">
        <v>268</v>
      </c>
    </row>
    <row r="2" spans="1:7" x14ac:dyDescent="0.25">
      <c r="A2" s="712">
        <v>44742</v>
      </c>
      <c r="B2" s="390" t="s">
        <v>269</v>
      </c>
    </row>
    <row r="3" spans="1:7" x14ac:dyDescent="0.25">
      <c r="A3" s="712">
        <v>44378</v>
      </c>
      <c r="B3" s="390" t="s">
        <v>679</v>
      </c>
    </row>
    <row r="4" spans="1:7" x14ac:dyDescent="0.25">
      <c r="A4" s="712">
        <v>44377</v>
      </c>
      <c r="B4" s="390" t="s">
        <v>680</v>
      </c>
    </row>
    <row r="5" spans="1:7" x14ac:dyDescent="0.25">
      <c r="A5" s="712">
        <v>44743</v>
      </c>
      <c r="B5" s="390" t="s">
        <v>194</v>
      </c>
    </row>
    <row r="6" spans="1:7" x14ac:dyDescent="0.25">
      <c r="A6" s="712">
        <v>45107</v>
      </c>
      <c r="B6" s="390" t="s">
        <v>735</v>
      </c>
    </row>
    <row r="8" spans="1:7" x14ac:dyDescent="0.25">
      <c r="A8" s="1212" t="s">
        <v>1752</v>
      </c>
      <c r="B8" s="1213"/>
      <c r="C8" s="1213"/>
      <c r="D8" s="1213"/>
      <c r="E8" s="1213"/>
      <c r="F8" s="1213"/>
      <c r="G8" s="1213"/>
    </row>
    <row r="9" spans="1:7" x14ac:dyDescent="0.25">
      <c r="A9" s="1213" t="s">
        <v>1753</v>
      </c>
      <c r="B9" s="1213"/>
      <c r="C9" s="1213"/>
      <c r="D9" s="1213"/>
      <c r="E9" s="1213"/>
      <c r="F9" s="1213"/>
      <c r="G9" s="1213"/>
    </row>
    <row r="10" spans="1:7" x14ac:dyDescent="0.25">
      <c r="A10" s="1213" t="s">
        <v>1754</v>
      </c>
      <c r="B10" s="1213"/>
      <c r="C10" s="1213"/>
      <c r="D10" s="1213"/>
      <c r="E10" s="1213"/>
      <c r="F10" s="1213"/>
      <c r="G10" s="1213"/>
    </row>
  </sheetData>
  <sheetProtection algorithmName="SHA-512" hashValue="crUyY2IKfO6/L56md6jQjggkjo/0hEgVnzbSmkry6O7TTbMi6JRBmxpKfBhrTVssXqtG731qsIu0FM9y4U2hlg==" saltValue="ePSQLoGwiE6e3IoMSxRSvA==" spinCount="100000" sheet="1" objects="1" scenarios="1" autoFilter="0"/>
  <customSheetViews>
    <customSheetView guid="{B08879A4-635B-4C39-9937-AC7883D562FC}">
      <selection activeCell="A6" sqref="A6"/>
      <pageMargins left="0.75" right="0.75" top="1" bottom="1" header="0.5" footer="0.5"/>
      <headerFooter alignWithMargins="0"/>
    </customSheetView>
    <customSheetView guid="{9FCFC836-1CA5-48BF-958D-24D2EA94B219}">
      <selection activeCell="A6" sqref="A6"/>
      <pageMargins left="0.75" right="0.75" top="1" bottom="1" header="0.5" footer="0.5"/>
      <headerFooter alignWithMargins="0"/>
    </customSheetView>
  </customSheetViews>
  <phoneticPr fontId="15" type="noConversion"/>
  <pageMargins left="0.75" right="0.75" top="1" bottom="1" header="0.5" footer="0.5"/>
  <pageSetup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8"/>
  <dimension ref="A1:AC50"/>
  <sheetViews>
    <sheetView zoomScaleNormal="100" workbookViewId="0">
      <pane ySplit="1" topLeftCell="A2" activePane="bottomLeft" state="frozen"/>
      <selection activeCell="R59" sqref="R59"/>
      <selection pane="bottomLeft" activeCell="M29" sqref="M29"/>
    </sheetView>
  </sheetViews>
  <sheetFormatPr defaultColWidth="9.42578125" defaultRowHeight="15.75" x14ac:dyDescent="0.25"/>
  <cols>
    <col min="1" max="1" width="12.5703125" style="390" bestFit="1" customWidth="1"/>
    <col min="2" max="2" width="13.5703125" style="390" bestFit="1" customWidth="1"/>
    <col min="3" max="3" width="2.42578125" style="390" bestFit="1" customWidth="1"/>
    <col min="4" max="4" width="9.5703125" style="390" bestFit="1" customWidth="1"/>
    <col min="5" max="5" width="5.5703125" style="390" bestFit="1" customWidth="1"/>
    <col min="6" max="6" width="60.42578125" style="390" customWidth="1"/>
    <col min="7" max="7" width="6" style="390" bestFit="1" customWidth="1"/>
    <col min="8" max="8" width="11.42578125" style="390" bestFit="1" customWidth="1"/>
    <col min="9" max="10" width="10.42578125" style="390" bestFit="1" customWidth="1"/>
    <col min="11" max="16" width="10.42578125" style="390" customWidth="1"/>
    <col min="17" max="17" width="0.5703125" style="390" customWidth="1"/>
    <col min="18" max="18" width="9.42578125" style="390"/>
    <col min="19" max="19" width="0.5703125" style="390" customWidth="1"/>
    <col min="20" max="28" width="9.42578125" style="390"/>
    <col min="29" max="29" width="9.42578125" style="523"/>
    <col min="30" max="16384" width="9.42578125" style="390"/>
  </cols>
  <sheetData>
    <row r="1" spans="1:22" s="711" customFormat="1" x14ac:dyDescent="0.25">
      <c r="A1" s="761" t="s">
        <v>53</v>
      </c>
      <c r="B1" s="761" t="s">
        <v>445</v>
      </c>
      <c r="C1" s="761"/>
      <c r="D1" s="761" t="s">
        <v>626</v>
      </c>
      <c r="E1" s="761" t="s">
        <v>457</v>
      </c>
      <c r="F1" s="761" t="s">
        <v>50</v>
      </c>
      <c r="G1" s="761" t="s">
        <v>345</v>
      </c>
      <c r="H1" s="762"/>
      <c r="I1" s="762"/>
      <c r="J1" s="762"/>
      <c r="K1" s="762"/>
      <c r="L1" s="762"/>
      <c r="M1" s="762"/>
      <c r="N1" s="762"/>
      <c r="O1" s="762"/>
      <c r="P1" s="762"/>
      <c r="Q1" s="762"/>
      <c r="R1" s="762"/>
      <c r="S1" s="762"/>
      <c r="T1" s="762"/>
      <c r="U1" s="762"/>
      <c r="V1" s="762"/>
    </row>
    <row r="2" spans="1:22" x14ac:dyDescent="0.25">
      <c r="A2" s="248" t="str">
        <f ca="1">E2&amp;D2</f>
        <v>IndexFALSE</v>
      </c>
      <c r="B2" s="248" t="str">
        <f ca="1">E2&amp;C2&amp;D2</f>
        <v>IndexaFALSE</v>
      </c>
      <c r="C2" s="248" t="s">
        <v>446</v>
      </c>
      <c r="D2" s="248" t="b">
        <f ca="1">+R2</f>
        <v>0</v>
      </c>
      <c r="E2" s="248" t="s">
        <v>594</v>
      </c>
      <c r="F2" s="248" t="s">
        <v>627</v>
      </c>
      <c r="G2" s="248"/>
      <c r="H2" s="248" t="str">
        <f ca="1">MID(CELL("filename"),SEARCH("[",CELL("filename"))+1, SEARCH("]",CELL("filename"))-SEARCH("[",CELL("filename"))-1)</f>
        <v>2022NCASexcl.xlsx</v>
      </c>
      <c r="I2" s="248" t="str">
        <f>Index!E10&amp;"p.xlsx"</f>
        <v>01p.xlsx</v>
      </c>
      <c r="J2" s="248"/>
      <c r="K2" s="248"/>
      <c r="L2" s="248"/>
      <c r="M2" s="248"/>
      <c r="N2" s="248"/>
      <c r="O2" s="248"/>
      <c r="P2" s="248"/>
      <c r="Q2" s="248"/>
      <c r="R2" s="248" t="b">
        <f ca="1">+H2=I2</f>
        <v>0</v>
      </c>
      <c r="S2" s="248"/>
      <c r="T2" s="248"/>
      <c r="U2" s="248"/>
      <c r="V2" s="248"/>
    </row>
    <row r="3" spans="1:22" x14ac:dyDescent="0.25">
      <c r="A3" s="248" t="str">
        <f>E3&amp;D3</f>
        <v>201FALSE</v>
      </c>
      <c r="B3" s="248" t="str">
        <f>E3&amp;C3&amp;D3</f>
        <v>201aFALSE</v>
      </c>
      <c r="C3" s="248" t="s">
        <v>446</v>
      </c>
      <c r="D3" s="248" t="b">
        <f t="shared" ref="D3:D50" si="0">IF(G3="NA",TRUE,+R3)</f>
        <v>0</v>
      </c>
      <c r="E3" s="248">
        <v>201</v>
      </c>
      <c r="F3" s="248" t="s">
        <v>161</v>
      </c>
      <c r="G3" s="248">
        <f t="shared" ref="G3:G25" si="1">INDEX(IdxTable,MATCH($E3,IdxSheetNum,0),2)</f>
        <v>0</v>
      </c>
      <c r="H3" s="248" t="b">
        <f>ISBLANK('201'!D8)</f>
        <v>1</v>
      </c>
      <c r="I3" s="248"/>
      <c r="J3" s="248"/>
      <c r="K3" s="248"/>
      <c r="L3" s="248"/>
      <c r="M3" s="248"/>
      <c r="N3" s="248"/>
      <c r="O3" s="248"/>
      <c r="P3" s="248"/>
      <c r="Q3" s="248"/>
      <c r="R3" s="248" t="b">
        <f>NOT(H3)</f>
        <v>0</v>
      </c>
      <c r="S3" s="248"/>
      <c r="T3" s="248"/>
      <c r="U3" s="248"/>
      <c r="V3" s="248"/>
    </row>
    <row r="4" spans="1:22" x14ac:dyDescent="0.25">
      <c r="A4" s="248" t="str">
        <f>E4&amp;D4</f>
        <v>201TRUE</v>
      </c>
      <c r="B4" s="248" t="str">
        <f>E4&amp;C4&amp;D4</f>
        <v>201bTRUE</v>
      </c>
      <c r="C4" s="248" t="s">
        <v>447</v>
      </c>
      <c r="D4" s="248" t="b">
        <f t="shared" si="0"/>
        <v>1</v>
      </c>
      <c r="E4" s="248">
        <v>201</v>
      </c>
      <c r="F4" s="248" t="s">
        <v>571</v>
      </c>
      <c r="G4" s="248">
        <f t="shared" si="1"/>
        <v>0</v>
      </c>
      <c r="H4" s="248">
        <f>+'201'!R41</f>
        <v>0</v>
      </c>
      <c r="I4" s="248"/>
      <c r="J4" s="248"/>
      <c r="K4" s="248"/>
      <c r="L4" s="248"/>
      <c r="M4" s="248"/>
      <c r="N4" s="248"/>
      <c r="O4" s="248"/>
      <c r="P4" s="248"/>
      <c r="Q4" s="248"/>
      <c r="R4" s="248" t="b">
        <f>H4=0</f>
        <v>1</v>
      </c>
      <c r="S4" s="248"/>
      <c r="T4" s="248"/>
      <c r="U4" s="248"/>
      <c r="V4" s="248"/>
    </row>
    <row r="5" spans="1:22" x14ac:dyDescent="0.25">
      <c r="A5" s="248" t="str">
        <f>E5&amp;D5</f>
        <v>210FALSE</v>
      </c>
      <c r="B5" s="248" t="str">
        <f>E5&amp;C5&amp;D5</f>
        <v>210aFALSE</v>
      </c>
      <c r="C5" s="248" t="s">
        <v>446</v>
      </c>
      <c r="D5" s="248" t="b">
        <f t="shared" si="0"/>
        <v>0</v>
      </c>
      <c r="E5" s="248">
        <v>210</v>
      </c>
      <c r="F5" s="248" t="s">
        <v>161</v>
      </c>
      <c r="G5" s="248">
        <f t="shared" si="1"/>
        <v>0</v>
      </c>
      <c r="H5" s="248" t="b">
        <f>ISBLANK('210'!D7)</f>
        <v>1</v>
      </c>
      <c r="I5" s="248"/>
      <c r="J5" s="248"/>
      <c r="K5" s="248"/>
      <c r="L5" s="248"/>
      <c r="M5" s="248"/>
      <c r="N5" s="248"/>
      <c r="O5" s="248"/>
      <c r="P5" s="248"/>
      <c r="Q5" s="248"/>
      <c r="R5" s="248" t="b">
        <f>NOT(H5)</f>
        <v>0</v>
      </c>
      <c r="S5" s="248"/>
      <c r="T5" s="248"/>
      <c r="U5" s="248"/>
      <c r="V5" s="248"/>
    </row>
    <row r="6" spans="1:22" x14ac:dyDescent="0.25">
      <c r="A6" s="248" t="e">
        <f t="shared" ref="A6:A14" si="2">E6&amp;D6</f>
        <v>#REF!</v>
      </c>
      <c r="B6" s="248" t="e">
        <f t="shared" ref="B6:B14" si="3">E6&amp;C6&amp;D6</f>
        <v>#REF!</v>
      </c>
      <c r="C6" s="248" t="s">
        <v>447</v>
      </c>
      <c r="D6" s="248" t="e">
        <f t="shared" si="0"/>
        <v>#REF!</v>
      </c>
      <c r="E6" s="248">
        <v>301</v>
      </c>
      <c r="F6" s="248" t="s">
        <v>572</v>
      </c>
      <c r="G6" s="248">
        <f t="shared" si="1"/>
        <v>0</v>
      </c>
      <c r="H6" s="248" t="e">
        <f>SUM('301'!#REF!,'301'!G47,'301'!I47,'301'!K47)</f>
        <v>#REF!</v>
      </c>
      <c r="I6" s="248" t="e">
        <f>SUM('301'!#REF!,'301'!#REF!,'301'!#REF!,'301'!#REF!)</f>
        <v>#REF!</v>
      </c>
      <c r="J6" s="248"/>
      <c r="K6" s="248"/>
      <c r="L6" s="248"/>
      <c r="M6" s="248"/>
      <c r="N6" s="248"/>
      <c r="O6" s="248"/>
      <c r="P6" s="248"/>
      <c r="Q6" s="248"/>
      <c r="R6" s="248" t="e">
        <f>NOT(OR(T6,U6))</f>
        <v>#REF!</v>
      </c>
      <c r="S6" s="248"/>
      <c r="T6" s="248" t="e">
        <f>AND(H6&gt;0,I6=0)</f>
        <v>#REF!</v>
      </c>
      <c r="U6" s="248" t="e">
        <f>AND(I6&gt;0,H6=0)</f>
        <v>#REF!</v>
      </c>
      <c r="V6" s="248"/>
    </row>
    <row r="7" spans="1:22" x14ac:dyDescent="0.25">
      <c r="A7" s="248" t="str">
        <f t="shared" si="2"/>
        <v>305TRUE</v>
      </c>
      <c r="B7" s="248" t="str">
        <f t="shared" si="3"/>
        <v>305aTRUE</v>
      </c>
      <c r="C7" s="248" t="s">
        <v>446</v>
      </c>
      <c r="D7" s="248" t="b">
        <f t="shared" si="0"/>
        <v>1</v>
      </c>
      <c r="E7" s="248">
        <v>305</v>
      </c>
      <c r="F7" s="248" t="s">
        <v>1098</v>
      </c>
      <c r="G7" s="248">
        <f t="shared" si="1"/>
        <v>0</v>
      </c>
      <c r="H7" s="248">
        <f>+'305'!E31</f>
        <v>0</v>
      </c>
      <c r="I7" s="248">
        <f>+'305'!M31</f>
        <v>0</v>
      </c>
      <c r="J7" s="248">
        <f>+'305'!I31</f>
        <v>0</v>
      </c>
      <c r="K7" s="248">
        <f>+'305'!K31</f>
        <v>0</v>
      </c>
      <c r="L7" s="248"/>
      <c r="M7" s="248"/>
      <c r="N7" s="248"/>
      <c r="O7" s="248"/>
      <c r="P7" s="248"/>
      <c r="Q7" s="248"/>
      <c r="R7" s="248" t="b">
        <f>IF(T7,TRUE,U7)</f>
        <v>1</v>
      </c>
      <c r="S7" s="248"/>
      <c r="T7" s="248" t="b">
        <f>AND(H7=0,I7=0)</f>
        <v>1</v>
      </c>
      <c r="U7" s="248" t="b">
        <f>IF(OR(H7&lt;&gt;0,I7&lt;&gt;0),AND(J7&lt;&gt;0,K7&lt;&gt;0),FALSE)</f>
        <v>0</v>
      </c>
      <c r="V7" s="248"/>
    </row>
    <row r="8" spans="1:22" x14ac:dyDescent="0.25">
      <c r="A8" s="248" t="str">
        <f>E8&amp;D8</f>
        <v>305TRUE</v>
      </c>
      <c r="B8" s="248" t="str">
        <f>E8&amp;C8&amp;D8</f>
        <v>305bTRUE</v>
      </c>
      <c r="C8" s="248" t="s">
        <v>447</v>
      </c>
      <c r="D8" s="248" t="b">
        <f t="shared" si="0"/>
        <v>1</v>
      </c>
      <c r="E8" s="248">
        <v>305</v>
      </c>
      <c r="F8" s="248" t="s">
        <v>161</v>
      </c>
      <c r="G8" s="248">
        <f t="shared" si="1"/>
        <v>0</v>
      </c>
      <c r="H8" s="248" t="b">
        <f>ISBLANK('305'!D8)</f>
        <v>0</v>
      </c>
      <c r="I8" s="248"/>
      <c r="J8" s="248"/>
      <c r="K8" s="248"/>
      <c r="L8" s="248"/>
      <c r="M8" s="248"/>
      <c r="N8" s="248"/>
      <c r="O8" s="248"/>
      <c r="P8" s="248"/>
      <c r="Q8" s="248"/>
      <c r="R8" s="248" t="b">
        <f>NOT(H8)</f>
        <v>1</v>
      </c>
      <c r="S8" s="248"/>
      <c r="T8" s="248"/>
      <c r="U8" s="248"/>
      <c r="V8" s="248"/>
    </row>
    <row r="9" spans="1:22" x14ac:dyDescent="0.25">
      <c r="A9" s="248" t="str">
        <f t="shared" si="2"/>
        <v>310FALSE</v>
      </c>
      <c r="B9" s="248" t="str">
        <f t="shared" si="3"/>
        <v>310aFALSE</v>
      </c>
      <c r="C9" s="248" t="s">
        <v>446</v>
      </c>
      <c r="D9" s="248" t="b">
        <f t="shared" si="0"/>
        <v>0</v>
      </c>
      <c r="E9" s="248">
        <v>310</v>
      </c>
      <c r="F9" s="248" t="s">
        <v>1098</v>
      </c>
      <c r="G9" s="248">
        <f t="shared" si="1"/>
        <v>0</v>
      </c>
      <c r="H9" s="248" t="str">
        <f>+'310'!E32</f>
        <v/>
      </c>
      <c r="I9" s="248">
        <f>+'310'!M32</f>
        <v>0</v>
      </c>
      <c r="J9" s="248">
        <f>+'310'!I32</f>
        <v>0</v>
      </c>
      <c r="K9" s="248">
        <f>+'310'!K32</f>
        <v>0</v>
      </c>
      <c r="L9" s="248"/>
      <c r="M9" s="248"/>
      <c r="N9" s="248"/>
      <c r="O9" s="248"/>
      <c r="P9" s="248"/>
      <c r="Q9" s="248"/>
      <c r="R9" s="248" t="b">
        <f>IF(T9,TRUE,U9)</f>
        <v>0</v>
      </c>
      <c r="S9" s="248"/>
      <c r="T9" s="248" t="b">
        <f>AND(H9=0,I9=0)</f>
        <v>0</v>
      </c>
      <c r="U9" s="248" t="b">
        <f>IF(OR(H9&lt;&gt;0,I9&lt;&gt;0),AND(J9&lt;&gt;0,K9&lt;&gt;0),FALSE)</f>
        <v>0</v>
      </c>
      <c r="V9" s="248"/>
    </row>
    <row r="10" spans="1:22" x14ac:dyDescent="0.25">
      <c r="A10" s="248" t="str">
        <f t="shared" si="2"/>
        <v>310FALSE</v>
      </c>
      <c r="B10" s="248" t="str">
        <f t="shared" si="3"/>
        <v>310bFALSE</v>
      </c>
      <c r="C10" s="248" t="s">
        <v>447</v>
      </c>
      <c r="D10" s="248" t="b">
        <f t="shared" si="0"/>
        <v>0</v>
      </c>
      <c r="E10" s="248">
        <v>310</v>
      </c>
      <c r="F10" s="248" t="s">
        <v>161</v>
      </c>
      <c r="G10" s="248">
        <f t="shared" si="1"/>
        <v>0</v>
      </c>
      <c r="H10" s="248" t="b">
        <f>ISBLANK('310'!D8)</f>
        <v>1</v>
      </c>
      <c r="I10" s="248"/>
      <c r="J10" s="248"/>
      <c r="K10" s="248"/>
      <c r="L10" s="248"/>
      <c r="M10" s="248"/>
      <c r="N10" s="248"/>
      <c r="O10" s="248"/>
      <c r="P10" s="248"/>
      <c r="Q10" s="248"/>
      <c r="R10" s="248" t="b">
        <f>NOT(H10)</f>
        <v>0</v>
      </c>
      <c r="S10" s="248"/>
      <c r="T10" s="248"/>
      <c r="U10" s="248"/>
      <c r="V10" s="248"/>
    </row>
    <row r="11" spans="1:22" x14ac:dyDescent="0.25">
      <c r="A11" s="248" t="str">
        <f t="shared" si="2"/>
        <v>315TRUE</v>
      </c>
      <c r="B11" s="248" t="str">
        <f t="shared" si="3"/>
        <v>315bTRUE</v>
      </c>
      <c r="C11" s="248" t="s">
        <v>447</v>
      </c>
      <c r="D11" s="248" t="b">
        <f t="shared" si="0"/>
        <v>1</v>
      </c>
      <c r="E11" s="248">
        <v>315</v>
      </c>
      <c r="F11" s="248" t="s">
        <v>51</v>
      </c>
      <c r="G11" s="248">
        <f t="shared" si="1"/>
        <v>0</v>
      </c>
      <c r="H11" s="248">
        <f>+'315'!FROM315</f>
        <v>0</v>
      </c>
      <c r="I11" s="248">
        <f>+'315'!_TO315</f>
        <v>0</v>
      </c>
      <c r="J11" s="248"/>
      <c r="K11" s="248"/>
      <c r="L11" s="248"/>
      <c r="M11" s="248"/>
      <c r="N11" s="248"/>
      <c r="O11" s="248"/>
      <c r="P11" s="248"/>
      <c r="Q11" s="248"/>
      <c r="R11" s="248" t="b">
        <f>H11&lt;=I11</f>
        <v>1</v>
      </c>
      <c r="S11" s="248"/>
      <c r="T11" s="248"/>
      <c r="U11" s="248"/>
      <c r="V11" s="248"/>
    </row>
    <row r="12" spans="1:22" x14ac:dyDescent="0.25">
      <c r="A12" s="248" t="str">
        <f t="shared" si="2"/>
        <v>315TRUE</v>
      </c>
      <c r="B12" s="248" t="str">
        <f t="shared" si="3"/>
        <v>315cTRUE</v>
      </c>
      <c r="C12" s="248" t="s">
        <v>448</v>
      </c>
      <c r="D12" s="248" t="b">
        <f t="shared" si="0"/>
        <v>1</v>
      </c>
      <c r="E12" s="248">
        <v>315</v>
      </c>
      <c r="F12" s="248" t="s">
        <v>52</v>
      </c>
      <c r="G12" s="248">
        <f t="shared" si="1"/>
        <v>0</v>
      </c>
      <c r="H12" s="248">
        <f>+Index!B32</f>
        <v>0</v>
      </c>
      <c r="I12" s="248" t="b">
        <f>ISBLANK('315'!$D15)</f>
        <v>1</v>
      </c>
      <c r="J12" s="248" t="b">
        <f>ISBLANK('315'!$D17)</f>
        <v>1</v>
      </c>
      <c r="K12" s="248" t="b">
        <f>ISBLANK('315'!$D19)</f>
        <v>1</v>
      </c>
      <c r="L12" s="248" t="b">
        <f>ISBLANK('315'!$D21)</f>
        <v>1</v>
      </c>
      <c r="M12" s="248" t="b">
        <f>ISBLANK('315'!$D23)</f>
        <v>1</v>
      </c>
      <c r="N12" s="248" t="b">
        <f>ISBLANK('315'!$D25)</f>
        <v>1</v>
      </c>
      <c r="O12" s="248" t="b">
        <f>ISBLANK('315'!$D27)</f>
        <v>1</v>
      </c>
      <c r="P12" s="248" t="b">
        <f>AND(I12,J12,K12,L12,M12,N12,O12)</f>
        <v>1</v>
      </c>
      <c r="Q12" s="248"/>
      <c r="R12" s="248" t="b">
        <f>IF(OR(H12="NA",T12&gt;5),TRUE,FALSE)</f>
        <v>1</v>
      </c>
      <c r="S12" s="248"/>
      <c r="T12" s="248">
        <f>COUNTIF(I12:O12,TRUE)</f>
        <v>7</v>
      </c>
      <c r="U12" s="248"/>
      <c r="V12" s="248"/>
    </row>
    <row r="13" spans="1:22" x14ac:dyDescent="0.25">
      <c r="A13" s="248" t="str">
        <f t="shared" si="2"/>
        <v>315FALSE</v>
      </c>
      <c r="B13" s="248" t="str">
        <f t="shared" si="3"/>
        <v>315dFALSE</v>
      </c>
      <c r="C13" s="248" t="s">
        <v>450</v>
      </c>
      <c r="D13" s="248" t="b">
        <f t="shared" si="0"/>
        <v>0</v>
      </c>
      <c r="E13" s="248">
        <v>315</v>
      </c>
      <c r="F13" s="248" t="s">
        <v>458</v>
      </c>
      <c r="G13" s="248">
        <f t="shared" si="1"/>
        <v>0</v>
      </c>
      <c r="H13" s="248">
        <f>+Index!$B$32</f>
        <v>0</v>
      </c>
      <c r="I13" s="248" t="b">
        <f>ISBLANK('315'!_OID315)</f>
        <v>1</v>
      </c>
      <c r="J13" s="248"/>
      <c r="K13" s="248"/>
      <c r="L13" s="248"/>
      <c r="M13" s="248"/>
      <c r="N13" s="248"/>
      <c r="O13" s="248"/>
      <c r="P13" s="248"/>
      <c r="Q13" s="248"/>
      <c r="R13" s="248" t="b">
        <f>OR(AND(H13="NA",I13),I13=FALSE)</f>
        <v>0</v>
      </c>
      <c r="S13" s="248"/>
      <c r="T13" s="248"/>
      <c r="U13" s="248"/>
      <c r="V13" s="248"/>
    </row>
    <row r="14" spans="1:22" x14ac:dyDescent="0.25">
      <c r="A14" s="248" t="str">
        <f t="shared" si="2"/>
        <v>315FALSE</v>
      </c>
      <c r="B14" s="248" t="str">
        <f t="shared" si="3"/>
        <v>315eFALSE</v>
      </c>
      <c r="C14" s="248" t="s">
        <v>451</v>
      </c>
      <c r="D14" s="248" t="b">
        <f t="shared" si="0"/>
        <v>0</v>
      </c>
      <c r="E14" s="248">
        <v>315</v>
      </c>
      <c r="F14" s="248" t="s">
        <v>459</v>
      </c>
      <c r="G14" s="248">
        <f t="shared" si="1"/>
        <v>0</v>
      </c>
      <c r="H14" s="248">
        <f>+Index!$B$32</f>
        <v>0</v>
      </c>
      <c r="I14" s="248" t="b">
        <f>ISBLANK('315'!FROM315)</f>
        <v>1</v>
      </c>
      <c r="J14" s="248"/>
      <c r="K14" s="248"/>
      <c r="L14" s="248"/>
      <c r="M14" s="248"/>
      <c r="N14" s="248"/>
      <c r="O14" s="248"/>
      <c r="P14" s="248"/>
      <c r="Q14" s="248"/>
      <c r="R14" s="248" t="b">
        <f>OR(AND(H14="NA",I14),I14=FALSE)</f>
        <v>0</v>
      </c>
      <c r="S14" s="248"/>
      <c r="T14" s="248"/>
      <c r="U14" s="248"/>
      <c r="V14" s="248"/>
    </row>
    <row r="15" spans="1:22" x14ac:dyDescent="0.25">
      <c r="A15" s="248" t="str">
        <f t="shared" ref="A15:A25" si="4">E15&amp;D15</f>
        <v>315FALSE</v>
      </c>
      <c r="B15" s="248" t="str">
        <f t="shared" ref="B15:B25" si="5">E15&amp;C15&amp;D15</f>
        <v>315fFALSE</v>
      </c>
      <c r="C15" s="248" t="s">
        <v>452</v>
      </c>
      <c r="D15" s="248" t="b">
        <f t="shared" si="0"/>
        <v>0</v>
      </c>
      <c r="E15" s="248">
        <v>315</v>
      </c>
      <c r="F15" s="248" t="s">
        <v>460</v>
      </c>
      <c r="G15" s="248">
        <f t="shared" si="1"/>
        <v>0</v>
      </c>
      <c r="H15" s="248">
        <f>+Index!$B$32</f>
        <v>0</v>
      </c>
      <c r="I15" s="248" t="b">
        <f>ISBLANK('315'!_TO315)</f>
        <v>1</v>
      </c>
      <c r="J15" s="248"/>
      <c r="K15" s="248"/>
      <c r="L15" s="248"/>
      <c r="M15" s="248"/>
      <c r="N15" s="248"/>
      <c r="O15" s="248"/>
      <c r="P15" s="248"/>
      <c r="Q15" s="248"/>
      <c r="R15" s="248" t="b">
        <f>OR(AND(H15="NA",I15),I15=FALSE)</f>
        <v>0</v>
      </c>
      <c r="S15" s="248"/>
      <c r="T15" s="248"/>
      <c r="U15" s="248"/>
      <c r="V15" s="248"/>
    </row>
    <row r="16" spans="1:22" x14ac:dyDescent="0.25">
      <c r="A16" s="248" t="str">
        <f t="shared" si="4"/>
        <v>315FALSE</v>
      </c>
      <c r="B16" s="248" t="str">
        <f t="shared" si="5"/>
        <v>315gFALSE</v>
      </c>
      <c r="C16" s="248" t="s">
        <v>453</v>
      </c>
      <c r="D16" s="248" t="b">
        <f t="shared" si="0"/>
        <v>0</v>
      </c>
      <c r="E16" s="248">
        <v>315</v>
      </c>
      <c r="F16" s="248" t="s">
        <v>461</v>
      </c>
      <c r="G16" s="248">
        <f t="shared" si="1"/>
        <v>0</v>
      </c>
      <c r="H16" s="248">
        <f>+Index!$B$32</f>
        <v>0</v>
      </c>
      <c r="I16" s="248" t="b">
        <f>ISBLANK('315'!_FMD315)</f>
        <v>1</v>
      </c>
      <c r="J16" s="248"/>
      <c r="K16" s="248"/>
      <c r="L16" s="248"/>
      <c r="M16" s="248"/>
      <c r="N16" s="248"/>
      <c r="O16" s="248"/>
      <c r="P16" s="248"/>
      <c r="Q16" s="248"/>
      <c r="R16" s="248" t="b">
        <f>OR(AND(H16="NA",I16),I16=FALSE)</f>
        <v>0</v>
      </c>
      <c r="S16" s="248"/>
      <c r="T16" s="248"/>
      <c r="U16" s="248"/>
      <c r="V16" s="248"/>
    </row>
    <row r="17" spans="1:22" x14ac:dyDescent="0.25">
      <c r="A17" s="248" t="str">
        <f t="shared" si="4"/>
        <v>320TRUE</v>
      </c>
      <c r="B17" s="248" t="str">
        <f t="shared" si="5"/>
        <v>320bTRUE</v>
      </c>
      <c r="C17" s="248" t="s">
        <v>447</v>
      </c>
      <c r="D17" s="248" t="b">
        <f t="shared" si="0"/>
        <v>1</v>
      </c>
      <c r="E17" s="248">
        <v>320</v>
      </c>
      <c r="F17" s="248" t="s">
        <v>51</v>
      </c>
      <c r="G17" s="248">
        <f t="shared" si="1"/>
        <v>0</v>
      </c>
      <c r="H17" s="248">
        <f>+[0]!FROM320</f>
        <v>0</v>
      </c>
      <c r="I17" s="248">
        <f>+[0]!__TO320</f>
        <v>0</v>
      </c>
      <c r="J17" s="248"/>
      <c r="K17" s="248"/>
      <c r="L17" s="248"/>
      <c r="M17" s="248"/>
      <c r="N17" s="248"/>
      <c r="O17" s="248"/>
      <c r="P17" s="248"/>
      <c r="Q17" s="248"/>
      <c r="R17" s="248" t="b">
        <f>H17&lt;=I17</f>
        <v>1</v>
      </c>
      <c r="S17" s="248"/>
      <c r="T17" s="248"/>
      <c r="U17" s="248"/>
      <c r="V17" s="248"/>
    </row>
    <row r="18" spans="1:22" x14ac:dyDescent="0.25">
      <c r="A18" s="248" t="str">
        <f t="shared" si="4"/>
        <v>320TRUE</v>
      </c>
      <c r="B18" s="248" t="str">
        <f t="shared" si="5"/>
        <v>320cTRUE</v>
      </c>
      <c r="C18" s="248" t="s">
        <v>448</v>
      </c>
      <c r="D18" s="248" t="b">
        <f t="shared" si="0"/>
        <v>1</v>
      </c>
      <c r="E18" s="248">
        <v>320</v>
      </c>
      <c r="F18" s="248" t="s">
        <v>52</v>
      </c>
      <c r="G18" s="248">
        <f t="shared" si="1"/>
        <v>0</v>
      </c>
      <c r="H18" s="248">
        <f>+Index!B38</f>
        <v>0</v>
      </c>
      <c r="I18" s="248" t="b">
        <f>ISBLANK('320'!$D15)</f>
        <v>1</v>
      </c>
      <c r="J18" s="248" t="b">
        <f>ISBLANK('320'!$D17)</f>
        <v>1</v>
      </c>
      <c r="K18" s="248" t="b">
        <f>ISBLANK('320'!$D19)</f>
        <v>1</v>
      </c>
      <c r="L18" s="248" t="b">
        <f>ISBLANK('320'!$D21)</f>
        <v>1</v>
      </c>
      <c r="M18" s="248" t="b">
        <f>ISBLANK('320'!$D23)</f>
        <v>1</v>
      </c>
      <c r="N18" s="248" t="b">
        <f>ISBLANK('320'!$D25)</f>
        <v>1</v>
      </c>
      <c r="O18" s="248" t="b">
        <f>ISBLANK('320'!$D27)</f>
        <v>1</v>
      </c>
      <c r="P18" s="248" t="b">
        <f>AND(I18,J18,K18,L18,M18,N18,O18)</f>
        <v>1</v>
      </c>
      <c r="Q18" s="248" t="b">
        <f>ISBLANK('320'!#REF!)</f>
        <v>0</v>
      </c>
      <c r="R18" s="248" t="b">
        <f>IF(OR(H18="NA",T18&gt;5),TRUE,FALSE)</f>
        <v>1</v>
      </c>
      <c r="S18" s="248"/>
      <c r="T18" s="248">
        <f>COUNTIF(I18:O18,TRUE)</f>
        <v>7</v>
      </c>
      <c r="U18" s="248"/>
      <c r="V18" s="248"/>
    </row>
    <row r="19" spans="1:22" x14ac:dyDescent="0.25">
      <c r="A19" s="248" t="str">
        <f t="shared" si="4"/>
        <v>320FALSE</v>
      </c>
      <c r="B19" s="248" t="str">
        <f t="shared" si="5"/>
        <v>320dFALSE</v>
      </c>
      <c r="C19" s="248" t="s">
        <v>450</v>
      </c>
      <c r="D19" s="248" t="b">
        <f t="shared" si="0"/>
        <v>0</v>
      </c>
      <c r="E19" s="248">
        <v>320</v>
      </c>
      <c r="F19" s="248" t="s">
        <v>458</v>
      </c>
      <c r="G19" s="248">
        <f t="shared" si="1"/>
        <v>0</v>
      </c>
      <c r="H19" s="248">
        <f>Index!$B$33</f>
        <v>0</v>
      </c>
      <c r="I19" s="248" t="b">
        <f>ISBLANK([0]!__OID320)</f>
        <v>1</v>
      </c>
      <c r="J19" s="248"/>
      <c r="K19" s="248"/>
      <c r="L19" s="248"/>
      <c r="M19" s="248"/>
      <c r="N19" s="248"/>
      <c r="O19" s="248"/>
      <c r="P19" s="248"/>
      <c r="Q19" s="248"/>
      <c r="R19" s="248" t="b">
        <f>OR(AND(H19="NA",I19),I19=FALSE)</f>
        <v>0</v>
      </c>
      <c r="S19" s="248"/>
      <c r="T19" s="248"/>
      <c r="U19" s="248"/>
      <c r="V19" s="248"/>
    </row>
    <row r="20" spans="1:22" x14ac:dyDescent="0.25">
      <c r="A20" s="248" t="str">
        <f t="shared" si="4"/>
        <v>320FALSE</v>
      </c>
      <c r="B20" s="248" t="str">
        <f t="shared" si="5"/>
        <v>320eFALSE</v>
      </c>
      <c r="C20" s="248" t="s">
        <v>451</v>
      </c>
      <c r="D20" s="248" t="b">
        <f t="shared" si="0"/>
        <v>0</v>
      </c>
      <c r="E20" s="248">
        <v>320</v>
      </c>
      <c r="F20" s="248" t="s">
        <v>459</v>
      </c>
      <c r="G20" s="248">
        <f t="shared" si="1"/>
        <v>0</v>
      </c>
      <c r="H20" s="248">
        <f>Index!$B$33</f>
        <v>0</v>
      </c>
      <c r="I20" s="248" t="b">
        <f>ISBLANK([0]!FROM320)</f>
        <v>1</v>
      </c>
      <c r="J20" s="248"/>
      <c r="K20" s="248"/>
      <c r="L20" s="248"/>
      <c r="M20" s="248"/>
      <c r="N20" s="248"/>
      <c r="O20" s="248"/>
      <c r="P20" s="248"/>
      <c r="Q20" s="248"/>
      <c r="R20" s="248" t="b">
        <f>OR(AND(H20="NA",I20),I20=FALSE)</f>
        <v>0</v>
      </c>
      <c r="S20" s="248"/>
      <c r="T20" s="248"/>
      <c r="U20" s="248"/>
      <c r="V20" s="248"/>
    </row>
    <row r="21" spans="1:22" x14ac:dyDescent="0.25">
      <c r="A21" s="248" t="str">
        <f t="shared" si="4"/>
        <v>320FALSE</v>
      </c>
      <c r="B21" s="248" t="str">
        <f t="shared" si="5"/>
        <v>320fFALSE</v>
      </c>
      <c r="C21" s="248" t="s">
        <v>452</v>
      </c>
      <c r="D21" s="248" t="b">
        <f t="shared" si="0"/>
        <v>0</v>
      </c>
      <c r="E21" s="248">
        <v>320</v>
      </c>
      <c r="F21" s="248" t="s">
        <v>460</v>
      </c>
      <c r="G21" s="248">
        <f t="shared" si="1"/>
        <v>0</v>
      </c>
      <c r="H21" s="248">
        <f>Index!$B$33</f>
        <v>0</v>
      </c>
      <c r="I21" s="248" t="b">
        <f>ISBLANK([0]!__TO320)</f>
        <v>1</v>
      </c>
      <c r="J21" s="248"/>
      <c r="K21" s="248"/>
      <c r="L21" s="248"/>
      <c r="M21" s="248"/>
      <c r="N21" s="248"/>
      <c r="O21" s="248"/>
      <c r="P21" s="248"/>
      <c r="Q21" s="248"/>
      <c r="R21" s="248" t="b">
        <f>OR(AND(H21="NA",I21),I21=FALSE)</f>
        <v>0</v>
      </c>
      <c r="S21" s="248"/>
      <c r="T21" s="248"/>
      <c r="U21" s="248"/>
      <c r="V21" s="248"/>
    </row>
    <row r="22" spans="1:22" x14ac:dyDescent="0.25">
      <c r="A22" s="248" t="str">
        <f t="shared" si="4"/>
        <v>320FALSE</v>
      </c>
      <c r="B22" s="248" t="str">
        <f t="shared" si="5"/>
        <v>320gFALSE</v>
      </c>
      <c r="C22" s="248" t="s">
        <v>453</v>
      </c>
      <c r="D22" s="248" t="b">
        <f t="shared" si="0"/>
        <v>0</v>
      </c>
      <c r="E22" s="248">
        <v>320</v>
      </c>
      <c r="F22" s="248" t="s">
        <v>461</v>
      </c>
      <c r="G22" s="248">
        <f t="shared" si="1"/>
        <v>0</v>
      </c>
      <c r="H22" s="248">
        <f>Index!$B$33</f>
        <v>0</v>
      </c>
      <c r="I22" s="248" t="b">
        <f>ISBLANK([0]!__FMD320)</f>
        <v>1</v>
      </c>
      <c r="J22" s="248"/>
      <c r="K22" s="248"/>
      <c r="L22" s="248"/>
      <c r="M22" s="248"/>
      <c r="N22" s="248"/>
      <c r="O22" s="248"/>
      <c r="P22" s="248"/>
      <c r="Q22" s="248"/>
      <c r="R22" s="248" t="b">
        <f>OR(AND(H22="NA",I22),I22=FALSE)</f>
        <v>0</v>
      </c>
      <c r="S22" s="248"/>
      <c r="T22" s="248"/>
      <c r="U22" s="248"/>
      <c r="V22" s="248"/>
    </row>
    <row r="23" spans="1:22" x14ac:dyDescent="0.25">
      <c r="A23" s="248" t="str">
        <f t="shared" si="4"/>
        <v>325FALSE</v>
      </c>
      <c r="B23" s="248" t="str">
        <f t="shared" si="5"/>
        <v>325aFALSE</v>
      </c>
      <c r="C23" s="248" t="s">
        <v>446</v>
      </c>
      <c r="D23" s="248" t="b">
        <f t="shared" si="0"/>
        <v>0</v>
      </c>
      <c r="E23" s="248">
        <v>325</v>
      </c>
      <c r="F23" s="248" t="s">
        <v>161</v>
      </c>
      <c r="G23" s="248">
        <f t="shared" si="1"/>
        <v>0</v>
      </c>
      <c r="H23" s="248" t="b">
        <f>ISBLANK('325'!G7)</f>
        <v>1</v>
      </c>
      <c r="I23" s="248"/>
      <c r="J23" s="248"/>
      <c r="K23" s="248"/>
      <c r="L23" s="248"/>
      <c r="M23" s="248"/>
      <c r="N23" s="248"/>
      <c r="O23" s="248"/>
      <c r="P23" s="248"/>
      <c r="Q23" s="248"/>
      <c r="R23" s="248" t="b">
        <f>NOT(H23)</f>
        <v>0</v>
      </c>
      <c r="S23" s="248"/>
      <c r="T23" s="248"/>
      <c r="U23" s="248"/>
      <c r="V23" s="248"/>
    </row>
    <row r="24" spans="1:22" x14ac:dyDescent="0.25">
      <c r="A24" s="248" t="str">
        <f t="shared" si="4"/>
        <v>345FALSE</v>
      </c>
      <c r="B24" s="248" t="str">
        <f t="shared" si="5"/>
        <v>345aFALSE</v>
      </c>
      <c r="C24" s="248" t="s">
        <v>446</v>
      </c>
      <c r="D24" s="248" t="b">
        <f t="shared" si="0"/>
        <v>0</v>
      </c>
      <c r="E24" s="248">
        <v>345</v>
      </c>
      <c r="F24" s="248" t="s">
        <v>1099</v>
      </c>
      <c r="G24" s="248">
        <f t="shared" si="1"/>
        <v>0</v>
      </c>
      <c r="H24" s="248" t="b">
        <f>ISBLANK('345'!F30)</f>
        <v>1</v>
      </c>
      <c r="I24" s="248" t="b">
        <f>ISBLANK('345'!I30)</f>
        <v>1</v>
      </c>
      <c r="J24" s="248" t="b">
        <f>ISBLANK('345'!F39)</f>
        <v>1</v>
      </c>
      <c r="K24" s="248" t="b">
        <f>ISBLANK('345'!I39)</f>
        <v>1</v>
      </c>
      <c r="L24" s="248" t="b">
        <f>ISBLANK('345'!K52)</f>
        <v>1</v>
      </c>
      <c r="M24" s="248" t="b">
        <f>ISBLANK('345'!K53)</f>
        <v>1</v>
      </c>
      <c r="N24" s="248"/>
      <c r="O24" s="248"/>
      <c r="P24" s="248"/>
      <c r="Q24" s="248"/>
      <c r="R24" s="248" t="b">
        <f>NOT(OR(T24,U24,V24))</f>
        <v>0</v>
      </c>
      <c r="S24" s="248"/>
      <c r="T24" s="248" t="b">
        <f>AND(H24,I24)</f>
        <v>1</v>
      </c>
      <c r="U24" s="248" t="b">
        <f>AND(J24,K24)</f>
        <v>1</v>
      </c>
      <c r="V24" s="248" t="b">
        <f>AND(L24,M24)</f>
        <v>1</v>
      </c>
    </row>
    <row r="25" spans="1:22" x14ac:dyDescent="0.25">
      <c r="A25" s="248" t="str">
        <f t="shared" si="4"/>
        <v>355FALSE</v>
      </c>
      <c r="B25" s="248" t="str">
        <f t="shared" si="5"/>
        <v>355aFALSE</v>
      </c>
      <c r="C25" s="248" t="s">
        <v>446</v>
      </c>
      <c r="D25" s="248" t="b">
        <f t="shared" si="0"/>
        <v>0</v>
      </c>
      <c r="E25" s="248">
        <v>355</v>
      </c>
      <c r="F25" s="248" t="s">
        <v>1099</v>
      </c>
      <c r="G25" s="248">
        <f t="shared" si="1"/>
        <v>0</v>
      </c>
      <c r="H25" s="248" t="b">
        <f>ISBLANK('355'!C29)</f>
        <v>1</v>
      </c>
      <c r="I25" s="248" t="b">
        <f>ISBLANK('355'!E29)</f>
        <v>1</v>
      </c>
      <c r="J25" s="248" t="b">
        <f>ISBLANK('355'!J43)</f>
        <v>1</v>
      </c>
      <c r="K25" s="248" t="b">
        <f>ISBLANK('355'!L43)</f>
        <v>1</v>
      </c>
      <c r="L25" s="248"/>
      <c r="M25" s="248"/>
      <c r="N25" s="248"/>
      <c r="O25" s="248"/>
      <c r="P25" s="248"/>
      <c r="Q25" s="248"/>
      <c r="R25" s="248" t="b">
        <f>NOT(OR(T25,U25))</f>
        <v>0</v>
      </c>
      <c r="S25" s="248"/>
      <c r="T25" s="248" t="b">
        <f>AND(H25,I25)</f>
        <v>1</v>
      </c>
      <c r="U25" s="248" t="b">
        <f>AND(J25,K25)</f>
        <v>1</v>
      </c>
      <c r="V25" s="248"/>
    </row>
    <row r="26" spans="1:22" x14ac:dyDescent="0.25">
      <c r="A26" s="248" t="str">
        <f t="shared" ref="A26:A31" si="6">E26&amp;D26</f>
        <v>420TRUE</v>
      </c>
      <c r="B26" s="248" t="str">
        <f t="shared" ref="B26:B31" si="7">E26&amp;C26&amp;D26</f>
        <v>420bTRUE</v>
      </c>
      <c r="C26" s="248" t="s">
        <v>447</v>
      </c>
      <c r="D26" s="248" t="b">
        <f t="shared" si="0"/>
        <v>1</v>
      </c>
      <c r="E26" s="248">
        <v>420</v>
      </c>
      <c r="F26" s="1432" t="s">
        <v>4491</v>
      </c>
      <c r="G26" s="248">
        <f t="shared" ref="G26:G50" si="8">INDEX(IdxTable,MATCH($E26,IdxSheetNum,0),2)</f>
        <v>0</v>
      </c>
      <c r="H26" s="248">
        <f>SUM('420'!E19:E21)</f>
        <v>0</v>
      </c>
      <c r="I26" s="248">
        <f>SUM('420'!F19:F21)</f>
        <v>0</v>
      </c>
      <c r="J26" s="248">
        <f>SUM('420'!G19:G21)</f>
        <v>0</v>
      </c>
      <c r="K26" s="248">
        <f>SUM('420'!H19:H21)</f>
        <v>0</v>
      </c>
      <c r="L26" s="248">
        <f>SUM('420'!I19:I21)</f>
        <v>0</v>
      </c>
      <c r="M26" s="248"/>
      <c r="N26" s="248"/>
      <c r="O26" s="248"/>
      <c r="P26" s="248"/>
      <c r="Q26" s="248"/>
      <c r="R26" s="248" t="b">
        <f>+T26=0</f>
        <v>1</v>
      </c>
      <c r="S26" s="248"/>
      <c r="T26" s="248">
        <f>+H26-I26</f>
        <v>0</v>
      </c>
      <c r="U26" s="248"/>
      <c r="V26" s="248"/>
    </row>
    <row r="27" spans="1:22" x14ac:dyDescent="0.25">
      <c r="A27" s="248" t="str">
        <f t="shared" si="6"/>
        <v>501TRUE</v>
      </c>
      <c r="B27" s="248" t="str">
        <f t="shared" si="7"/>
        <v>501aTRUE</v>
      </c>
      <c r="C27" s="248" t="s">
        <v>446</v>
      </c>
      <c r="D27" s="248" t="b">
        <f t="shared" si="0"/>
        <v>1</v>
      </c>
      <c r="E27" s="248">
        <v>501</v>
      </c>
      <c r="F27" s="248" t="s">
        <v>826</v>
      </c>
      <c r="G27" s="248">
        <f t="shared" si="8"/>
        <v>0</v>
      </c>
      <c r="H27" s="248">
        <f>+'501'!R33</f>
        <v>0</v>
      </c>
      <c r="I27" s="248"/>
      <c r="J27" s="248"/>
      <c r="K27" s="248"/>
      <c r="L27" s="248"/>
      <c r="M27" s="248"/>
      <c r="N27" s="248"/>
      <c r="O27" s="248"/>
      <c r="P27" s="248"/>
      <c r="Q27" s="248"/>
      <c r="R27" s="248" t="b">
        <f>H27=0</f>
        <v>1</v>
      </c>
      <c r="S27" s="248"/>
      <c r="T27" s="248"/>
      <c r="U27" s="248"/>
      <c r="V27" s="248"/>
    </row>
    <row r="28" spans="1:22" x14ac:dyDescent="0.25">
      <c r="A28" s="248" t="str">
        <f t="shared" si="6"/>
        <v>501TRUE</v>
      </c>
      <c r="B28" s="248" t="str">
        <f t="shared" si="7"/>
        <v>501bTRUE</v>
      </c>
      <c r="C28" s="248" t="s">
        <v>447</v>
      </c>
      <c r="D28" s="248" t="b">
        <f t="shared" si="0"/>
        <v>1</v>
      </c>
      <c r="E28" s="248">
        <v>501</v>
      </c>
      <c r="F28" s="248" t="s">
        <v>318</v>
      </c>
      <c r="G28" s="248">
        <f t="shared" si="8"/>
        <v>0</v>
      </c>
      <c r="H28" s="248">
        <f>+'501'!V32</f>
        <v>0</v>
      </c>
      <c r="I28" s="248"/>
      <c r="J28" s="248"/>
      <c r="K28" s="248"/>
      <c r="L28" s="248"/>
      <c r="M28" s="248"/>
      <c r="N28" s="248"/>
      <c r="O28" s="248"/>
      <c r="P28" s="248"/>
      <c r="Q28" s="248"/>
      <c r="R28" s="248" t="b">
        <f>+H28=0</f>
        <v>1</v>
      </c>
      <c r="S28" s="248"/>
      <c r="T28" s="248"/>
      <c r="U28" s="248"/>
      <c r="V28" s="248"/>
    </row>
    <row r="29" spans="1:22" x14ac:dyDescent="0.25">
      <c r="A29" s="248" t="str">
        <f t="shared" si="6"/>
        <v>505FALSE</v>
      </c>
      <c r="B29" s="248" t="str">
        <f t="shared" si="7"/>
        <v>505aFALSE</v>
      </c>
      <c r="C29" s="248" t="s">
        <v>446</v>
      </c>
      <c r="D29" s="248" t="b">
        <f t="shared" si="0"/>
        <v>0</v>
      </c>
      <c r="E29" s="248">
        <v>505</v>
      </c>
      <c r="F29" s="248" t="s">
        <v>161</v>
      </c>
      <c r="G29" s="248">
        <f t="shared" si="8"/>
        <v>0</v>
      </c>
      <c r="H29" s="248" t="b">
        <f>ISBLANK('505'!D8)</f>
        <v>1</v>
      </c>
      <c r="I29" s="248"/>
      <c r="J29" s="248"/>
      <c r="K29" s="248"/>
      <c r="L29" s="248"/>
      <c r="M29" s="248"/>
      <c r="N29" s="248"/>
      <c r="O29" s="248"/>
      <c r="P29" s="248"/>
      <c r="Q29" s="248"/>
      <c r="R29" s="248" t="b">
        <f t="shared" ref="R29:R35" si="9">NOT(H29)</f>
        <v>0</v>
      </c>
      <c r="S29" s="248"/>
      <c r="T29" s="248"/>
      <c r="U29" s="248"/>
      <c r="V29" s="248"/>
    </row>
    <row r="30" spans="1:22" x14ac:dyDescent="0.25">
      <c r="A30" s="248" t="str">
        <f t="shared" si="6"/>
        <v>510FALSE</v>
      </c>
      <c r="B30" s="248" t="str">
        <f t="shared" si="7"/>
        <v>510aFALSE</v>
      </c>
      <c r="C30" s="248" t="s">
        <v>446</v>
      </c>
      <c r="D30" s="248" t="b">
        <f t="shared" si="0"/>
        <v>0</v>
      </c>
      <c r="E30" s="248">
        <v>510</v>
      </c>
      <c r="F30" s="248" t="s">
        <v>161</v>
      </c>
      <c r="G30" s="248">
        <f t="shared" si="8"/>
        <v>0</v>
      </c>
      <c r="H30" s="248" t="b">
        <f>ISBLANK('510'!D8)</f>
        <v>1</v>
      </c>
      <c r="I30" s="248"/>
      <c r="J30" s="248"/>
      <c r="K30" s="248"/>
      <c r="L30" s="248"/>
      <c r="M30" s="248"/>
      <c r="N30" s="248"/>
      <c r="O30" s="248"/>
      <c r="P30" s="248"/>
      <c r="Q30" s="248"/>
      <c r="R30" s="248" t="b">
        <f t="shared" si="9"/>
        <v>0</v>
      </c>
      <c r="S30" s="248"/>
      <c r="T30" s="248"/>
      <c r="U30" s="248"/>
      <c r="V30" s="248"/>
    </row>
    <row r="31" spans="1:22" x14ac:dyDescent="0.25">
      <c r="A31" s="248" t="str">
        <f t="shared" si="6"/>
        <v>515FALSE</v>
      </c>
      <c r="B31" s="248" t="str">
        <f t="shared" si="7"/>
        <v>515aFALSE</v>
      </c>
      <c r="C31" s="248" t="s">
        <v>446</v>
      </c>
      <c r="D31" s="248" t="b">
        <f t="shared" si="0"/>
        <v>0</v>
      </c>
      <c r="E31" s="248">
        <v>515</v>
      </c>
      <c r="F31" s="248" t="s">
        <v>161</v>
      </c>
      <c r="G31" s="248">
        <f t="shared" si="8"/>
        <v>0</v>
      </c>
      <c r="H31" s="248" t="b">
        <f>ISBLANK('515'!D8)</f>
        <v>1</v>
      </c>
      <c r="I31" s="248"/>
      <c r="J31" s="248"/>
      <c r="K31" s="248"/>
      <c r="L31" s="248"/>
      <c r="M31" s="248"/>
      <c r="N31" s="248"/>
      <c r="O31" s="248"/>
      <c r="P31" s="248"/>
      <c r="Q31" s="248"/>
      <c r="R31" s="248" t="b">
        <f t="shared" si="9"/>
        <v>0</v>
      </c>
      <c r="S31" s="248"/>
      <c r="T31" s="248"/>
      <c r="U31" s="248"/>
      <c r="V31" s="248"/>
    </row>
    <row r="32" spans="1:22" x14ac:dyDescent="0.25">
      <c r="A32" s="248" t="str">
        <f>E32&amp;D32</f>
        <v>520FALSE</v>
      </c>
      <c r="B32" s="248" t="str">
        <f>E32&amp;C32&amp;D32</f>
        <v>520aFALSE</v>
      </c>
      <c r="C32" s="248" t="s">
        <v>446</v>
      </c>
      <c r="D32" s="248" t="b">
        <f t="shared" si="0"/>
        <v>0</v>
      </c>
      <c r="E32" s="248">
        <v>520</v>
      </c>
      <c r="F32" s="248" t="s">
        <v>161</v>
      </c>
      <c r="G32" s="248">
        <f t="shared" si="8"/>
        <v>0</v>
      </c>
      <c r="H32" s="248" t="b">
        <f>ISBLANK('520'!D8)</f>
        <v>1</v>
      </c>
      <c r="I32" s="248"/>
      <c r="J32" s="248"/>
      <c r="K32" s="248"/>
      <c r="L32" s="248"/>
      <c r="M32" s="248"/>
      <c r="N32" s="248"/>
      <c r="O32" s="248"/>
      <c r="P32" s="248"/>
      <c r="Q32" s="248"/>
      <c r="R32" s="248" t="b">
        <f t="shared" si="9"/>
        <v>0</v>
      </c>
      <c r="S32" s="248"/>
      <c r="T32" s="248"/>
      <c r="U32" s="248"/>
      <c r="V32" s="248"/>
    </row>
    <row r="33" spans="1:22" x14ac:dyDescent="0.25">
      <c r="A33" s="248" t="str">
        <f>E33&amp;D33</f>
        <v>525FALSE</v>
      </c>
      <c r="B33" s="248" t="str">
        <f>E33&amp;C33&amp;D33</f>
        <v>525aFALSE</v>
      </c>
      <c r="C33" s="248" t="s">
        <v>446</v>
      </c>
      <c r="D33" s="248" t="b">
        <f t="shared" si="0"/>
        <v>0</v>
      </c>
      <c r="E33" s="248">
        <v>525</v>
      </c>
      <c r="F33" s="248" t="s">
        <v>161</v>
      </c>
      <c r="G33" s="248">
        <f t="shared" si="8"/>
        <v>0</v>
      </c>
      <c r="H33" s="248" t="b">
        <f>ISBLANK('525'!D8)</f>
        <v>1</v>
      </c>
      <c r="I33" s="248"/>
      <c r="J33" s="248"/>
      <c r="K33" s="248"/>
      <c r="L33" s="248"/>
      <c r="M33" s="248"/>
      <c r="N33" s="248"/>
      <c r="O33" s="248"/>
      <c r="P33" s="248"/>
      <c r="Q33" s="248"/>
      <c r="R33" s="248" t="b">
        <f t="shared" si="9"/>
        <v>0</v>
      </c>
      <c r="S33" s="248"/>
      <c r="T33" s="248"/>
      <c r="U33" s="248"/>
      <c r="V33" s="248"/>
    </row>
    <row r="34" spans="1:22" x14ac:dyDescent="0.25">
      <c r="A34" s="248" t="str">
        <f>E34&amp;D34</f>
        <v>530FALSE</v>
      </c>
      <c r="B34" s="248" t="str">
        <f>E34&amp;C34&amp;D34</f>
        <v>530aFALSE</v>
      </c>
      <c r="C34" s="248" t="s">
        <v>446</v>
      </c>
      <c r="D34" s="248" t="b">
        <f t="shared" si="0"/>
        <v>0</v>
      </c>
      <c r="E34" s="248">
        <v>530</v>
      </c>
      <c r="F34" s="248" t="s">
        <v>161</v>
      </c>
      <c r="G34" s="248">
        <f t="shared" si="8"/>
        <v>0</v>
      </c>
      <c r="H34" s="248" t="b">
        <f>ISBLANK('530'!D8)</f>
        <v>1</v>
      </c>
      <c r="I34" s="248"/>
      <c r="J34" s="248"/>
      <c r="K34" s="248"/>
      <c r="L34" s="248"/>
      <c r="M34" s="248"/>
      <c r="N34" s="248"/>
      <c r="O34" s="248"/>
      <c r="P34" s="248"/>
      <c r="Q34" s="248"/>
      <c r="R34" s="248" t="b">
        <f t="shared" si="9"/>
        <v>0</v>
      </c>
      <c r="S34" s="248"/>
      <c r="T34" s="248"/>
      <c r="U34" s="248"/>
      <c r="V34" s="248"/>
    </row>
    <row r="35" spans="1:22" x14ac:dyDescent="0.25">
      <c r="A35" s="248" t="str">
        <f>E35&amp;D35</f>
        <v>535FALSE</v>
      </c>
      <c r="B35" s="248" t="str">
        <f>E35&amp;C35&amp;D35</f>
        <v>535aFALSE</v>
      </c>
      <c r="C35" s="248" t="s">
        <v>446</v>
      </c>
      <c r="D35" s="248" t="b">
        <f t="shared" si="0"/>
        <v>0</v>
      </c>
      <c r="E35" s="248">
        <v>535</v>
      </c>
      <c r="F35" s="248" t="s">
        <v>161</v>
      </c>
      <c r="G35" s="248">
        <f t="shared" si="8"/>
        <v>0</v>
      </c>
      <c r="H35" s="248" t="b">
        <f>ISBLANK('535'!D7)</f>
        <v>1</v>
      </c>
      <c r="I35" s="248"/>
      <c r="J35" s="248"/>
      <c r="K35" s="248"/>
      <c r="L35" s="248"/>
      <c r="M35" s="248"/>
      <c r="N35" s="248"/>
      <c r="O35" s="248"/>
      <c r="P35" s="248"/>
      <c r="Q35" s="248"/>
      <c r="R35" s="248" t="b">
        <f t="shared" si="9"/>
        <v>0</v>
      </c>
      <c r="S35" s="248"/>
      <c r="T35" s="248"/>
      <c r="U35" s="248"/>
      <c r="V35" s="248"/>
    </row>
    <row r="36" spans="1:22" x14ac:dyDescent="0.25">
      <c r="A36" s="248" t="str">
        <f>E36&amp;D36</f>
        <v>535TRUE</v>
      </c>
      <c r="B36" s="248" t="str">
        <f>E36&amp;C36&amp;D36</f>
        <v>535bTRUE</v>
      </c>
      <c r="C36" s="248" t="s">
        <v>447</v>
      </c>
      <c r="D36" s="248" t="b">
        <f t="shared" si="0"/>
        <v>1</v>
      </c>
      <c r="E36" s="248">
        <v>535</v>
      </c>
      <c r="F36" s="248" t="s">
        <v>318</v>
      </c>
      <c r="G36" s="248">
        <f t="shared" si="8"/>
        <v>0</v>
      </c>
      <c r="H36" s="248">
        <f>+'535'!R21+'535'!R34</f>
        <v>0</v>
      </c>
      <c r="I36" s="248"/>
      <c r="J36" s="248"/>
      <c r="K36" s="248"/>
      <c r="L36" s="248"/>
      <c r="M36" s="248"/>
      <c r="N36" s="248"/>
      <c r="O36" s="248"/>
      <c r="P36" s="248"/>
      <c r="Q36" s="248"/>
      <c r="R36" s="248" t="b">
        <f>+H36=0</f>
        <v>1</v>
      </c>
      <c r="S36" s="248"/>
      <c r="T36" s="248"/>
      <c r="U36" s="248"/>
      <c r="V36" s="248"/>
    </row>
    <row r="37" spans="1:22" x14ac:dyDescent="0.25">
      <c r="A37" s="248" t="str">
        <f t="shared" ref="A37:A50" si="10">E37&amp;D37</f>
        <v>565TRUE</v>
      </c>
      <c r="B37" s="248" t="str">
        <f t="shared" ref="B37:B50" si="11">E37&amp;C37&amp;D37</f>
        <v>565aTRUE</v>
      </c>
      <c r="C37" s="248" t="s">
        <v>446</v>
      </c>
      <c r="D37" s="248" t="b">
        <f t="shared" si="0"/>
        <v>1</v>
      </c>
      <c r="E37" s="248">
        <v>565</v>
      </c>
      <c r="F37" s="248" t="s">
        <v>360</v>
      </c>
      <c r="G37" s="248">
        <f t="shared" si="8"/>
        <v>0</v>
      </c>
      <c r="H37" s="248">
        <f>+'565'!W29</f>
        <v>0</v>
      </c>
      <c r="I37" s="248"/>
      <c r="J37" s="248"/>
      <c r="K37" s="248"/>
      <c r="L37" s="248"/>
      <c r="M37" s="248"/>
      <c r="N37" s="248"/>
      <c r="O37" s="248"/>
      <c r="P37" s="248"/>
      <c r="Q37" s="248"/>
      <c r="R37" s="248" t="b">
        <f>AND(H37=0,I37=0)</f>
        <v>1</v>
      </c>
      <c r="S37" s="248"/>
      <c r="T37" s="248"/>
      <c r="U37" s="248"/>
      <c r="V37" s="248"/>
    </row>
    <row r="38" spans="1:22" x14ac:dyDescent="0.25">
      <c r="A38" s="248" t="str">
        <f t="shared" si="10"/>
        <v>565TRUE</v>
      </c>
      <c r="B38" s="248" t="str">
        <f t="shared" si="11"/>
        <v>565bTRUE</v>
      </c>
      <c r="C38" s="248" t="s">
        <v>447</v>
      </c>
      <c r="D38" s="248" t="b">
        <f t="shared" si="0"/>
        <v>1</v>
      </c>
      <c r="E38" s="248">
        <v>565</v>
      </c>
      <c r="F38" s="248" t="s">
        <v>318</v>
      </c>
      <c r="G38" s="248">
        <f t="shared" si="8"/>
        <v>0</v>
      </c>
      <c r="H38" s="248">
        <f>+'565'!P29</f>
        <v>0</v>
      </c>
      <c r="I38" s="248"/>
      <c r="J38" s="248"/>
      <c r="K38" s="248"/>
      <c r="L38" s="248"/>
      <c r="M38" s="248"/>
      <c r="N38" s="248"/>
      <c r="O38" s="248"/>
      <c r="P38" s="248"/>
      <c r="Q38" s="248"/>
      <c r="R38" s="248" t="b">
        <f>AND(H38=0,I38=0)</f>
        <v>1</v>
      </c>
      <c r="S38" s="248"/>
      <c r="T38" s="248"/>
      <c r="U38" s="248"/>
      <c r="V38" s="248"/>
    </row>
    <row r="39" spans="1:22" x14ac:dyDescent="0.25">
      <c r="A39" s="248" t="str">
        <f t="shared" si="10"/>
        <v>570FALSE</v>
      </c>
      <c r="B39" s="248" t="str">
        <f t="shared" si="11"/>
        <v>570aFALSE</v>
      </c>
      <c r="C39" s="248" t="s">
        <v>446</v>
      </c>
      <c r="D39" s="248" t="b">
        <f t="shared" si="0"/>
        <v>0</v>
      </c>
      <c r="E39" s="248">
        <v>570</v>
      </c>
      <c r="F39" s="248" t="s">
        <v>161</v>
      </c>
      <c r="G39" s="248">
        <f t="shared" si="8"/>
        <v>0</v>
      </c>
      <c r="H39" s="248" t="b">
        <f>ISBLANK('570'!D7)</f>
        <v>1</v>
      </c>
      <c r="I39" s="248"/>
      <c r="J39" s="248"/>
      <c r="K39" s="248"/>
      <c r="L39" s="248"/>
      <c r="M39" s="248"/>
      <c r="N39" s="248"/>
      <c r="O39" s="248"/>
      <c r="P39" s="248"/>
      <c r="Q39" s="248"/>
      <c r="R39" s="248" t="b">
        <f>NOT(H39)</f>
        <v>0</v>
      </c>
      <c r="S39" s="248"/>
      <c r="T39" s="248"/>
      <c r="U39" s="248"/>
      <c r="V39" s="248"/>
    </row>
    <row r="40" spans="1:22" x14ac:dyDescent="0.25">
      <c r="A40" s="248" t="e">
        <f t="shared" si="10"/>
        <v>#N/A</v>
      </c>
      <c r="B40" s="248" t="e">
        <f t="shared" si="11"/>
        <v>#N/A</v>
      </c>
      <c r="C40" s="248" t="s">
        <v>446</v>
      </c>
      <c r="D40" s="248" t="e">
        <f t="shared" si="0"/>
        <v>#N/A</v>
      </c>
      <c r="E40" s="248">
        <v>601</v>
      </c>
      <c r="F40" s="248" t="s">
        <v>161</v>
      </c>
      <c r="G40" s="248" t="e">
        <f t="shared" si="8"/>
        <v>#N/A</v>
      </c>
      <c r="H40" s="248" t="b">
        <f>ISBLANK(#REF!)</f>
        <v>0</v>
      </c>
      <c r="I40" s="248"/>
      <c r="J40" s="248"/>
      <c r="K40" s="248"/>
      <c r="L40" s="248"/>
      <c r="M40" s="248"/>
      <c r="N40" s="248"/>
      <c r="O40" s="248"/>
      <c r="P40" s="248"/>
      <c r="Q40" s="248"/>
      <c r="R40" s="248" t="b">
        <f>NOT(H40)</f>
        <v>1</v>
      </c>
      <c r="S40" s="248"/>
      <c r="T40" s="248"/>
      <c r="U40" s="248"/>
      <c r="V40" s="248"/>
    </row>
    <row r="41" spans="1:22" x14ac:dyDescent="0.25">
      <c r="A41" s="248" t="e">
        <f t="shared" si="10"/>
        <v>#N/A</v>
      </c>
      <c r="B41" s="248" t="e">
        <f t="shared" si="11"/>
        <v>#N/A</v>
      </c>
      <c r="C41" s="248" t="s">
        <v>447</v>
      </c>
      <c r="D41" s="248" t="e">
        <f t="shared" si="0"/>
        <v>#N/A</v>
      </c>
      <c r="E41" s="248">
        <v>601</v>
      </c>
      <c r="F41" s="248" t="s">
        <v>314</v>
      </c>
      <c r="G41" s="248" t="e">
        <f t="shared" si="8"/>
        <v>#N/A</v>
      </c>
      <c r="H41" s="248" t="b">
        <f>ISBLANK(#REF!)</f>
        <v>0</v>
      </c>
      <c r="I41" s="248"/>
      <c r="J41" s="248"/>
      <c r="K41" s="248"/>
      <c r="L41" s="248"/>
      <c r="M41" s="248"/>
      <c r="N41" s="248"/>
      <c r="O41" s="248"/>
      <c r="P41" s="248"/>
      <c r="Q41" s="248"/>
      <c r="R41" s="248" t="b">
        <f>NOT(H41)</f>
        <v>1</v>
      </c>
      <c r="S41" s="248"/>
      <c r="T41" s="248"/>
      <c r="U41" s="248"/>
      <c r="V41" s="248"/>
    </row>
    <row r="42" spans="1:22" x14ac:dyDescent="0.25">
      <c r="A42" s="248" t="e">
        <f t="shared" si="10"/>
        <v>#N/A</v>
      </c>
      <c r="B42" s="248" t="e">
        <f t="shared" si="11"/>
        <v>#N/A</v>
      </c>
      <c r="C42" s="248" t="s">
        <v>448</v>
      </c>
      <c r="D42" s="248" t="e">
        <f t="shared" si="0"/>
        <v>#N/A</v>
      </c>
      <c r="E42" s="248">
        <v>601</v>
      </c>
      <c r="F42" s="248" t="s">
        <v>315</v>
      </c>
      <c r="G42" s="248" t="e">
        <f t="shared" si="8"/>
        <v>#N/A</v>
      </c>
      <c r="H42" s="248" t="b">
        <f>ISBLANK(#REF!)</f>
        <v>0</v>
      </c>
      <c r="I42" s="248" t="b">
        <f>ISBLANK(#REF!)</f>
        <v>0</v>
      </c>
      <c r="J42" s="248" t="b">
        <f>ISBLANK(#REF!)</f>
        <v>0</v>
      </c>
      <c r="K42" s="248" t="b">
        <f>ISBLANK(#REF!)</f>
        <v>0</v>
      </c>
      <c r="L42" s="248" t="b">
        <f>ISBLANK(#REF!)</f>
        <v>0</v>
      </c>
      <c r="M42" s="248"/>
      <c r="N42" s="248"/>
      <c r="O42" s="248"/>
      <c r="P42" s="248"/>
      <c r="Q42" s="248"/>
      <c r="R42" s="248" t="b">
        <f>NOT(OR(H42,I42,J42,K42,L42))</f>
        <v>1</v>
      </c>
      <c r="S42" s="248"/>
      <c r="T42" s="248"/>
      <c r="U42" s="248"/>
      <c r="V42" s="248"/>
    </row>
    <row r="43" spans="1:22" x14ac:dyDescent="0.25">
      <c r="A43" s="248" t="str">
        <f t="shared" si="10"/>
        <v>605FALSE</v>
      </c>
      <c r="B43" s="248" t="str">
        <f t="shared" si="11"/>
        <v>605aFALSE</v>
      </c>
      <c r="C43" s="248" t="s">
        <v>446</v>
      </c>
      <c r="D43" s="248" t="b">
        <f t="shared" si="0"/>
        <v>0</v>
      </c>
      <c r="E43" s="248">
        <v>605</v>
      </c>
      <c r="F43" s="248" t="s">
        <v>315</v>
      </c>
      <c r="G43" s="248">
        <f t="shared" si="8"/>
        <v>0</v>
      </c>
      <c r="H43" s="248" t="b">
        <f>ISBLANK('605'!E18)</f>
        <v>1</v>
      </c>
      <c r="I43" s="248"/>
      <c r="J43" s="248"/>
      <c r="K43" s="248"/>
      <c r="L43" s="248"/>
      <c r="M43" s="248"/>
      <c r="N43" s="248"/>
      <c r="O43" s="248"/>
      <c r="P43" s="248"/>
      <c r="Q43" s="248"/>
      <c r="R43" s="248" t="b">
        <f>NOT(H43)</f>
        <v>0</v>
      </c>
      <c r="S43" s="248"/>
      <c r="T43" s="248"/>
      <c r="U43" s="248"/>
      <c r="V43" s="248"/>
    </row>
    <row r="44" spans="1:22" x14ac:dyDescent="0.25">
      <c r="A44" s="248" t="str">
        <f t="shared" si="10"/>
        <v>625FALSE</v>
      </c>
      <c r="B44" s="248" t="str">
        <f t="shared" si="11"/>
        <v>625aFALSE</v>
      </c>
      <c r="C44" s="248" t="s">
        <v>446</v>
      </c>
      <c r="D44" s="248" t="b">
        <f t="shared" si="0"/>
        <v>0</v>
      </c>
      <c r="E44" s="248">
        <v>625</v>
      </c>
      <c r="F44" s="248" t="s">
        <v>161</v>
      </c>
      <c r="G44" s="248">
        <f t="shared" si="8"/>
        <v>0</v>
      </c>
      <c r="H44" s="248" t="b">
        <f>ISBLANK('625'!C6)</f>
        <v>1</v>
      </c>
      <c r="I44" s="248"/>
      <c r="J44" s="248"/>
      <c r="K44" s="248"/>
      <c r="L44" s="248"/>
      <c r="M44" s="248"/>
      <c r="N44" s="248"/>
      <c r="O44" s="248"/>
      <c r="P44" s="248"/>
      <c r="Q44" s="248"/>
      <c r="R44" s="248" t="b">
        <f>NOT(H44)</f>
        <v>0</v>
      </c>
      <c r="S44" s="248"/>
      <c r="T44" s="248"/>
      <c r="U44" s="248"/>
      <c r="V44" s="248"/>
    </row>
    <row r="45" spans="1:22" x14ac:dyDescent="0.25">
      <c r="A45" s="248" t="str">
        <f t="shared" si="10"/>
        <v>625FALSE</v>
      </c>
      <c r="B45" s="248" t="str">
        <f t="shared" si="11"/>
        <v>625bFALSE</v>
      </c>
      <c r="C45" s="248" t="s">
        <v>447</v>
      </c>
      <c r="D45" s="248" t="b">
        <f t="shared" si="0"/>
        <v>0</v>
      </c>
      <c r="E45" s="248">
        <v>625</v>
      </c>
      <c r="F45" s="248" t="s">
        <v>689</v>
      </c>
      <c r="G45" s="248">
        <f t="shared" si="8"/>
        <v>0</v>
      </c>
      <c r="H45" s="248" t="b">
        <f>ISBLANK('625'!C7)</f>
        <v>1</v>
      </c>
      <c r="I45" s="248"/>
      <c r="J45" s="248"/>
      <c r="K45" s="248"/>
      <c r="L45" s="248"/>
      <c r="M45" s="248"/>
      <c r="N45" s="248"/>
      <c r="O45" s="248"/>
      <c r="P45" s="248"/>
      <c r="Q45" s="248"/>
      <c r="R45" s="248" t="b">
        <f>NOT(H45)</f>
        <v>0</v>
      </c>
      <c r="S45" s="248"/>
      <c r="T45" s="248"/>
      <c r="U45" s="248"/>
      <c r="V45" s="248"/>
    </row>
    <row r="46" spans="1:22" x14ac:dyDescent="0.25">
      <c r="A46" s="248" t="str">
        <f t="shared" si="10"/>
        <v>635FALSE</v>
      </c>
      <c r="B46" s="248" t="str">
        <f t="shared" si="11"/>
        <v>635aFALSE</v>
      </c>
      <c r="C46" s="248" t="s">
        <v>446</v>
      </c>
      <c r="D46" s="248" t="b">
        <f t="shared" si="0"/>
        <v>0</v>
      </c>
      <c r="E46" s="248">
        <v>635</v>
      </c>
      <c r="F46" s="248" t="s">
        <v>161</v>
      </c>
      <c r="G46" s="248">
        <f t="shared" si="8"/>
        <v>0</v>
      </c>
      <c r="H46" s="248" t="b">
        <f>ISBLANK('635'!G7)</f>
        <v>1</v>
      </c>
      <c r="I46" s="248"/>
      <c r="J46" s="248"/>
      <c r="K46" s="248"/>
      <c r="L46" s="248"/>
      <c r="M46" s="248"/>
      <c r="N46" s="248"/>
      <c r="O46" s="248"/>
      <c r="P46" s="248"/>
      <c r="Q46" s="248"/>
      <c r="R46" s="248" t="b">
        <f>NOT(H46)</f>
        <v>0</v>
      </c>
      <c r="S46" s="248"/>
      <c r="T46" s="248"/>
      <c r="U46" s="248"/>
      <c r="V46" s="248"/>
    </row>
    <row r="47" spans="1:22" x14ac:dyDescent="0.25">
      <c r="A47" s="248" t="str">
        <f t="shared" si="10"/>
        <v>705TRUE</v>
      </c>
      <c r="B47" s="248" t="str">
        <f t="shared" si="11"/>
        <v>705aTRUE</v>
      </c>
      <c r="C47" s="248" t="s">
        <v>446</v>
      </c>
      <c r="D47" s="248" t="b">
        <f t="shared" si="0"/>
        <v>1</v>
      </c>
      <c r="E47" s="248">
        <v>705</v>
      </c>
      <c r="F47" s="248" t="s">
        <v>690</v>
      </c>
      <c r="G47" s="248">
        <f t="shared" si="8"/>
        <v>0</v>
      </c>
      <c r="H47" s="248">
        <f>+'705'!S45</f>
        <v>0</v>
      </c>
      <c r="I47" s="248"/>
      <c r="J47" s="248"/>
      <c r="K47" s="248"/>
      <c r="L47" s="248"/>
      <c r="M47" s="248"/>
      <c r="N47" s="248"/>
      <c r="O47" s="248"/>
      <c r="P47" s="248"/>
      <c r="Q47" s="248"/>
      <c r="R47" s="248" t="b">
        <f>+H47=0</f>
        <v>1</v>
      </c>
      <c r="S47" s="248"/>
      <c r="T47" s="248"/>
      <c r="U47" s="248"/>
      <c r="V47" s="248"/>
    </row>
    <row r="48" spans="1:22" x14ac:dyDescent="0.25">
      <c r="A48" s="248" t="str">
        <f t="shared" si="10"/>
        <v>710TRUE</v>
      </c>
      <c r="B48" s="248" t="str">
        <f t="shared" si="11"/>
        <v>710aTRUE</v>
      </c>
      <c r="C48" s="248" t="s">
        <v>446</v>
      </c>
      <c r="D48" s="248" t="b">
        <f t="shared" si="0"/>
        <v>1</v>
      </c>
      <c r="E48" s="248">
        <v>710</v>
      </c>
      <c r="F48" s="248" t="s">
        <v>691</v>
      </c>
      <c r="G48" s="248">
        <f t="shared" si="8"/>
        <v>0</v>
      </c>
      <c r="H48" s="248">
        <f>+'710'!T38</f>
        <v>0</v>
      </c>
      <c r="I48" s="248"/>
      <c r="J48" s="248"/>
      <c r="K48" s="248"/>
      <c r="L48" s="248"/>
      <c r="M48" s="248"/>
      <c r="N48" s="248"/>
      <c r="O48" s="248"/>
      <c r="P48" s="248"/>
      <c r="Q48" s="248"/>
      <c r="R48" s="248" t="b">
        <f>+H48=0</f>
        <v>1</v>
      </c>
      <c r="S48" s="248"/>
      <c r="T48" s="248"/>
      <c r="U48" s="248"/>
      <c r="V48" s="248"/>
    </row>
    <row r="49" spans="1:22" x14ac:dyDescent="0.25">
      <c r="A49" s="248" t="str">
        <f t="shared" si="10"/>
        <v>710TRUE</v>
      </c>
      <c r="B49" s="248" t="str">
        <f t="shared" si="11"/>
        <v>710bTRUE</v>
      </c>
      <c r="C49" s="248" t="s">
        <v>447</v>
      </c>
      <c r="D49" s="248" t="b">
        <f t="shared" si="0"/>
        <v>1</v>
      </c>
      <c r="E49" s="248">
        <v>710</v>
      </c>
      <c r="F49" s="1432" t="s">
        <v>3629</v>
      </c>
      <c r="G49" s="248">
        <f t="shared" si="8"/>
        <v>0</v>
      </c>
      <c r="H49" s="248" t="b">
        <f>+'710'!K70='710'!M70</f>
        <v>1</v>
      </c>
      <c r="I49" s="248"/>
      <c r="J49" s="248"/>
      <c r="K49" s="248"/>
      <c r="L49" s="248"/>
      <c r="M49" s="248"/>
      <c r="N49" s="248"/>
      <c r="O49" s="248"/>
      <c r="P49" s="248"/>
      <c r="Q49" s="248"/>
      <c r="R49" s="248" t="b">
        <f>+H49</f>
        <v>1</v>
      </c>
      <c r="S49" s="248"/>
      <c r="T49" s="248"/>
      <c r="U49" s="248"/>
      <c r="V49" s="248"/>
    </row>
    <row r="50" spans="1:22" x14ac:dyDescent="0.25">
      <c r="A50" s="248" t="str">
        <f t="shared" si="10"/>
        <v>715TRUE</v>
      </c>
      <c r="B50" s="248" t="str">
        <f t="shared" si="11"/>
        <v>715aTRUE</v>
      </c>
      <c r="C50" s="248" t="s">
        <v>446</v>
      </c>
      <c r="D50" s="248" t="b">
        <f t="shared" si="0"/>
        <v>1</v>
      </c>
      <c r="E50" s="248">
        <v>715</v>
      </c>
      <c r="F50" s="248" t="s">
        <v>690</v>
      </c>
      <c r="G50" s="248">
        <f t="shared" si="8"/>
        <v>0</v>
      </c>
      <c r="H50" s="248">
        <f>+'715'!S37</f>
        <v>0</v>
      </c>
      <c r="I50" s="248"/>
      <c r="J50" s="248"/>
      <c r="K50" s="248"/>
      <c r="L50" s="248"/>
      <c r="M50" s="248"/>
      <c r="N50" s="248"/>
      <c r="O50" s="248"/>
      <c r="P50" s="248"/>
      <c r="Q50" s="248"/>
      <c r="R50" s="248" t="b">
        <f>+H50=0</f>
        <v>1</v>
      </c>
      <c r="S50" s="248"/>
      <c r="T50" s="248"/>
      <c r="U50" s="248"/>
      <c r="V50" s="248"/>
    </row>
  </sheetData>
  <sheetProtection algorithmName="SHA-512" hashValue="SoTRvUXfqGGN4IveqDj0Nvo4E8bzNCJ2PBFN910en5KtrncHfQZQoqWnNi5QLAoSqg80MhykKOB9/9V8cWUUcw==" saltValue="Qh9mDhk8xuD9goxgy8M5ig==" spinCount="100000" sheet="1" objects="1" scenarios="1" autoFilter="0"/>
  <customSheetViews>
    <customSheetView guid="{B08879A4-635B-4C39-9937-AC7883D562FC}" state="hidden">
      <pane ySplit="1" topLeftCell="A2" activePane="bottomLeft" state="frozen"/>
      <selection pane="bottomLeft" activeCell="B16" sqref="B16"/>
      <pageMargins left="0.75" right="0.75" top="1" bottom="1" header="0.5" footer="0.5"/>
      <pageSetup orientation="portrait" r:id="rId1"/>
      <headerFooter alignWithMargins="0"/>
    </customSheetView>
    <customSheetView guid="{9FCFC836-1CA5-48BF-958D-24D2EA94B219}" state="hidden">
      <pane ySplit="1" topLeftCell="A2" activePane="bottomLeft" state="frozen"/>
      <selection pane="bottomLeft" activeCell="B16" sqref="B16"/>
      <pageMargins left="0.75" right="0.75" top="1" bottom="1" header="0.5" footer="0.5"/>
      <pageSetup orientation="portrait" r:id="rId2"/>
      <headerFooter alignWithMargins="0"/>
    </customSheetView>
  </customSheetViews>
  <phoneticPr fontId="15" type="noConversion"/>
  <pageMargins left="0.75" right="0.75" top="1" bottom="1" header="0.5" footer="0.5"/>
  <pageSetup orientation="portrait" r:id="rId3"/>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9"/>
  <dimension ref="A1:AN82"/>
  <sheetViews>
    <sheetView topLeftCell="O23" workbookViewId="0">
      <selection activeCell="V30" sqref="V30:W30"/>
    </sheetView>
  </sheetViews>
  <sheetFormatPr defaultColWidth="9.42578125" defaultRowHeight="15.75" x14ac:dyDescent="0.25"/>
  <cols>
    <col min="1" max="1" width="6.5703125" style="390" bestFit="1" customWidth="1"/>
    <col min="2" max="2" width="7.5703125" style="390" bestFit="1" customWidth="1"/>
    <col min="3" max="3" width="4.5703125" style="390" customWidth="1"/>
    <col min="4" max="4" width="7.5703125" style="390" bestFit="1" customWidth="1"/>
    <col min="5" max="5" width="6.5703125" style="390" bestFit="1" customWidth="1"/>
    <col min="6" max="7" width="9.42578125" style="390"/>
    <col min="8" max="8" width="36.5703125" style="390" bestFit="1" customWidth="1"/>
    <col min="9" max="9" width="9.42578125" style="390"/>
    <col min="10" max="10" width="30.42578125" style="390" bestFit="1" customWidth="1"/>
    <col min="11" max="11" width="24.42578125" style="390" customWidth="1"/>
    <col min="12" max="17" width="9.42578125" style="390"/>
    <col min="18" max="18" width="51.42578125" style="390" customWidth="1"/>
    <col min="19" max="16384" width="9.42578125" style="390"/>
  </cols>
  <sheetData>
    <row r="1" spans="1:40" x14ac:dyDescent="0.25">
      <c r="A1" s="733" t="s">
        <v>439</v>
      </c>
      <c r="B1" s="3053" t="s">
        <v>633</v>
      </c>
      <c r="C1" s="3054"/>
      <c r="D1" s="3053" t="s">
        <v>645</v>
      </c>
      <c r="E1" s="3054"/>
      <c r="H1" s="841" t="s">
        <v>3935</v>
      </c>
      <c r="J1" s="841" t="s">
        <v>1397</v>
      </c>
      <c r="K1" s="841" t="s">
        <v>3467</v>
      </c>
      <c r="M1" s="841" t="s">
        <v>4177</v>
      </c>
      <c r="Q1" s="324"/>
      <c r="R1" s="1059" t="s">
        <v>4333</v>
      </c>
      <c r="S1" s="1059" t="s">
        <v>4572</v>
      </c>
      <c r="X1" s="2" t="s">
        <v>5073</v>
      </c>
      <c r="AB1" s="272"/>
      <c r="AC1" s="2" t="s">
        <v>5085</v>
      </c>
      <c r="AJ1" s="1059" t="s">
        <v>5138</v>
      </c>
      <c r="AM1" s="1059"/>
      <c r="AN1" s="1059" t="s">
        <v>5139</v>
      </c>
    </row>
    <row r="2" spans="1:40" x14ac:dyDescent="0.25">
      <c r="A2" s="389">
        <v>201</v>
      </c>
      <c r="D2" s="841" t="s">
        <v>1398</v>
      </c>
      <c r="H2" s="390" t="s">
        <v>128</v>
      </c>
      <c r="J2" s="827" t="s">
        <v>1356</v>
      </c>
      <c r="K2" s="827" t="s">
        <v>1170</v>
      </c>
      <c r="L2" s="827"/>
      <c r="M2" t="s">
        <v>4178</v>
      </c>
      <c r="N2" s="827"/>
      <c r="Q2" s="324"/>
      <c r="AJ2" s="1059"/>
    </row>
    <row r="3" spans="1:40" x14ac:dyDescent="0.25">
      <c r="A3" s="389">
        <v>215</v>
      </c>
      <c r="B3" s="390" t="b">
        <f>NOT(ISBLANK('215'!#REF!))</f>
        <v>1</v>
      </c>
      <c r="C3" s="390">
        <f>IF(B3,$A3,"")</f>
        <v>215</v>
      </c>
      <c r="E3" s="390" t="str">
        <f>IF(D3,$A3,"")</f>
        <v/>
      </c>
      <c r="H3" s="841" t="s">
        <v>1037</v>
      </c>
      <c r="J3" s="827" t="s">
        <v>1405</v>
      </c>
      <c r="K3" s="827" t="s">
        <v>289</v>
      </c>
      <c r="L3" s="827"/>
      <c r="M3" s="324" t="s">
        <v>4179</v>
      </c>
      <c r="N3" s="827"/>
      <c r="Q3" s="324"/>
      <c r="R3" s="1059" t="s">
        <v>4324</v>
      </c>
      <c r="S3" s="1059" t="s">
        <v>4573</v>
      </c>
      <c r="X3" s="1095" t="s">
        <v>5090</v>
      </c>
      <c r="AC3" s="1095" t="s">
        <v>5090</v>
      </c>
      <c r="AJ3" s="2200" t="s">
        <v>5140</v>
      </c>
      <c r="AN3" s="2200" t="s">
        <v>5159</v>
      </c>
    </row>
    <row r="4" spans="1:40" x14ac:dyDescent="0.25">
      <c r="A4" s="389">
        <v>305</v>
      </c>
      <c r="C4" s="390" t="str">
        <f t="shared" ref="C4:C10" si="0">IF(B4,$A4,"")</f>
        <v/>
      </c>
      <c r="D4" s="390" t="b">
        <f>(SUM('305'!G17:G39))&lt;&gt;0</f>
        <v>0</v>
      </c>
      <c r="E4" s="390" t="str">
        <f t="shared" ref="E4:E10" si="1">IF(D4,$A4,"")</f>
        <v/>
      </c>
      <c r="H4" s="390" t="s">
        <v>110</v>
      </c>
      <c r="J4" s="827" t="s">
        <v>1406</v>
      </c>
      <c r="K4" s="827" t="s">
        <v>3465</v>
      </c>
      <c r="L4" s="827"/>
      <c r="M4" s="324" t="s">
        <v>4180</v>
      </c>
      <c r="N4" s="827"/>
      <c r="R4" s="841" t="s">
        <v>4334</v>
      </c>
      <c r="S4" s="841" t="s">
        <v>4579</v>
      </c>
      <c r="X4" s="356" t="s">
        <v>5070</v>
      </c>
      <c r="AC4" t="s">
        <v>5075</v>
      </c>
      <c r="AJ4" s="2200" t="s">
        <v>1859</v>
      </c>
      <c r="AN4" s="2200" t="s">
        <v>5143</v>
      </c>
    </row>
    <row r="5" spans="1:40" x14ac:dyDescent="0.25">
      <c r="A5" s="389">
        <v>310</v>
      </c>
      <c r="D5" s="390" t="b">
        <f>(SUM('310'!G17:G41))&lt;&gt;0</f>
        <v>0</v>
      </c>
      <c r="E5" s="390" t="str">
        <f t="shared" si="1"/>
        <v/>
      </c>
      <c r="H5" s="841" t="s">
        <v>3851</v>
      </c>
      <c r="J5" s="827" t="s">
        <v>3443</v>
      </c>
      <c r="K5" s="827" t="s">
        <v>3466</v>
      </c>
      <c r="L5" s="827"/>
      <c r="M5" t="s">
        <v>4181</v>
      </c>
      <c r="N5" s="827"/>
      <c r="Q5" s="324"/>
      <c r="R5" s="841" t="s">
        <v>557</v>
      </c>
      <c r="S5" s="841" t="s">
        <v>4574</v>
      </c>
      <c r="X5" t="s">
        <v>5071</v>
      </c>
      <c r="AC5" s="356" t="s">
        <v>5077</v>
      </c>
      <c r="AJ5" s="2200" t="s">
        <v>1860</v>
      </c>
      <c r="AN5" s="2200" t="s">
        <v>5161</v>
      </c>
    </row>
    <row r="6" spans="1:40" x14ac:dyDescent="0.25">
      <c r="A6" s="389">
        <v>330</v>
      </c>
      <c r="B6" s="390" t="b">
        <f>NOT(ISBLANK('330'!#REF!))</f>
        <v>1</v>
      </c>
      <c r="C6" s="390">
        <f t="shared" si="0"/>
        <v>330</v>
      </c>
      <c r="E6" s="390" t="str">
        <f t="shared" si="1"/>
        <v/>
      </c>
      <c r="H6" s="390" t="s">
        <v>1038</v>
      </c>
      <c r="J6" s="827" t="s">
        <v>1718</v>
      </c>
      <c r="K6" s="827" t="s">
        <v>3471</v>
      </c>
      <c r="L6" s="827"/>
      <c r="M6" t="s">
        <v>4182</v>
      </c>
      <c r="N6" s="827"/>
      <c r="Q6" s="324"/>
      <c r="R6" s="841" t="s">
        <v>4335</v>
      </c>
      <c r="S6" s="841" t="s">
        <v>4575</v>
      </c>
      <c r="X6" t="s">
        <v>5072</v>
      </c>
      <c r="AC6" t="s">
        <v>5071</v>
      </c>
      <c r="AJ6" s="2200" t="s">
        <v>1862</v>
      </c>
      <c r="AN6" s="2200" t="s">
        <v>5142</v>
      </c>
    </row>
    <row r="7" spans="1:40" x14ac:dyDescent="0.25">
      <c r="A7" s="389">
        <v>335</v>
      </c>
      <c r="B7" s="390" t="b">
        <f>NOT(ISBLANK(#REF!))</f>
        <v>1</v>
      </c>
      <c r="C7" s="390">
        <f t="shared" si="0"/>
        <v>335</v>
      </c>
      <c r="E7" s="390" t="str">
        <f t="shared" si="1"/>
        <v/>
      </c>
      <c r="H7" s="390" t="s">
        <v>1039</v>
      </c>
      <c r="J7" s="1722" t="s">
        <v>4104</v>
      </c>
      <c r="K7" s="1722" t="s">
        <v>4668</v>
      </c>
      <c r="L7" s="356"/>
      <c r="M7" s="324" t="s">
        <v>4183</v>
      </c>
      <c r="N7" s="356"/>
      <c r="R7" s="841" t="s">
        <v>4336</v>
      </c>
      <c r="S7" s="841" t="s">
        <v>4576</v>
      </c>
      <c r="AC7" t="s">
        <v>5072</v>
      </c>
      <c r="AJ7" s="2200" t="s">
        <v>1874</v>
      </c>
      <c r="AN7" s="2200" t="s">
        <v>5152</v>
      </c>
    </row>
    <row r="8" spans="1:40" x14ac:dyDescent="0.25">
      <c r="A8" s="389">
        <v>340</v>
      </c>
      <c r="B8" s="390" t="b">
        <f>NOT(ISBLANK(#REF!))</f>
        <v>1</v>
      </c>
      <c r="C8" s="390">
        <f t="shared" si="0"/>
        <v>340</v>
      </c>
      <c r="E8" s="390" t="str">
        <f t="shared" si="1"/>
        <v/>
      </c>
      <c r="H8" s="390" t="s">
        <v>1040</v>
      </c>
      <c r="J8" s="1722" t="s">
        <v>4284</v>
      </c>
      <c r="K8" s="1722" t="s">
        <v>4703</v>
      </c>
      <c r="M8" s="324" t="s">
        <v>4184</v>
      </c>
      <c r="Q8" s="324"/>
      <c r="R8" s="841" t="s">
        <v>548</v>
      </c>
      <c r="S8" s="841" t="s">
        <v>1890</v>
      </c>
      <c r="X8" s="2" t="s">
        <v>5074</v>
      </c>
      <c r="AC8" s="356" t="s">
        <v>5086</v>
      </c>
      <c r="AJ8" s="2200" t="s">
        <v>1868</v>
      </c>
      <c r="AN8" s="2200" t="s">
        <v>5141</v>
      </c>
    </row>
    <row r="9" spans="1:40" x14ac:dyDescent="0.25">
      <c r="A9" s="389">
        <v>360</v>
      </c>
      <c r="B9" s="390" t="b">
        <f>NOT(ISBLANK(#REF!))</f>
        <v>1</v>
      </c>
      <c r="C9" s="390">
        <f t="shared" si="0"/>
        <v>360</v>
      </c>
      <c r="E9" s="390" t="str">
        <f t="shared" si="1"/>
        <v/>
      </c>
      <c r="H9" s="390" t="s">
        <v>1041</v>
      </c>
      <c r="K9" s="827" t="s">
        <v>3470</v>
      </c>
      <c r="M9" t="s">
        <v>4176</v>
      </c>
      <c r="Q9" s="324"/>
      <c r="R9" s="841" t="s">
        <v>1276</v>
      </c>
      <c r="AJ9" s="2200" t="s">
        <v>3915</v>
      </c>
      <c r="AN9" s="2200" t="s">
        <v>5145</v>
      </c>
    </row>
    <row r="10" spans="1:40" x14ac:dyDescent="0.25">
      <c r="A10" s="389">
        <v>750</v>
      </c>
      <c r="B10" s="390" t="b">
        <f>NOT(ISBLANK(#REF!))</f>
        <v>1</v>
      </c>
      <c r="C10" s="390">
        <f t="shared" si="0"/>
        <v>750</v>
      </c>
      <c r="E10" s="390" t="str">
        <f t="shared" si="1"/>
        <v/>
      </c>
      <c r="H10" s="841" t="s">
        <v>4759</v>
      </c>
      <c r="R10" s="841" t="s">
        <v>4337</v>
      </c>
      <c r="X10" s="1095" t="s">
        <v>5090</v>
      </c>
      <c r="AC10" s="2" t="s">
        <v>5087</v>
      </c>
      <c r="AJ10" s="2200" t="s">
        <v>1875</v>
      </c>
      <c r="AN10" s="2200" t="s">
        <v>5151</v>
      </c>
    </row>
    <row r="11" spans="1:40" x14ac:dyDescent="0.25">
      <c r="A11" s="389"/>
      <c r="H11" s="390" t="s">
        <v>729</v>
      </c>
      <c r="Q11" s="324"/>
      <c r="R11" s="841" t="s">
        <v>4338</v>
      </c>
      <c r="S11" s="841" t="s">
        <v>3935</v>
      </c>
      <c r="X11" t="s">
        <v>5075</v>
      </c>
      <c r="AJ11" s="2200" t="s">
        <v>1876</v>
      </c>
      <c r="AN11" s="2200" t="s">
        <v>5156</v>
      </c>
    </row>
    <row r="12" spans="1:40" x14ac:dyDescent="0.25">
      <c r="A12" s="389"/>
      <c r="H12" s="841" t="s">
        <v>3852</v>
      </c>
      <c r="Q12" s="324"/>
      <c r="R12" s="841" t="s">
        <v>312</v>
      </c>
      <c r="S12" s="841" t="s">
        <v>1037</v>
      </c>
      <c r="X12" t="s">
        <v>5076</v>
      </c>
      <c r="AC12" s="1095" t="s">
        <v>5090</v>
      </c>
      <c r="AN12" s="2200" t="s">
        <v>5144</v>
      </c>
    </row>
    <row r="13" spans="1:40" x14ac:dyDescent="0.25">
      <c r="A13" s="389"/>
      <c r="H13" s="841" t="s">
        <v>3853</v>
      </c>
      <c r="R13" s="841" t="s">
        <v>4339</v>
      </c>
      <c r="S13" s="841" t="s">
        <v>1039</v>
      </c>
      <c r="X13" s="356" t="s">
        <v>5077</v>
      </c>
      <c r="AC13" t="s">
        <v>5076</v>
      </c>
      <c r="AN13" s="2200" t="s">
        <v>5155</v>
      </c>
    </row>
    <row r="14" spans="1:40" x14ac:dyDescent="0.25">
      <c r="H14" s="390" t="s">
        <v>730</v>
      </c>
      <c r="Q14" s="324"/>
      <c r="R14" s="841" t="s">
        <v>4340</v>
      </c>
      <c r="S14" s="841" t="s">
        <v>1040</v>
      </c>
      <c r="X14" s="356" t="s">
        <v>5078</v>
      </c>
      <c r="AC14" s="356" t="s">
        <v>5078</v>
      </c>
      <c r="AN14" s="2200" t="s">
        <v>5154</v>
      </c>
    </row>
    <row r="15" spans="1:40" x14ac:dyDescent="0.25">
      <c r="H15" s="841" t="s">
        <v>3854</v>
      </c>
      <c r="Q15" s="324"/>
      <c r="R15" s="841" t="s">
        <v>313</v>
      </c>
      <c r="S15" s="841" t="s">
        <v>1041</v>
      </c>
      <c r="X15" t="s">
        <v>5079</v>
      </c>
      <c r="AC15" s="356" t="s">
        <v>5088</v>
      </c>
      <c r="AN15" s="2200" t="s">
        <v>5147</v>
      </c>
    </row>
    <row r="16" spans="1:40" x14ac:dyDescent="0.25">
      <c r="H16" s="841"/>
      <c r="R16" s="841" t="s">
        <v>2197</v>
      </c>
      <c r="S16" s="841" t="s">
        <v>729</v>
      </c>
      <c r="X16" t="s">
        <v>5084</v>
      </c>
      <c r="AC16" t="s">
        <v>5079</v>
      </c>
      <c r="AN16" s="2200" t="s">
        <v>5165</v>
      </c>
    </row>
    <row r="17" spans="8:40" x14ac:dyDescent="0.25">
      <c r="H17" s="1059" t="s">
        <v>1734</v>
      </c>
      <c r="R17" s="841" t="s">
        <v>930</v>
      </c>
      <c r="S17" s="841" t="s">
        <v>730</v>
      </c>
      <c r="X17" s="356" t="s">
        <v>5083</v>
      </c>
      <c r="AC17" t="s">
        <v>5084</v>
      </c>
      <c r="AN17" s="2200" t="s">
        <v>5167</v>
      </c>
    </row>
    <row r="18" spans="8:40" x14ac:dyDescent="0.25">
      <c r="H18" s="841" t="s">
        <v>3935</v>
      </c>
      <c r="R18" s="841" t="s">
        <v>589</v>
      </c>
      <c r="S18" s="841" t="s">
        <v>4578</v>
      </c>
      <c r="X18" t="s">
        <v>5080</v>
      </c>
      <c r="AC18" s="356" t="s">
        <v>5070</v>
      </c>
      <c r="AN18" s="2200" t="s">
        <v>5166</v>
      </c>
    </row>
    <row r="19" spans="8:40" x14ac:dyDescent="0.25">
      <c r="H19" s="390" t="s">
        <v>128</v>
      </c>
      <c r="R19" s="841" t="s">
        <v>931</v>
      </c>
      <c r="S19" s="841" t="s">
        <v>3854</v>
      </c>
      <c r="X19" s="356" t="s">
        <v>5082</v>
      </c>
      <c r="AC19" s="356" t="s">
        <v>5083</v>
      </c>
      <c r="AN19" s="2200" t="s">
        <v>5164</v>
      </c>
    </row>
    <row r="20" spans="8:40" x14ac:dyDescent="0.25">
      <c r="H20" s="390" t="s">
        <v>1037</v>
      </c>
      <c r="R20" s="841" t="s">
        <v>631</v>
      </c>
      <c r="S20" s="841" t="s">
        <v>110</v>
      </c>
      <c r="X20" t="s">
        <v>5081</v>
      </c>
      <c r="AC20" t="s">
        <v>5080</v>
      </c>
      <c r="AN20" s="2200" t="s">
        <v>5160</v>
      </c>
    </row>
    <row r="21" spans="8:40" x14ac:dyDescent="0.25">
      <c r="H21" s="841" t="s">
        <v>5461</v>
      </c>
      <c r="R21" s="841" t="s">
        <v>5359</v>
      </c>
      <c r="S21" s="841" t="s">
        <v>4577</v>
      </c>
      <c r="AC21" s="356" t="s">
        <v>5089</v>
      </c>
      <c r="AN21" s="2200" t="s">
        <v>5163</v>
      </c>
    </row>
    <row r="22" spans="8:40" x14ac:dyDescent="0.25">
      <c r="H22" s="390" t="s">
        <v>110</v>
      </c>
      <c r="S22" s="841"/>
      <c r="AC22" s="356" t="s">
        <v>5082</v>
      </c>
      <c r="AN22" s="2200" t="s">
        <v>5149</v>
      </c>
    </row>
    <row r="23" spans="8:40" x14ac:dyDescent="0.25">
      <c r="H23" s="390" t="s">
        <v>1038</v>
      </c>
      <c r="R23" s="1059" t="s">
        <v>4341</v>
      </c>
      <c r="AC23" t="s">
        <v>5081</v>
      </c>
      <c r="AN23" s="2200" t="s">
        <v>5153</v>
      </c>
    </row>
    <row r="24" spans="8:40" x14ac:dyDescent="0.25">
      <c r="H24" s="390" t="s">
        <v>1039</v>
      </c>
      <c r="R24" s="841" t="s">
        <v>4334</v>
      </c>
      <c r="S24" s="841" t="s">
        <v>5595</v>
      </c>
      <c r="AN24" s="2200" t="s">
        <v>5150</v>
      </c>
    </row>
    <row r="25" spans="8:40" x14ac:dyDescent="0.25">
      <c r="H25" s="390" t="s">
        <v>1040</v>
      </c>
      <c r="R25" s="841" t="s">
        <v>2147</v>
      </c>
      <c r="S25" s="2327" t="s">
        <v>5596</v>
      </c>
      <c r="AN25" s="2200" t="s">
        <v>5148</v>
      </c>
    </row>
    <row r="26" spans="8:40" x14ac:dyDescent="0.25">
      <c r="H26" s="390" t="s">
        <v>1041</v>
      </c>
      <c r="R26" s="841" t="s">
        <v>548</v>
      </c>
      <c r="S26" s="2326" t="s">
        <v>5597</v>
      </c>
      <c r="AN26" s="2200" t="s">
        <v>5146</v>
      </c>
    </row>
    <row r="27" spans="8:40" x14ac:dyDescent="0.25">
      <c r="H27" s="390" t="s">
        <v>729</v>
      </c>
      <c r="R27" s="841" t="s">
        <v>642</v>
      </c>
      <c r="S27" s="2326" t="s">
        <v>5598</v>
      </c>
      <c r="AN27" s="2200" t="s">
        <v>5157</v>
      </c>
    </row>
    <row r="28" spans="8:40" x14ac:dyDescent="0.25">
      <c r="H28" s="841" t="s">
        <v>3852</v>
      </c>
      <c r="R28" s="841" t="s">
        <v>313</v>
      </c>
      <c r="S28" s="2326" t="s">
        <v>5599</v>
      </c>
      <c r="AN28" s="2200" t="s">
        <v>5162</v>
      </c>
    </row>
    <row r="29" spans="8:40" x14ac:dyDescent="0.25">
      <c r="H29" s="841" t="s">
        <v>3853</v>
      </c>
      <c r="R29" s="841" t="s">
        <v>4441</v>
      </c>
      <c r="S29" s="2326" t="s">
        <v>5600</v>
      </c>
      <c r="AN29" s="2200" t="s">
        <v>5158</v>
      </c>
    </row>
    <row r="30" spans="8:40" x14ac:dyDescent="0.25">
      <c r="H30" s="390" t="s">
        <v>730</v>
      </c>
      <c r="R30" s="841" t="s">
        <v>549</v>
      </c>
      <c r="S30" s="2326" t="s">
        <v>5601</v>
      </c>
    </row>
    <row r="31" spans="8:40" x14ac:dyDescent="0.25">
      <c r="H31" s="841" t="s">
        <v>3878</v>
      </c>
      <c r="R31" s="841" t="s">
        <v>631</v>
      </c>
      <c r="S31" s="2326" t="s">
        <v>5602</v>
      </c>
    </row>
    <row r="32" spans="8:40" x14ac:dyDescent="0.25">
      <c r="H32" s="841" t="s">
        <v>5063</v>
      </c>
      <c r="R32" s="841" t="s">
        <v>5359</v>
      </c>
      <c r="S32" s="2326" t="s">
        <v>5603</v>
      </c>
    </row>
    <row r="33" spans="8:19" x14ac:dyDescent="0.25">
      <c r="R33" s="1059" t="s">
        <v>4342</v>
      </c>
      <c r="S33" s="2326" t="s">
        <v>5604</v>
      </c>
    </row>
    <row r="34" spans="8:19" x14ac:dyDescent="0.25">
      <c r="H34" s="1059" t="s">
        <v>1735</v>
      </c>
      <c r="R34" s="841" t="s">
        <v>4334</v>
      </c>
      <c r="S34" s="2326" t="s">
        <v>5605</v>
      </c>
    </row>
    <row r="35" spans="8:19" x14ac:dyDescent="0.25">
      <c r="H35" s="841" t="s">
        <v>3935</v>
      </c>
      <c r="R35" s="841" t="s">
        <v>4343</v>
      </c>
      <c r="S35" s="2326" t="s">
        <v>5606</v>
      </c>
    </row>
    <row r="36" spans="8:19" x14ac:dyDescent="0.25">
      <c r="H36" s="390" t="s">
        <v>128</v>
      </c>
      <c r="R36" s="841" t="s">
        <v>815</v>
      </c>
      <c r="S36" s="2326" t="s">
        <v>5607</v>
      </c>
    </row>
    <row r="37" spans="8:19" x14ac:dyDescent="0.25">
      <c r="H37" s="390" t="s">
        <v>1037</v>
      </c>
      <c r="R37" s="841" t="s">
        <v>816</v>
      </c>
      <c r="S37" s="2326" t="s">
        <v>5608</v>
      </c>
    </row>
    <row r="38" spans="8:19" x14ac:dyDescent="0.25">
      <c r="H38" s="390" t="s">
        <v>110</v>
      </c>
      <c r="R38" s="841" t="s">
        <v>4344</v>
      </c>
      <c r="S38" s="2326" t="s">
        <v>5609</v>
      </c>
    </row>
    <row r="39" spans="8:19" x14ac:dyDescent="0.25">
      <c r="H39" s="390" t="s">
        <v>1038</v>
      </c>
      <c r="R39" s="841" t="s">
        <v>2410</v>
      </c>
      <c r="S39" s="2326" t="s">
        <v>5610</v>
      </c>
    </row>
    <row r="40" spans="8:19" x14ac:dyDescent="0.25">
      <c r="H40" s="390" t="s">
        <v>1039</v>
      </c>
      <c r="R40" s="841" t="s">
        <v>4350</v>
      </c>
      <c r="S40" s="2326" t="s">
        <v>5611</v>
      </c>
    </row>
    <row r="41" spans="8:19" x14ac:dyDescent="0.25">
      <c r="H41" s="390" t="s">
        <v>1040</v>
      </c>
      <c r="R41" s="841" t="s">
        <v>2412</v>
      </c>
      <c r="S41" s="2326" t="s">
        <v>5612</v>
      </c>
    </row>
    <row r="42" spans="8:19" x14ac:dyDescent="0.25">
      <c r="H42" s="390" t="s">
        <v>1041</v>
      </c>
      <c r="R42" s="841" t="s">
        <v>2419</v>
      </c>
      <c r="S42" s="2326" t="s">
        <v>5613</v>
      </c>
    </row>
    <row r="43" spans="8:19" x14ac:dyDescent="0.25">
      <c r="H43" s="390" t="s">
        <v>729</v>
      </c>
      <c r="R43" s="841" t="s">
        <v>1402</v>
      </c>
      <c r="S43" s="2326" t="s">
        <v>5614</v>
      </c>
    </row>
    <row r="44" spans="8:19" x14ac:dyDescent="0.25">
      <c r="H44" s="841" t="s">
        <v>3852</v>
      </c>
      <c r="R44" s="841" t="s">
        <v>5356</v>
      </c>
      <c r="S44" s="2326" t="s">
        <v>5594</v>
      </c>
    </row>
    <row r="45" spans="8:19" x14ac:dyDescent="0.25">
      <c r="H45" s="841" t="s">
        <v>3853</v>
      </c>
      <c r="R45" s="841" t="s">
        <v>4345</v>
      </c>
      <c r="S45" s="2326" t="s">
        <v>5615</v>
      </c>
    </row>
    <row r="46" spans="8:19" x14ac:dyDescent="0.25">
      <c r="H46" s="390" t="s">
        <v>730</v>
      </c>
      <c r="R46" s="841" t="s">
        <v>4346</v>
      </c>
      <c r="S46" s="2326" t="s">
        <v>5616</v>
      </c>
    </row>
    <row r="47" spans="8:19" x14ac:dyDescent="0.25">
      <c r="H47" s="841" t="s">
        <v>1736</v>
      </c>
      <c r="R47" s="841" t="s">
        <v>701</v>
      </c>
      <c r="S47" s="2326" t="s">
        <v>5617</v>
      </c>
    </row>
    <row r="48" spans="8:19" x14ac:dyDescent="0.25">
      <c r="R48" s="841" t="s">
        <v>4347</v>
      </c>
      <c r="S48" s="2326" t="s">
        <v>5618</v>
      </c>
    </row>
    <row r="49" spans="8:19" x14ac:dyDescent="0.25">
      <c r="H49" s="998" t="s">
        <v>1440</v>
      </c>
      <c r="R49" s="841" t="s">
        <v>790</v>
      </c>
      <c r="S49" s="2326" t="s">
        <v>5619</v>
      </c>
    </row>
    <row r="50" spans="8:19" x14ac:dyDescent="0.25">
      <c r="H50" s="390" t="s">
        <v>1450</v>
      </c>
      <c r="R50" s="841" t="s">
        <v>569</v>
      </c>
      <c r="S50" s="2326" t="s">
        <v>5620</v>
      </c>
    </row>
    <row r="51" spans="8:19" x14ac:dyDescent="0.25">
      <c r="H51" s="390" t="s">
        <v>3935</v>
      </c>
    </row>
    <row r="52" spans="8:19" x14ac:dyDescent="0.25">
      <c r="H52" s="390" t="s">
        <v>1038</v>
      </c>
      <c r="R52" s="1059" t="s">
        <v>4348</v>
      </c>
    </row>
    <row r="53" spans="8:19" x14ac:dyDescent="0.25">
      <c r="H53" s="390" t="s">
        <v>1040</v>
      </c>
      <c r="R53" s="841" t="s">
        <v>4334</v>
      </c>
    </row>
    <row r="54" spans="8:19" x14ac:dyDescent="0.25">
      <c r="R54" s="841" t="s">
        <v>4343</v>
      </c>
    </row>
    <row r="55" spans="8:19" x14ac:dyDescent="0.25">
      <c r="R55" s="841" t="s">
        <v>4349</v>
      </c>
    </row>
    <row r="56" spans="8:19" x14ac:dyDescent="0.25">
      <c r="R56" s="841" t="s">
        <v>4593</v>
      </c>
    </row>
    <row r="57" spans="8:19" x14ac:dyDescent="0.25">
      <c r="R57" s="841" t="s">
        <v>4653</v>
      </c>
    </row>
    <row r="58" spans="8:19" x14ac:dyDescent="0.25">
      <c r="R58" s="841" t="s">
        <v>4350</v>
      </c>
    </row>
    <row r="59" spans="8:19" x14ac:dyDescent="0.25">
      <c r="R59" s="841" t="s">
        <v>5356</v>
      </c>
    </row>
    <row r="60" spans="8:19" x14ac:dyDescent="0.25">
      <c r="R60" s="841" t="s">
        <v>4345</v>
      </c>
    </row>
    <row r="61" spans="8:19" x14ac:dyDescent="0.25">
      <c r="R61" s="841" t="s">
        <v>4346</v>
      </c>
    </row>
    <row r="62" spans="8:19" x14ac:dyDescent="0.25">
      <c r="R62" s="841" t="s">
        <v>4347</v>
      </c>
    </row>
    <row r="63" spans="8:19" x14ac:dyDescent="0.25">
      <c r="R63" s="841" t="s">
        <v>790</v>
      </c>
    </row>
    <row r="64" spans="8:19" x14ac:dyDescent="0.25">
      <c r="R64" s="841" t="s">
        <v>4428</v>
      </c>
    </row>
    <row r="65" spans="18:18" x14ac:dyDescent="0.25">
      <c r="R65" s="841" t="s">
        <v>4351</v>
      </c>
    </row>
    <row r="67" spans="18:18" x14ac:dyDescent="0.25">
      <c r="R67" s="1059" t="s">
        <v>4328</v>
      </c>
    </row>
    <row r="68" spans="18:18" x14ac:dyDescent="0.25">
      <c r="R68" s="841" t="s">
        <v>4334</v>
      </c>
    </row>
    <row r="69" spans="18:18" x14ac:dyDescent="0.25">
      <c r="R69" s="841" t="s">
        <v>3582</v>
      </c>
    </row>
    <row r="70" spans="18:18" x14ac:dyDescent="0.25">
      <c r="R70" s="841" t="s">
        <v>4599</v>
      </c>
    </row>
    <row r="71" spans="18:18" x14ac:dyDescent="0.25">
      <c r="R71" s="841" t="s">
        <v>4443</v>
      </c>
    </row>
    <row r="72" spans="18:18" x14ac:dyDescent="0.25">
      <c r="R72" s="841" t="s">
        <v>4442</v>
      </c>
    </row>
    <row r="73" spans="18:18" x14ac:dyDescent="0.25">
      <c r="R73" s="841" t="s">
        <v>4444</v>
      </c>
    </row>
    <row r="76" spans="18:18" x14ac:dyDescent="0.25">
      <c r="R76" s="1059" t="s">
        <v>4330</v>
      </c>
    </row>
    <row r="77" spans="18:18" x14ac:dyDescent="0.25">
      <c r="R77" s="841" t="s">
        <v>4334</v>
      </c>
    </row>
    <row r="78" spans="18:18" x14ac:dyDescent="0.25">
      <c r="R78" s="841" t="s">
        <v>4448</v>
      </c>
    </row>
    <row r="79" spans="18:18" x14ac:dyDescent="0.25">
      <c r="R79" s="841" t="s">
        <v>3871</v>
      </c>
    </row>
    <row r="80" spans="18:18" x14ac:dyDescent="0.25">
      <c r="R80" s="841" t="s">
        <v>4449</v>
      </c>
    </row>
    <row r="81" spans="18:18" x14ac:dyDescent="0.25">
      <c r="R81" s="841" t="s">
        <v>5360</v>
      </c>
    </row>
    <row r="82" spans="18:18" x14ac:dyDescent="0.25">
      <c r="R82" s="841" t="s">
        <v>4497</v>
      </c>
    </row>
  </sheetData>
  <sheetProtection algorithmName="SHA-512" hashValue="9M6/O/3dQnFEIWA8lf/hd6Q/pEv4PbYoGPCyxfEjUX594YgHwnwBdz+1Sqm5e43NHmNxHzj1JpTspgjBE5ukWg==" saltValue="z4pUoDtQjjcJ189F8c5SIg==" spinCount="100000" sheet="1" objects="1" scenarios="1" autoFilter="0"/>
  <sortState xmlns:xlrd2="http://schemas.microsoft.com/office/spreadsheetml/2017/richdata2" ref="AN4:AN29">
    <sortCondition ref="AN4:AN29"/>
  </sortState>
  <customSheetViews>
    <customSheetView guid="{B08879A4-635B-4C39-9937-AC7883D562FC}">
      <selection activeCell="J18" sqref="J18"/>
      <pageMargins left="0.75" right="0.75" top="1" bottom="1" header="0.5" footer="0.5"/>
      <pageSetup orientation="portrait" r:id="rId1"/>
      <headerFooter alignWithMargins="0"/>
    </customSheetView>
    <customSheetView guid="{9FCFC836-1CA5-48BF-958D-24D2EA94B219}">
      <selection activeCell="J18" sqref="J18"/>
      <pageMargins left="0.75" right="0.75" top="1" bottom="1" header="0.5" footer="0.5"/>
      <pageSetup orientation="portrait" r:id="rId2"/>
      <headerFooter alignWithMargins="0"/>
    </customSheetView>
  </customSheetViews>
  <mergeCells count="2">
    <mergeCell ref="B1:C1"/>
    <mergeCell ref="D1:E1"/>
  </mergeCells>
  <phoneticPr fontId="15" type="noConversion"/>
  <pageMargins left="0.75" right="0.75" top="1" bottom="1" header="0.5" footer="0.5"/>
  <pageSetup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A29B-8B66-468E-9157-287876F9BF8F}">
  <sheetPr codeName="Sheet92">
    <pageSetUpPr fitToPage="1"/>
  </sheetPr>
  <dimension ref="A1:T125"/>
  <sheetViews>
    <sheetView showGridLines="0" topLeftCell="B1" zoomScaleNormal="100" workbookViewId="0">
      <selection activeCell="T93" sqref="T93"/>
    </sheetView>
  </sheetViews>
  <sheetFormatPr defaultColWidth="9.42578125" defaultRowHeight="12.75" x14ac:dyDescent="0.2"/>
  <cols>
    <col min="1" max="1" width="0.42578125" style="290" hidden="1" customWidth="1"/>
    <col min="2" max="2" width="4.42578125" style="290" customWidth="1"/>
    <col min="3" max="3" width="10.42578125" customWidth="1"/>
    <col min="4" max="4" width="5.42578125" customWidth="1"/>
    <col min="6" max="6" width="3.5703125" customWidth="1"/>
    <col min="7" max="7" width="4.42578125" customWidth="1"/>
    <col min="8" max="8" width="1.5703125" customWidth="1"/>
    <col min="9" max="9" width="5.42578125" customWidth="1"/>
    <col min="10" max="10" width="12.42578125" customWidth="1"/>
    <col min="11" max="11" width="7.42578125" customWidth="1"/>
    <col min="12" max="12" width="8.7109375" customWidth="1"/>
    <col min="13" max="13" width="16.140625" customWidth="1"/>
    <col min="14" max="14" width="5" customWidth="1"/>
    <col min="16" max="16" width="10.5703125" customWidth="1"/>
    <col min="19" max="19" width="9.42578125" customWidth="1"/>
    <col min="20" max="20" width="16.7109375" bestFit="1" customWidth="1"/>
  </cols>
  <sheetData>
    <row r="1" spans="1:20" ht="25.15" customHeight="1" x14ac:dyDescent="0.2">
      <c r="A1" s="1944"/>
      <c r="B1" s="61"/>
      <c r="C1" s="1938" t="str">
        <f>+Index!$A$1</f>
        <v xml:space="preserve">                                                               Office of the State Controller                                                                </v>
      </c>
      <c r="D1" s="1938"/>
      <c r="E1" s="1938"/>
      <c r="F1" s="1938"/>
      <c r="G1" s="1938"/>
      <c r="H1" s="1938"/>
      <c r="I1" s="1938"/>
      <c r="J1" s="1938"/>
      <c r="K1" s="1938"/>
      <c r="L1" s="1938"/>
      <c r="M1" s="1938"/>
      <c r="N1" s="1939"/>
      <c r="O1" s="1939"/>
      <c r="P1" s="1939"/>
      <c r="Q1" s="1939"/>
      <c r="R1" s="1939"/>
      <c r="S1" s="2472"/>
      <c r="T1" s="2337" t="str">
        <f>IF(Index!$B$23="na","NA","")</f>
        <v/>
      </c>
    </row>
    <row r="2" spans="1:20" ht="15" x14ac:dyDescent="0.2">
      <c r="A2" s="1944"/>
      <c r="B2" s="61"/>
      <c r="C2" s="1940" t="str">
        <f>+Index!$A$2</f>
        <v>2022 ACFR Worksheets</v>
      </c>
      <c r="D2" s="1940"/>
      <c r="E2" s="1940"/>
      <c r="F2" s="1940"/>
      <c r="G2" s="1940"/>
      <c r="H2" s="1940"/>
      <c r="I2" s="1940"/>
      <c r="J2" s="1940"/>
      <c r="K2" s="1940"/>
      <c r="L2" s="1940"/>
      <c r="M2" s="1940"/>
      <c r="N2" s="1939"/>
      <c r="O2" s="1939"/>
      <c r="P2" s="1939"/>
      <c r="Q2" s="1939"/>
      <c r="R2" s="1939"/>
      <c r="S2" s="2472"/>
      <c r="T2" s="2337"/>
    </row>
    <row r="3" spans="1:20" ht="15" x14ac:dyDescent="0.2">
      <c r="A3" s="1944"/>
      <c r="B3" s="61"/>
      <c r="C3" s="454" t="s">
        <v>4535</v>
      </c>
      <c r="D3" s="454"/>
      <c r="E3" s="454"/>
      <c r="F3" s="454"/>
      <c r="G3" s="454"/>
      <c r="H3" s="454"/>
      <c r="I3" s="454"/>
      <c r="J3" s="454"/>
      <c r="K3" s="454"/>
      <c r="L3" s="454"/>
      <c r="M3" s="454"/>
      <c r="N3" s="1939"/>
      <c r="O3" s="1939"/>
      <c r="P3" s="1939"/>
      <c r="Q3" s="1939"/>
      <c r="R3" s="1939"/>
      <c r="S3" s="2472"/>
      <c r="T3" s="2337"/>
    </row>
    <row r="4" spans="1:20" x14ac:dyDescent="0.2">
      <c r="A4" s="1945"/>
      <c r="B4" s="61"/>
      <c r="C4" s="454" t="s">
        <v>4499</v>
      </c>
      <c r="D4" s="454"/>
      <c r="E4" s="454"/>
      <c r="F4" s="454"/>
      <c r="G4" s="454"/>
      <c r="H4" s="454"/>
      <c r="I4" s="454"/>
      <c r="J4" s="1939"/>
      <c r="K4" s="1939"/>
      <c r="L4" s="454"/>
      <c r="M4" s="454"/>
      <c r="N4" s="1939"/>
      <c r="O4" s="1939"/>
      <c r="P4" s="1939"/>
      <c r="Q4" s="1939"/>
      <c r="R4" s="1939"/>
      <c r="S4" s="61"/>
      <c r="T4" s="61"/>
    </row>
    <row r="5" spans="1:20" x14ac:dyDescent="0.2">
      <c r="A5" s="1945"/>
      <c r="B5" s="61"/>
      <c r="C5" s="454" t="s">
        <v>1281</v>
      </c>
      <c r="D5" s="454"/>
      <c r="E5" s="454"/>
      <c r="F5" s="454"/>
      <c r="G5" s="454"/>
      <c r="H5" s="454"/>
      <c r="I5" s="454"/>
      <c r="J5" s="1939"/>
      <c r="K5" s="1939"/>
      <c r="L5" s="454"/>
      <c r="M5" s="454"/>
      <c r="N5" s="1939"/>
      <c r="O5" s="1939"/>
      <c r="P5" s="1939"/>
      <c r="Q5" s="1939"/>
      <c r="R5" s="1939"/>
      <c r="S5" s="61"/>
      <c r="T5" s="61"/>
    </row>
    <row r="6" spans="1:20" x14ac:dyDescent="0.2">
      <c r="A6" s="1945"/>
      <c r="B6" s="61"/>
      <c r="C6" s="454"/>
      <c r="D6" s="454"/>
      <c r="E6" s="454"/>
      <c r="F6" s="454"/>
      <c r="G6" s="454"/>
      <c r="H6" s="454"/>
      <c r="I6" s="454"/>
      <c r="J6" s="454"/>
      <c r="K6" s="454"/>
      <c r="L6" s="1941"/>
      <c r="M6" s="1941"/>
      <c r="N6" s="1939"/>
      <c r="O6" s="1939"/>
      <c r="P6" s="1939"/>
      <c r="Q6" s="1939"/>
      <c r="R6" s="1939"/>
      <c r="S6" s="61"/>
      <c r="T6" s="61"/>
    </row>
    <row r="7" spans="1:20" x14ac:dyDescent="0.2">
      <c r="A7" s="1945"/>
      <c r="B7" s="1903" t="s">
        <v>4500</v>
      </c>
      <c r="C7" s="1903"/>
      <c r="D7" s="1903"/>
      <c r="E7" s="454"/>
      <c r="F7" s="454"/>
      <c r="G7" s="454"/>
      <c r="H7" s="61"/>
      <c r="I7" s="61"/>
      <c r="J7" s="61"/>
      <c r="K7" s="61"/>
      <c r="L7" s="61"/>
      <c r="M7" s="61"/>
      <c r="N7" s="1902" t="s">
        <v>327</v>
      </c>
      <c r="O7" s="1902"/>
      <c r="P7" s="2473" t="str">
        <f>AgyIdx</f>
        <v>01</v>
      </c>
      <c r="Q7" s="2473"/>
      <c r="R7" s="2473"/>
      <c r="S7" s="61"/>
      <c r="T7" s="61"/>
    </row>
    <row r="8" spans="1:20" ht="14.25" customHeight="1" x14ac:dyDescent="0.2">
      <c r="A8" s="1945"/>
      <c r="B8" s="61"/>
      <c r="C8" s="1939"/>
      <c r="D8" s="1939"/>
      <c r="E8" s="1939"/>
      <c r="F8" s="1903"/>
      <c r="G8" s="454"/>
      <c r="H8" s="61"/>
      <c r="I8" s="61"/>
      <c r="J8" s="61"/>
      <c r="K8" s="61"/>
      <c r="L8" s="61"/>
      <c r="M8" s="61"/>
      <c r="N8" s="1902" t="s">
        <v>1154</v>
      </c>
      <c r="O8" s="1902"/>
      <c r="P8" s="2474" t="str">
        <f>AgyName</f>
        <v>North Carolina General Assembly</v>
      </c>
      <c r="Q8" s="2474"/>
      <c r="R8" s="2474"/>
      <c r="S8" s="61"/>
      <c r="T8" s="61"/>
    </row>
    <row r="9" spans="1:20" ht="16.5" customHeight="1" x14ac:dyDescent="0.2">
      <c r="A9" s="1945"/>
      <c r="B9" s="61"/>
      <c r="C9" s="1903"/>
      <c r="D9" s="454"/>
      <c r="E9" s="454"/>
      <c r="F9" s="454"/>
      <c r="G9" s="454"/>
      <c r="H9" s="61"/>
      <c r="I9" s="61"/>
      <c r="J9" s="61"/>
      <c r="K9" s="61"/>
      <c r="L9" s="61"/>
      <c r="M9" s="61"/>
      <c r="N9" s="1902" t="s">
        <v>972</v>
      </c>
      <c r="O9" s="1902"/>
      <c r="P9" s="2475" t="str">
        <f>CONCATENATE(Index!$E$12," ",Index!$E$14)</f>
        <v xml:space="preserve"> </v>
      </c>
      <c r="Q9" s="2475"/>
      <c r="R9" s="2475"/>
      <c r="S9" s="1904"/>
      <c r="T9" s="1904"/>
    </row>
    <row r="10" spans="1:20" ht="14.25" customHeight="1" x14ac:dyDescent="0.2">
      <c r="A10" s="1945"/>
      <c r="B10" s="61"/>
      <c r="C10" s="1903"/>
      <c r="D10" s="454"/>
      <c r="E10" s="454"/>
      <c r="F10" s="454"/>
      <c r="G10" s="454"/>
      <c r="H10" s="61"/>
      <c r="I10" s="61"/>
      <c r="J10" s="61"/>
      <c r="K10" s="61"/>
      <c r="L10" s="61"/>
      <c r="M10" s="61"/>
      <c r="N10" s="1902" t="s">
        <v>348</v>
      </c>
      <c r="O10" s="1902"/>
      <c r="P10" s="2475">
        <f>+Index!$E$13</f>
        <v>0</v>
      </c>
      <c r="Q10" s="2475"/>
      <c r="R10" s="2475"/>
      <c r="S10" s="61"/>
      <c r="T10" s="61"/>
    </row>
    <row r="11" spans="1:20" ht="9" customHeight="1" thickBot="1" x14ac:dyDescent="0.25">
      <c r="A11" s="1945"/>
      <c r="B11" s="1942"/>
      <c r="C11" s="1942"/>
      <c r="D11" s="1942"/>
      <c r="E11" s="1942"/>
      <c r="F11" s="1942"/>
      <c r="G11" s="1942"/>
      <c r="H11" s="1942"/>
      <c r="I11" s="1942"/>
      <c r="J11" s="1942"/>
      <c r="K11" s="1942"/>
      <c r="L11" s="1942"/>
      <c r="M11" s="1942"/>
      <c r="N11" s="1942"/>
      <c r="O11" s="1942"/>
      <c r="P11" s="1942"/>
      <c r="Q11" s="1942"/>
      <c r="R11" s="1942"/>
      <c r="S11" s="1942"/>
      <c r="T11" s="61"/>
    </row>
    <row r="12" spans="1:20" ht="9" customHeight="1" x14ac:dyDescent="0.2">
      <c r="A12" s="1945"/>
      <c r="B12" s="1945"/>
      <c r="C12" s="1946"/>
      <c r="D12" s="1946"/>
      <c r="E12" s="1946"/>
      <c r="F12" s="1946"/>
      <c r="G12" s="1946"/>
      <c r="H12" s="1946"/>
      <c r="I12" s="1946"/>
      <c r="J12" s="1946"/>
      <c r="K12" s="1946"/>
      <c r="L12" s="272"/>
      <c r="M12" s="272"/>
      <c r="N12" s="272"/>
      <c r="O12" s="272"/>
      <c r="P12" s="272"/>
      <c r="Q12" s="272"/>
      <c r="R12" s="272"/>
      <c r="S12" s="272"/>
    </row>
    <row r="13" spans="1:20" ht="9" customHeight="1" x14ac:dyDescent="0.2">
      <c r="A13" s="1945"/>
      <c r="B13" s="1945"/>
      <c r="C13" s="1946"/>
      <c r="D13" s="1946"/>
      <c r="E13" s="1946"/>
      <c r="F13" s="1946"/>
      <c r="G13" s="1946"/>
      <c r="H13" s="1946"/>
      <c r="I13" s="1946"/>
      <c r="J13" s="1946"/>
      <c r="K13" s="1946"/>
      <c r="L13" s="272"/>
      <c r="M13" s="272"/>
      <c r="N13" s="272"/>
      <c r="O13" s="272"/>
      <c r="P13" s="272"/>
      <c r="Q13" s="272"/>
      <c r="R13" s="272"/>
      <c r="S13" s="272"/>
    </row>
    <row r="14" spans="1:20" ht="9" customHeight="1" x14ac:dyDescent="0.2">
      <c r="A14" s="1945"/>
      <c r="B14" s="1945"/>
      <c r="C14" s="1946"/>
      <c r="D14" s="1946"/>
      <c r="E14" s="1946"/>
      <c r="F14" s="1946"/>
      <c r="G14" s="1946"/>
      <c r="H14" s="1946"/>
      <c r="I14" s="1946"/>
      <c r="J14" s="1946"/>
      <c r="K14" s="1946"/>
      <c r="L14" s="272"/>
      <c r="M14" s="272"/>
      <c r="N14" s="272"/>
      <c r="O14" s="272"/>
      <c r="P14" s="272"/>
      <c r="Q14" s="272"/>
      <c r="R14" s="272"/>
      <c r="S14" s="272"/>
    </row>
    <row r="15" spans="1:20" x14ac:dyDescent="0.2">
      <c r="A15" s="1945"/>
      <c r="B15" s="1945" t="s">
        <v>133</v>
      </c>
      <c r="C15" s="272" t="s">
        <v>5366</v>
      </c>
      <c r="D15" s="1946"/>
      <c r="E15" s="1946"/>
      <c r="F15" s="1946"/>
      <c r="G15" s="1946"/>
      <c r="H15" s="1946"/>
      <c r="I15" s="1946"/>
      <c r="J15" s="1946"/>
      <c r="K15" s="1946"/>
      <c r="L15" s="272"/>
      <c r="M15" s="272"/>
      <c r="N15" s="272"/>
      <c r="O15" s="272"/>
      <c r="P15" s="272"/>
      <c r="Q15" s="272"/>
      <c r="R15" s="272"/>
      <c r="S15" s="272"/>
    </row>
    <row r="16" spans="1:20" x14ac:dyDescent="0.2">
      <c r="A16" s="1945"/>
      <c r="B16" s="1945"/>
      <c r="C16" s="1946"/>
      <c r="D16" s="1946" t="s">
        <v>85</v>
      </c>
      <c r="E16" s="1997"/>
      <c r="F16" s="1946"/>
      <c r="G16" s="272"/>
      <c r="H16" s="272"/>
      <c r="I16" s="1946" t="s">
        <v>86</v>
      </c>
      <c r="J16" s="1997"/>
      <c r="K16" s="1946"/>
      <c r="L16" s="272"/>
      <c r="M16" s="272"/>
      <c r="N16" s="272"/>
      <c r="O16" s="272"/>
      <c r="P16" s="272"/>
      <c r="Q16" s="272"/>
      <c r="R16" s="272"/>
      <c r="S16" s="272"/>
      <c r="T16" s="1443" t="str">
        <f>IF(AND(ISBLANK($E$16),ISBLANK($J$16))=TRUE,"Answer Missing"," ")</f>
        <v>Answer Missing</v>
      </c>
    </row>
    <row r="17" spans="1:20" ht="21" customHeight="1" x14ac:dyDescent="0.2">
      <c r="A17" s="1945"/>
      <c r="B17" s="1945"/>
      <c r="C17" s="272" t="s">
        <v>4636</v>
      </c>
      <c r="D17" s="1946"/>
      <c r="E17" s="1946"/>
      <c r="F17" s="1946"/>
      <c r="G17" s="1946"/>
      <c r="H17" s="1946"/>
      <c r="I17" s="1946"/>
      <c r="J17" s="1946"/>
      <c r="K17" s="1946"/>
      <c r="L17" s="272"/>
      <c r="M17" s="272"/>
      <c r="N17" s="272"/>
      <c r="O17" s="272"/>
      <c r="P17" s="272"/>
      <c r="Q17" s="272"/>
      <c r="R17" s="272"/>
      <c r="S17" s="272"/>
    </row>
    <row r="18" spans="1:20" ht="9" customHeight="1" x14ac:dyDescent="0.2">
      <c r="A18" s="1945"/>
      <c r="B18" s="1945"/>
      <c r="C18" s="272"/>
      <c r="D18" s="1946"/>
      <c r="E18" s="1946"/>
      <c r="F18" s="1946"/>
      <c r="G18" s="1946"/>
      <c r="H18" s="1946"/>
      <c r="I18" s="1946"/>
      <c r="J18" s="1946"/>
      <c r="K18" s="1946"/>
      <c r="L18" s="272"/>
      <c r="M18" s="272"/>
      <c r="N18" s="272"/>
      <c r="O18" s="272"/>
      <c r="P18" s="272"/>
      <c r="Q18" s="272"/>
      <c r="R18" s="272"/>
      <c r="S18" s="272"/>
    </row>
    <row r="19" spans="1:20" ht="18" customHeight="1" x14ac:dyDescent="0.2">
      <c r="A19" s="1945"/>
      <c r="B19" s="1945"/>
      <c r="C19" s="2" t="s">
        <v>4690</v>
      </c>
      <c r="D19" s="1950"/>
      <c r="E19" s="1950"/>
      <c r="F19" s="1950"/>
      <c r="G19" s="1950"/>
      <c r="H19" s="1950"/>
      <c r="I19" s="1950"/>
      <c r="J19" s="1950"/>
      <c r="K19" s="1950"/>
      <c r="L19" s="2"/>
      <c r="M19" s="2"/>
      <c r="N19" s="2"/>
      <c r="O19" s="2"/>
      <c r="P19" s="2"/>
      <c r="Q19" s="272"/>
      <c r="R19" s="272"/>
      <c r="S19" s="272"/>
    </row>
    <row r="20" spans="1:20" ht="13.5" customHeight="1" x14ac:dyDescent="0.2">
      <c r="A20" s="1945"/>
      <c r="B20" s="1945"/>
      <c r="C20" s="2" t="s">
        <v>5367</v>
      </c>
      <c r="D20" s="1950"/>
      <c r="E20" s="1950"/>
      <c r="F20" s="1950"/>
      <c r="G20" s="1950"/>
      <c r="H20" s="1950"/>
      <c r="I20" s="1950"/>
      <c r="J20" s="1950"/>
      <c r="K20" s="1950"/>
      <c r="L20" s="2"/>
      <c r="M20" s="2"/>
      <c r="N20" s="2"/>
      <c r="O20" s="2"/>
      <c r="P20" s="2"/>
      <c r="Q20" s="272"/>
      <c r="R20" s="272"/>
      <c r="S20" s="272"/>
    </row>
    <row r="21" spans="1:20" x14ac:dyDescent="0.2">
      <c r="A21" s="1945"/>
      <c r="B21" s="1945"/>
      <c r="C21" s="1946"/>
      <c r="D21" s="1946"/>
      <c r="E21" s="1946"/>
      <c r="F21" s="1946"/>
      <c r="G21" s="1946"/>
      <c r="H21" s="1946"/>
      <c r="I21" s="1946"/>
      <c r="J21" s="1946"/>
      <c r="K21" s="1946"/>
      <c r="L21" s="272"/>
      <c r="M21" s="272"/>
      <c r="N21" s="272"/>
      <c r="O21" s="272"/>
      <c r="P21" s="272"/>
      <c r="Q21" s="272"/>
      <c r="R21" s="272"/>
      <c r="S21" s="272"/>
    </row>
    <row r="22" spans="1:20" x14ac:dyDescent="0.2">
      <c r="A22" s="1945"/>
      <c r="B22" s="1945"/>
      <c r="C22" s="1946"/>
      <c r="D22" s="1946"/>
      <c r="E22" s="1946"/>
      <c r="F22" s="1946"/>
      <c r="G22" s="1946"/>
      <c r="H22" s="1946"/>
      <c r="I22" s="1946"/>
      <c r="J22" s="1946"/>
      <c r="K22" s="1946"/>
      <c r="L22" s="272"/>
      <c r="M22" s="272"/>
      <c r="N22" s="272"/>
      <c r="O22" s="272"/>
      <c r="P22" s="272"/>
      <c r="Q22" s="272"/>
      <c r="R22" s="272"/>
      <c r="S22" s="272"/>
    </row>
    <row r="23" spans="1:20" x14ac:dyDescent="0.2">
      <c r="A23" s="1089"/>
      <c r="B23" s="1089" t="s">
        <v>384</v>
      </c>
      <c r="C23" s="1089" t="s">
        <v>4691</v>
      </c>
      <c r="D23" s="1089"/>
      <c r="E23" s="1089"/>
      <c r="F23" s="1089"/>
      <c r="G23" s="1914"/>
      <c r="H23" s="1914"/>
      <c r="I23" s="447"/>
      <c r="J23" s="1914"/>
      <c r="K23" s="447"/>
      <c r="L23" s="447"/>
      <c r="M23" s="1089"/>
      <c r="N23" s="1949"/>
      <c r="O23" s="1949"/>
      <c r="P23" s="1949"/>
      <c r="Q23" s="1949"/>
      <c r="R23" s="1949"/>
      <c r="S23" s="272"/>
    </row>
    <row r="24" spans="1:20" x14ac:dyDescent="0.2">
      <c r="A24" s="1089"/>
      <c r="B24" s="1089"/>
      <c r="C24" s="1089" t="s">
        <v>5368</v>
      </c>
      <c r="D24" s="1089"/>
      <c r="E24" s="1089"/>
      <c r="F24" s="1089"/>
      <c r="G24" s="1914"/>
      <c r="H24" s="1914"/>
      <c r="I24" s="447"/>
      <c r="J24" s="1914"/>
      <c r="K24" s="447"/>
      <c r="L24" s="447"/>
      <c r="M24" s="1089"/>
      <c r="N24" s="1949"/>
      <c r="O24" s="1949"/>
      <c r="P24" s="1949"/>
      <c r="Q24" s="1949"/>
      <c r="R24" s="1949"/>
      <c r="S24" s="272"/>
    </row>
    <row r="25" spans="1:20" ht="6" customHeight="1" x14ac:dyDescent="0.2">
      <c r="A25" s="1089"/>
      <c r="B25" s="1089"/>
      <c r="C25" s="1089"/>
      <c r="D25" s="1089"/>
      <c r="E25" s="1089"/>
      <c r="F25" s="1089"/>
      <c r="G25" s="1914"/>
      <c r="H25" s="1914"/>
      <c r="I25" s="447"/>
      <c r="J25" s="1914"/>
      <c r="K25" s="447"/>
      <c r="L25" s="447"/>
      <c r="M25" s="1089"/>
      <c r="N25" s="1949"/>
      <c r="O25" s="1949"/>
      <c r="P25" s="1949"/>
      <c r="Q25" s="1949"/>
      <c r="R25" s="1949"/>
      <c r="S25" s="272"/>
    </row>
    <row r="26" spans="1:20" x14ac:dyDescent="0.2">
      <c r="A26" s="1945"/>
      <c r="B26" s="1945"/>
      <c r="C26" s="1089" t="s">
        <v>4536</v>
      </c>
      <c r="D26" s="1089"/>
      <c r="E26" s="1089"/>
      <c r="F26" s="1928"/>
      <c r="G26" s="1928"/>
      <c r="H26" s="1928"/>
      <c r="I26" s="1928"/>
      <c r="J26" s="1928"/>
      <c r="K26" s="1928"/>
      <c r="L26" s="1949"/>
      <c r="M26" s="1949"/>
      <c r="N26" s="1949"/>
      <c r="O26" s="1949"/>
      <c r="P26" s="1949"/>
      <c r="Q26" s="1949"/>
      <c r="R26" s="1949"/>
      <c r="S26" s="272"/>
    </row>
    <row r="27" spans="1:20" x14ac:dyDescent="0.2">
      <c r="A27" s="1945"/>
      <c r="B27" s="1945"/>
      <c r="C27" s="1089"/>
      <c r="D27" s="1089"/>
      <c r="E27" s="1089"/>
      <c r="F27" s="1928"/>
      <c r="G27" s="1928"/>
      <c r="H27" s="1928"/>
      <c r="I27" s="1928"/>
      <c r="J27" s="1928"/>
      <c r="K27" s="1928"/>
      <c r="L27" s="1949"/>
      <c r="M27" s="1949"/>
      <c r="N27" s="1949"/>
      <c r="O27" s="1949"/>
      <c r="P27" s="1949"/>
      <c r="Q27" s="1949"/>
      <c r="R27" s="1949"/>
      <c r="S27" s="272"/>
    </row>
    <row r="28" spans="1:20" x14ac:dyDescent="0.2">
      <c r="A28" s="1945"/>
      <c r="B28" s="1945"/>
      <c r="C28" s="1089"/>
      <c r="D28" s="1946" t="s">
        <v>85</v>
      </c>
      <c r="E28" s="1997"/>
      <c r="F28" s="1946"/>
      <c r="G28" s="272"/>
      <c r="H28" s="272"/>
      <c r="I28" s="1946" t="s">
        <v>86</v>
      </c>
      <c r="J28" s="1997"/>
      <c r="K28" s="1928"/>
      <c r="L28" s="1949"/>
      <c r="M28" s="1949"/>
      <c r="N28" s="1949"/>
      <c r="O28" s="1949"/>
      <c r="P28" s="1949"/>
      <c r="Q28" s="1949"/>
      <c r="R28" s="1949"/>
      <c r="S28" s="272"/>
      <c r="T28" s="1443" t="str">
        <f>IF(AND(ISBLANK($E$28),ISBLANK($J$28))=TRUE,"Answer Missing"," ")</f>
        <v>Answer Missing</v>
      </c>
    </row>
    <row r="29" spans="1:20" x14ac:dyDescent="0.2">
      <c r="A29" s="1945"/>
      <c r="B29" s="1945"/>
      <c r="C29" s="1089"/>
      <c r="D29" s="1946"/>
      <c r="E29" s="1946"/>
      <c r="F29" s="1946"/>
      <c r="G29" s="272"/>
      <c r="H29" s="272"/>
      <c r="I29" s="1946"/>
      <c r="J29" s="1946"/>
      <c r="K29" s="1928"/>
      <c r="L29" s="1949"/>
      <c r="M29" s="1949"/>
      <c r="N29" s="1949"/>
      <c r="O29" s="1949"/>
      <c r="P29" s="1949"/>
      <c r="Q29" s="1949"/>
      <c r="R29" s="1949"/>
      <c r="S29" s="272"/>
      <c r="T29" s="1443"/>
    </row>
    <row r="30" spans="1:20" x14ac:dyDescent="0.2">
      <c r="A30" s="1945"/>
      <c r="B30" s="1945"/>
      <c r="C30" s="1953" t="s">
        <v>4564</v>
      </c>
      <c r="D30" s="1953"/>
      <c r="E30" s="1953"/>
      <c r="F30" s="1957"/>
      <c r="G30" s="1957"/>
      <c r="H30" s="1957"/>
      <c r="I30" s="1958"/>
      <c r="J30" s="1928"/>
      <c r="K30" s="1928"/>
      <c r="L30" s="1949"/>
      <c r="M30" s="1949"/>
      <c r="N30" s="1949"/>
      <c r="O30" s="1949"/>
      <c r="P30" s="1949"/>
      <c r="Q30" s="1949"/>
      <c r="R30" s="1949"/>
      <c r="S30" s="272"/>
    </row>
    <row r="31" spans="1:20" x14ac:dyDescent="0.2">
      <c r="A31" s="1945"/>
      <c r="B31" s="1945"/>
      <c r="C31" s="1946" t="s">
        <v>5369</v>
      </c>
      <c r="D31" s="1946"/>
      <c r="E31" s="1946"/>
      <c r="F31" s="1946"/>
      <c r="G31" s="1946"/>
      <c r="H31" s="1946"/>
      <c r="I31" s="1946"/>
      <c r="J31" s="1946"/>
      <c r="K31" s="1928"/>
      <c r="L31" s="1949"/>
      <c r="M31" s="1949"/>
      <c r="N31" s="1949"/>
      <c r="O31" s="1949"/>
      <c r="P31" s="1949"/>
      <c r="Q31" s="1949"/>
      <c r="R31" s="1949"/>
      <c r="S31" s="272"/>
    </row>
    <row r="32" spans="1:20" x14ac:dyDescent="0.2">
      <c r="A32" s="1945"/>
      <c r="B32" s="1945"/>
      <c r="C32" s="1946" t="s">
        <v>5370</v>
      </c>
      <c r="D32" s="1946"/>
      <c r="E32" s="1946"/>
      <c r="F32" s="1946"/>
      <c r="G32" s="1946"/>
      <c r="H32" s="1946"/>
      <c r="I32" s="1946"/>
      <c r="J32" s="1946"/>
      <c r="K32" s="1928"/>
      <c r="L32" s="1949"/>
      <c r="M32" s="1949"/>
      <c r="N32" s="1949"/>
      <c r="O32" s="1949"/>
      <c r="P32" s="1949"/>
      <c r="Q32" s="1949"/>
      <c r="R32" s="1949"/>
      <c r="S32" s="272"/>
    </row>
    <row r="33" spans="1:19" x14ac:dyDescent="0.2">
      <c r="A33" s="1945"/>
      <c r="B33" s="1945"/>
      <c r="C33" s="1946"/>
      <c r="D33" s="1946"/>
      <c r="E33" s="1946"/>
      <c r="F33" s="1946"/>
      <c r="G33" s="1946"/>
      <c r="H33" s="1946"/>
      <c r="I33" s="1946"/>
      <c r="J33" s="1946"/>
      <c r="K33" s="1928"/>
      <c r="L33" s="1949"/>
      <c r="M33" s="1949"/>
      <c r="N33" s="1949"/>
      <c r="O33" s="1949"/>
      <c r="P33" s="1949"/>
      <c r="Q33" s="1949"/>
      <c r="R33" s="1949"/>
      <c r="S33" s="272"/>
    </row>
    <row r="34" spans="1:19" x14ac:dyDescent="0.2">
      <c r="A34" s="1089"/>
      <c r="B34" s="1089"/>
      <c r="C34" s="1951" t="s">
        <v>4537</v>
      </c>
      <c r="D34" s="1952"/>
      <c r="E34" s="1952"/>
      <c r="F34" s="1089"/>
      <c r="G34" s="1089"/>
      <c r="H34" s="1089"/>
      <c r="I34" s="1951" t="s">
        <v>4516</v>
      </c>
      <c r="J34" s="1952"/>
      <c r="K34" s="1952"/>
      <c r="L34" s="1949"/>
      <c r="M34" s="2027" t="s">
        <v>4684</v>
      </c>
      <c r="N34" s="2028"/>
      <c r="O34" s="1951" t="s">
        <v>4538</v>
      </c>
      <c r="P34" s="1952"/>
      <c r="Q34" s="1952"/>
      <c r="R34" s="1949"/>
      <c r="S34" s="272"/>
    </row>
    <row r="35" spans="1:19" x14ac:dyDescent="0.2">
      <c r="A35" s="1089"/>
      <c r="B35" s="1089"/>
      <c r="C35" s="2471"/>
      <c r="D35" s="2471"/>
      <c r="E35" s="2471"/>
      <c r="F35" s="1928"/>
      <c r="G35" s="1928"/>
      <c r="H35" s="1928"/>
      <c r="I35" s="2476"/>
      <c r="J35" s="2476"/>
      <c r="K35" s="2476"/>
      <c r="L35" s="1949"/>
      <c r="M35" s="1997"/>
      <c r="N35" s="1949"/>
      <c r="O35" s="2476"/>
      <c r="P35" s="2476"/>
      <c r="Q35" s="2476"/>
      <c r="R35" s="1949"/>
      <c r="S35" s="272"/>
    </row>
    <row r="36" spans="1:19" ht="19.5" customHeight="1" x14ac:dyDescent="0.2">
      <c r="A36" s="1089"/>
      <c r="B36" s="1089"/>
      <c r="C36" s="2471"/>
      <c r="D36" s="2471"/>
      <c r="E36" s="2471"/>
      <c r="F36" s="1928"/>
      <c r="G36" s="1928"/>
      <c r="H36" s="1928"/>
      <c r="I36" s="2476"/>
      <c r="J36" s="2476"/>
      <c r="K36" s="2476"/>
      <c r="L36" s="1949"/>
      <c r="M36" s="1997"/>
      <c r="N36" s="1949"/>
      <c r="O36" s="2476"/>
      <c r="P36" s="2476"/>
      <c r="Q36" s="2476"/>
      <c r="R36" s="1949"/>
      <c r="S36" s="272"/>
    </row>
    <row r="37" spans="1:19" ht="20.25" customHeight="1" x14ac:dyDescent="0.2">
      <c r="A37" s="1089"/>
      <c r="B37" s="1089"/>
      <c r="C37" s="2471"/>
      <c r="D37" s="2471"/>
      <c r="E37" s="2471"/>
      <c r="F37" s="1928"/>
      <c r="G37" s="1928"/>
      <c r="H37" s="1928"/>
      <c r="I37" s="2476"/>
      <c r="J37" s="2476"/>
      <c r="K37" s="2476"/>
      <c r="L37" s="1949"/>
      <c r="M37" s="1997"/>
      <c r="N37" s="1949"/>
      <c r="O37" s="2476"/>
      <c r="P37" s="2476"/>
      <c r="Q37" s="2476"/>
      <c r="R37" s="1949"/>
      <c r="S37" s="272"/>
    </row>
    <row r="38" spans="1:19" ht="19.5" customHeight="1" x14ac:dyDescent="0.2">
      <c r="A38" s="1088"/>
      <c r="B38" s="1088"/>
      <c r="C38" s="2471"/>
      <c r="D38" s="2471"/>
      <c r="E38" s="2471"/>
      <c r="F38" s="1089"/>
      <c r="G38" s="1089"/>
      <c r="H38" s="1089"/>
      <c r="I38" s="2476"/>
      <c r="J38" s="2476"/>
      <c r="K38" s="2476"/>
      <c r="L38" s="1949"/>
      <c r="M38" s="1997"/>
      <c r="N38" s="1949"/>
      <c r="O38" s="2476"/>
      <c r="P38" s="2476"/>
      <c r="Q38" s="2476"/>
      <c r="R38" s="1949"/>
      <c r="S38" s="272"/>
    </row>
    <row r="39" spans="1:19" ht="20.25" customHeight="1" x14ac:dyDescent="0.2">
      <c r="A39" s="1945"/>
      <c r="B39" s="1945"/>
      <c r="C39" s="2471"/>
      <c r="D39" s="2471"/>
      <c r="E39" s="2471"/>
      <c r="F39" s="1928"/>
      <c r="G39" s="1928"/>
      <c r="H39" s="1928"/>
      <c r="I39" s="2476"/>
      <c r="J39" s="2476"/>
      <c r="K39" s="2476"/>
      <c r="L39" s="1949"/>
      <c r="M39" s="1997"/>
      <c r="N39" s="1949"/>
      <c r="O39" s="2476"/>
      <c r="P39" s="2476"/>
      <c r="Q39" s="2476"/>
      <c r="R39" s="1949"/>
      <c r="S39" s="272"/>
    </row>
    <row r="40" spans="1:19" x14ac:dyDescent="0.2">
      <c r="A40" s="1945"/>
      <c r="B40" s="1945"/>
      <c r="C40" s="1089"/>
      <c r="D40" s="1089"/>
      <c r="E40" s="1089"/>
      <c r="F40" s="1928"/>
      <c r="G40" s="1928"/>
      <c r="H40" s="1928"/>
      <c r="I40" s="1928"/>
      <c r="J40" s="1928"/>
      <c r="K40" s="1928"/>
      <c r="L40" s="1949"/>
      <c r="M40" s="1949"/>
      <c r="N40" s="1949"/>
      <c r="O40" s="1949"/>
      <c r="P40" s="1949"/>
      <c r="Q40" s="1949"/>
      <c r="R40" s="1949"/>
      <c r="S40" s="272"/>
    </row>
    <row r="41" spans="1:19" x14ac:dyDescent="0.2">
      <c r="A41" s="1945"/>
      <c r="B41" s="1945"/>
      <c r="C41" s="1089"/>
      <c r="D41" s="1089"/>
      <c r="E41" s="1089"/>
      <c r="F41" s="1928"/>
      <c r="G41" s="1928"/>
      <c r="H41" s="1928"/>
      <c r="I41" s="1928"/>
      <c r="J41" s="1928"/>
      <c r="K41" s="1928"/>
      <c r="L41" s="1949"/>
      <c r="M41" s="1949"/>
      <c r="N41" s="1949"/>
      <c r="O41" s="1949"/>
      <c r="P41" s="1949"/>
      <c r="Q41" s="1949"/>
      <c r="R41" s="1949"/>
      <c r="S41" s="272"/>
    </row>
    <row r="42" spans="1:19" x14ac:dyDescent="0.2">
      <c r="A42" s="1945"/>
      <c r="B42" s="1945"/>
      <c r="C42" s="1928" t="s">
        <v>4543</v>
      </c>
      <c r="D42" s="1928"/>
      <c r="E42" s="1928"/>
      <c r="F42" s="1928"/>
      <c r="G42" s="1928"/>
      <c r="H42" s="1928"/>
      <c r="I42" s="1928"/>
      <c r="J42" s="1928"/>
      <c r="K42" s="1928"/>
      <c r="L42" s="1928"/>
      <c r="M42" s="1089"/>
      <c r="N42" s="1089"/>
      <c r="O42" s="1089"/>
      <c r="P42" s="1949"/>
      <c r="Q42" s="1949"/>
      <c r="R42" s="1949"/>
      <c r="S42" s="272"/>
    </row>
    <row r="43" spans="1:19" x14ac:dyDescent="0.2">
      <c r="A43" s="1945"/>
      <c r="B43" s="1945"/>
      <c r="C43" s="1089"/>
      <c r="D43" s="1089"/>
      <c r="E43" s="1089"/>
      <c r="F43" s="1928"/>
      <c r="G43" s="1928"/>
      <c r="H43" s="1928"/>
      <c r="I43" s="1928"/>
      <c r="J43" s="1928"/>
      <c r="K43" s="1928"/>
      <c r="L43" s="1949"/>
      <c r="M43" s="1949"/>
      <c r="N43" s="1949"/>
      <c r="O43" s="1949"/>
      <c r="P43" s="1949"/>
      <c r="Q43" s="1949"/>
      <c r="R43" s="1949"/>
      <c r="S43" s="272"/>
    </row>
    <row r="44" spans="1:19" x14ac:dyDescent="0.2">
      <c r="A44" s="1945"/>
      <c r="B44" s="1945"/>
      <c r="C44" s="1089"/>
      <c r="D44" s="1089"/>
      <c r="E44" s="1089"/>
      <c r="F44" s="1928"/>
      <c r="G44" s="1928"/>
      <c r="H44" s="1928"/>
      <c r="I44" s="1928"/>
      <c r="J44" s="1928"/>
      <c r="K44" s="1928"/>
      <c r="L44" s="1949"/>
      <c r="M44" s="1949"/>
      <c r="N44" s="1949"/>
      <c r="O44" s="1949"/>
      <c r="P44" s="1949"/>
      <c r="Q44" s="1949"/>
      <c r="R44" s="1949"/>
      <c r="S44" s="272"/>
    </row>
    <row r="45" spans="1:19" x14ac:dyDescent="0.2">
      <c r="A45" s="1089"/>
      <c r="B45" s="1089" t="s">
        <v>733</v>
      </c>
      <c r="C45" s="1089" t="s">
        <v>5371</v>
      </c>
      <c r="D45" s="1089"/>
      <c r="E45" s="1089"/>
      <c r="F45" s="1089"/>
      <c r="G45" s="1914"/>
      <c r="H45" s="447"/>
      <c r="I45" s="1914"/>
      <c r="J45" s="447"/>
      <c r="K45" s="1089"/>
      <c r="L45" s="1089"/>
      <c r="M45" s="1089"/>
      <c r="N45" s="1089"/>
      <c r="O45" s="1089"/>
      <c r="P45" s="1089"/>
      <c r="Q45" s="1089"/>
      <c r="R45" s="1949"/>
      <c r="S45" s="272"/>
    </row>
    <row r="46" spans="1:19" x14ac:dyDescent="0.2">
      <c r="A46" s="1089"/>
      <c r="B46" s="1089"/>
      <c r="C46" s="1089" t="s">
        <v>5372</v>
      </c>
      <c r="D46" s="1089"/>
      <c r="E46" s="1089"/>
      <c r="F46" s="1089"/>
      <c r="G46" s="1914"/>
      <c r="H46" s="447"/>
      <c r="I46" s="1914"/>
      <c r="J46" s="447"/>
      <c r="K46" s="1089"/>
      <c r="L46" s="1089"/>
      <c r="M46" s="1089"/>
      <c r="N46" s="1089"/>
      <c r="O46" s="1089"/>
      <c r="P46" s="1089"/>
      <c r="Q46" s="1089"/>
      <c r="R46" s="1949"/>
      <c r="S46" s="272"/>
    </row>
    <row r="47" spans="1:19" ht="6" customHeight="1" x14ac:dyDescent="0.2">
      <c r="A47" s="1089"/>
      <c r="B47" s="1089"/>
      <c r="C47" s="1089"/>
      <c r="D47" s="1089"/>
      <c r="E47" s="1089"/>
      <c r="F47" s="1089"/>
      <c r="G47" s="1914"/>
      <c r="H47" s="447"/>
      <c r="I47" s="1914"/>
      <c r="J47" s="447"/>
      <c r="K47" s="1089"/>
      <c r="L47" s="1089"/>
      <c r="M47" s="1089"/>
      <c r="N47" s="1089"/>
      <c r="O47" s="1089"/>
      <c r="P47" s="1089"/>
      <c r="Q47" s="1089"/>
      <c r="R47" s="1949"/>
      <c r="S47" s="272"/>
    </row>
    <row r="48" spans="1:19" x14ac:dyDescent="0.2">
      <c r="A48" s="1945"/>
      <c r="B48" s="1945"/>
      <c r="C48" s="1089" t="s">
        <v>4536</v>
      </c>
      <c r="D48" s="1089"/>
      <c r="E48" s="1089"/>
      <c r="F48" s="1928"/>
      <c r="G48" s="1928"/>
      <c r="H48" s="1928"/>
      <c r="I48" s="1928"/>
      <c r="J48" s="1928"/>
      <c r="K48" s="1928"/>
      <c r="L48" s="1949"/>
      <c r="M48" s="1949"/>
      <c r="N48" s="1949"/>
      <c r="O48" s="1949"/>
      <c r="P48" s="1949"/>
      <c r="Q48" s="1949"/>
      <c r="R48" s="1949"/>
      <c r="S48" s="272"/>
    </row>
    <row r="49" spans="1:20" x14ac:dyDescent="0.2">
      <c r="A49" s="1945"/>
      <c r="B49" s="1945"/>
      <c r="C49" s="1089"/>
      <c r="D49" s="1089"/>
      <c r="E49" s="1089"/>
      <c r="F49" s="1928"/>
      <c r="G49" s="1928"/>
      <c r="H49" s="1928"/>
      <c r="I49" s="1928"/>
      <c r="J49" s="1928"/>
      <c r="K49" s="1928"/>
      <c r="L49" s="1949"/>
      <c r="M49" s="1949"/>
      <c r="N49" s="1949"/>
      <c r="O49" s="1949"/>
      <c r="P49" s="1949"/>
      <c r="Q49" s="1949"/>
      <c r="R49" s="1949"/>
      <c r="S49" s="272"/>
    </row>
    <row r="50" spans="1:20" x14ac:dyDescent="0.2">
      <c r="A50" s="1945"/>
      <c r="B50" s="1945"/>
      <c r="C50" s="1089"/>
      <c r="D50" s="1946" t="s">
        <v>85</v>
      </c>
      <c r="E50" s="1997"/>
      <c r="F50" s="1946"/>
      <c r="G50" s="272"/>
      <c r="H50" s="272"/>
      <c r="I50" s="1946" t="s">
        <v>86</v>
      </c>
      <c r="J50" s="1997"/>
      <c r="K50" s="1928"/>
      <c r="L50" s="1949"/>
      <c r="M50" s="1949"/>
      <c r="N50" s="1949"/>
      <c r="O50" s="1949"/>
      <c r="P50" s="1949"/>
      <c r="Q50" s="1949"/>
      <c r="R50" s="1949"/>
      <c r="S50" s="272"/>
      <c r="T50" s="1443" t="str">
        <f>IF(AND(ISBLANK($E$50),ISBLANK($J$50))=TRUE,"Answer Missing"," ")</f>
        <v>Answer Missing</v>
      </c>
    </row>
    <row r="51" spans="1:20" x14ac:dyDescent="0.2">
      <c r="A51" s="1945"/>
      <c r="B51" s="1945"/>
      <c r="C51" s="1089"/>
      <c r="D51" s="1089"/>
      <c r="E51" s="1089"/>
      <c r="F51" s="1928"/>
      <c r="G51" s="1928"/>
      <c r="H51" s="1928"/>
      <c r="I51" s="1928"/>
      <c r="J51" s="1928"/>
      <c r="K51" s="1928"/>
      <c r="L51" s="1949"/>
      <c r="M51" s="1949"/>
      <c r="N51" s="1949"/>
      <c r="O51" s="1949"/>
      <c r="P51" s="1949"/>
      <c r="Q51" s="1949"/>
      <c r="R51" s="1949"/>
      <c r="S51" s="272"/>
    </row>
    <row r="52" spans="1:20" x14ac:dyDescent="0.2">
      <c r="A52" s="1945"/>
      <c r="B52" s="1945"/>
      <c r="C52" s="1953" t="s">
        <v>4565</v>
      </c>
      <c r="D52" s="1953"/>
      <c r="E52" s="1953"/>
      <c r="F52" s="1957"/>
      <c r="G52" s="1957"/>
      <c r="H52" s="1957"/>
      <c r="I52" s="1958"/>
      <c r="J52" s="1928"/>
      <c r="K52" s="1928"/>
      <c r="L52" s="1949"/>
      <c r="M52" s="1949"/>
      <c r="N52" s="1949"/>
      <c r="O52" s="1949"/>
      <c r="P52" s="1949"/>
      <c r="Q52" s="1949"/>
      <c r="R52" s="1949"/>
      <c r="S52" s="272"/>
    </row>
    <row r="53" spans="1:20" x14ac:dyDescent="0.2">
      <c r="A53" s="1945"/>
      <c r="B53" s="1945"/>
      <c r="C53" s="1946" t="s">
        <v>5373</v>
      </c>
      <c r="D53" s="1946"/>
      <c r="E53" s="1946"/>
      <c r="F53" s="1946"/>
      <c r="G53" s="1946"/>
      <c r="H53" s="1946"/>
      <c r="I53" s="1928"/>
      <c r="J53" s="1928"/>
      <c r="K53" s="1928"/>
      <c r="L53" s="1949"/>
      <c r="M53" s="1949"/>
      <c r="N53" s="1949"/>
      <c r="O53" s="1949"/>
      <c r="P53" s="1949"/>
      <c r="Q53" s="1949"/>
      <c r="R53" s="1949"/>
      <c r="S53" s="272"/>
    </row>
    <row r="54" spans="1:20" x14ac:dyDescent="0.2">
      <c r="A54" s="1945"/>
      <c r="B54" s="1945"/>
      <c r="C54" s="1089"/>
      <c r="D54" s="1089"/>
      <c r="E54" s="1089"/>
      <c r="F54" s="1928"/>
      <c r="G54" s="1928"/>
      <c r="H54" s="1928"/>
      <c r="I54" s="1928"/>
      <c r="J54" s="1928"/>
      <c r="K54" s="1928"/>
      <c r="L54" s="1949"/>
      <c r="M54" s="1949"/>
      <c r="N54" s="1949"/>
      <c r="O54" s="1949"/>
      <c r="P54" s="1949"/>
      <c r="Q54" s="1949"/>
      <c r="R54" s="1949"/>
      <c r="S54" s="272"/>
    </row>
    <row r="55" spans="1:20" x14ac:dyDescent="0.2">
      <c r="A55" s="1089"/>
      <c r="B55" s="1089"/>
      <c r="C55" s="1951" t="s">
        <v>4537</v>
      </c>
      <c r="D55" s="1952"/>
      <c r="E55" s="1952"/>
      <c r="F55" s="1089"/>
      <c r="G55" s="1089"/>
      <c r="H55" s="1089"/>
      <c r="I55" s="1951" t="s">
        <v>4516</v>
      </c>
      <c r="J55" s="1952"/>
      <c r="K55" s="1952"/>
      <c r="L55" s="1949"/>
      <c r="M55" s="2027" t="s">
        <v>4684</v>
      </c>
      <c r="N55" s="1949"/>
      <c r="O55" s="1951" t="s">
        <v>4538</v>
      </c>
      <c r="P55" s="1952"/>
      <c r="Q55" s="1952"/>
      <c r="R55" s="1949"/>
      <c r="S55" s="272"/>
    </row>
    <row r="56" spans="1:20" ht="18" customHeight="1" x14ac:dyDescent="0.2">
      <c r="A56" s="1089"/>
      <c r="B56" s="1089"/>
      <c r="C56" s="2471"/>
      <c r="D56" s="2471"/>
      <c r="E56" s="2471"/>
      <c r="F56" s="1928"/>
      <c r="G56" s="1928"/>
      <c r="H56" s="1928"/>
      <c r="I56" s="2476"/>
      <c r="J56" s="2476"/>
      <c r="K56" s="2476"/>
      <c r="L56" s="1949"/>
      <c r="M56" s="1997"/>
      <c r="N56" s="1949"/>
      <c r="O56" s="2476"/>
      <c r="P56" s="2476"/>
      <c r="Q56" s="2476"/>
      <c r="R56" s="1949"/>
      <c r="S56" s="272"/>
    </row>
    <row r="57" spans="1:20" ht="18" customHeight="1" x14ac:dyDescent="0.2">
      <c r="A57" s="1089"/>
      <c r="B57" s="1089"/>
      <c r="C57" s="2471"/>
      <c r="D57" s="2471"/>
      <c r="E57" s="2471"/>
      <c r="F57" s="1928"/>
      <c r="G57" s="1928"/>
      <c r="H57" s="1928"/>
      <c r="I57" s="2476"/>
      <c r="J57" s="2476"/>
      <c r="K57" s="2476"/>
      <c r="L57" s="1949"/>
      <c r="M57" s="1997"/>
      <c r="N57" s="1949"/>
      <c r="O57" s="2476"/>
      <c r="P57" s="2476"/>
      <c r="Q57" s="2476"/>
      <c r="R57" s="1949"/>
      <c r="S57" s="272"/>
    </row>
    <row r="58" spans="1:20" ht="19.5" customHeight="1" x14ac:dyDescent="0.2">
      <c r="A58" s="1089"/>
      <c r="B58" s="1089"/>
      <c r="C58" s="2471"/>
      <c r="D58" s="2471"/>
      <c r="E58" s="2471"/>
      <c r="F58" s="1928"/>
      <c r="G58" s="1928"/>
      <c r="H58" s="1928"/>
      <c r="I58" s="2476"/>
      <c r="J58" s="2476"/>
      <c r="K58" s="2476"/>
      <c r="L58" s="1949"/>
      <c r="M58" s="1997"/>
      <c r="N58" s="1949"/>
      <c r="O58" s="2476"/>
      <c r="P58" s="2476"/>
      <c r="Q58" s="2476"/>
      <c r="R58" s="1949"/>
      <c r="S58" s="272"/>
    </row>
    <row r="59" spans="1:20" ht="18" customHeight="1" x14ac:dyDescent="0.2">
      <c r="A59" s="1088"/>
      <c r="B59" s="1088"/>
      <c r="C59" s="2471"/>
      <c r="D59" s="2471"/>
      <c r="E59" s="2471"/>
      <c r="F59" s="1089"/>
      <c r="G59" s="1089"/>
      <c r="H59" s="1089"/>
      <c r="I59" s="2476"/>
      <c r="J59" s="2476"/>
      <c r="K59" s="2476"/>
      <c r="L59" s="1949"/>
      <c r="M59" s="1997"/>
      <c r="N59" s="1949"/>
      <c r="O59" s="2476"/>
      <c r="P59" s="2476"/>
      <c r="Q59" s="2476"/>
      <c r="R59" s="1949"/>
      <c r="S59" s="272"/>
    </row>
    <row r="60" spans="1:20" ht="18.75" customHeight="1" x14ac:dyDescent="0.2">
      <c r="A60" s="1088"/>
      <c r="B60" s="1945"/>
      <c r="C60" s="2471"/>
      <c r="D60" s="2471"/>
      <c r="E60" s="2471"/>
      <c r="F60" s="1928"/>
      <c r="G60" s="1928"/>
      <c r="H60" s="1928"/>
      <c r="I60" s="2476"/>
      <c r="J60" s="2476"/>
      <c r="K60" s="2476"/>
      <c r="L60" s="1949"/>
      <c r="M60" s="1997"/>
      <c r="N60" s="1949"/>
      <c r="O60" s="2476"/>
      <c r="P60" s="2476"/>
      <c r="Q60" s="2476"/>
      <c r="R60" s="1949"/>
      <c r="S60" s="272"/>
    </row>
    <row r="61" spans="1:20" x14ac:dyDescent="0.2">
      <c r="A61" s="1088"/>
      <c r="B61" s="1088"/>
      <c r="C61" s="1947"/>
      <c r="D61" s="1947"/>
      <c r="E61" s="1947"/>
      <c r="F61" s="1089"/>
      <c r="G61" s="1089"/>
      <c r="H61" s="1089"/>
      <c r="I61" s="1948"/>
      <c r="J61" s="1948"/>
      <c r="K61" s="1948"/>
      <c r="L61" s="272"/>
      <c r="M61" s="272"/>
      <c r="N61" s="272"/>
      <c r="O61" s="272"/>
      <c r="P61" s="272"/>
      <c r="Q61" s="272"/>
      <c r="R61" s="272"/>
      <c r="S61" s="272"/>
    </row>
    <row r="62" spans="1:20" x14ac:dyDescent="0.2">
      <c r="A62" s="1088"/>
      <c r="B62" s="1089" t="s">
        <v>553</v>
      </c>
      <c r="C62" s="1947" t="s">
        <v>5483</v>
      </c>
      <c r="D62" s="1947"/>
      <c r="E62" s="1947"/>
      <c r="F62" s="1089"/>
      <c r="G62" s="1089"/>
      <c r="H62" s="1089"/>
      <c r="I62" s="1948"/>
      <c r="J62" s="1948"/>
      <c r="K62" s="1948"/>
      <c r="L62" s="272"/>
      <c r="M62" s="272"/>
      <c r="N62" s="272"/>
      <c r="O62" s="272"/>
      <c r="P62" s="272"/>
      <c r="Q62" s="272"/>
      <c r="R62" s="272"/>
      <c r="S62" s="272"/>
      <c r="T62" s="1443"/>
    </row>
    <row r="63" spans="1:20" x14ac:dyDescent="0.2">
      <c r="A63" s="1088"/>
      <c r="B63" s="1088"/>
      <c r="C63" s="1947"/>
      <c r="D63" s="1947"/>
      <c r="E63" s="1947"/>
      <c r="F63" s="1089"/>
      <c r="G63" s="1089"/>
      <c r="H63" s="1089"/>
      <c r="I63" s="1948"/>
      <c r="J63" s="1948"/>
      <c r="K63" s="1948"/>
      <c r="L63" s="272"/>
      <c r="M63" s="272"/>
      <c r="N63" s="272"/>
      <c r="O63" s="272"/>
      <c r="P63" s="272"/>
      <c r="Q63" s="272"/>
      <c r="R63" s="272"/>
      <c r="S63" s="272"/>
    </row>
    <row r="64" spans="1:20" x14ac:dyDescent="0.2">
      <c r="A64" s="1088"/>
      <c r="B64" s="1088"/>
      <c r="C64" s="1947"/>
      <c r="D64" s="1946" t="s">
        <v>85</v>
      </c>
      <c r="E64" s="1997"/>
      <c r="F64" s="1946"/>
      <c r="G64" s="272"/>
      <c r="H64" s="272"/>
      <c r="I64" s="1946" t="s">
        <v>86</v>
      </c>
      <c r="J64" s="1997"/>
      <c r="K64" s="1928"/>
      <c r="L64" s="1949"/>
      <c r="M64" s="1949"/>
      <c r="N64" s="272"/>
      <c r="O64" s="272"/>
      <c r="P64" s="272"/>
      <c r="Q64" s="272"/>
      <c r="R64" s="272"/>
      <c r="S64" s="272"/>
      <c r="T64" s="1443" t="str">
        <f>IF(AND(ISBLANK($E$64),ISBLANK($J$64))=TRUE,"Answer Missing"," ")</f>
        <v>Answer Missing</v>
      </c>
    </row>
    <row r="65" spans="1:19" x14ac:dyDescent="0.2">
      <c r="A65" s="1088"/>
      <c r="B65" s="1088"/>
      <c r="C65" s="1947"/>
      <c r="D65" s="1947"/>
      <c r="E65" s="1947"/>
      <c r="F65" s="1089"/>
      <c r="G65" s="1089"/>
      <c r="H65" s="1089"/>
      <c r="I65" s="1948"/>
      <c r="J65" s="1948"/>
      <c r="K65" s="1948"/>
      <c r="L65" s="272"/>
      <c r="M65" s="272"/>
      <c r="N65" s="272"/>
      <c r="O65" s="272"/>
      <c r="P65" s="272"/>
      <c r="Q65" s="272"/>
      <c r="R65" s="272"/>
      <c r="S65" s="272"/>
    </row>
    <row r="66" spans="1:19" x14ac:dyDescent="0.2">
      <c r="A66" s="1088"/>
      <c r="B66" s="1088"/>
      <c r="C66" s="272" t="s">
        <v>5484</v>
      </c>
      <c r="D66" s="1947"/>
      <c r="E66" s="1947"/>
      <c r="F66" s="1089"/>
      <c r="G66" s="1089"/>
      <c r="H66" s="1089"/>
      <c r="I66" s="1948"/>
      <c r="J66" s="1948"/>
      <c r="K66" s="1948"/>
      <c r="L66" s="272"/>
      <c r="M66" s="272"/>
      <c r="N66" s="272"/>
      <c r="O66" s="272"/>
      <c r="P66" s="272"/>
      <c r="Q66" s="272"/>
      <c r="R66" s="272"/>
      <c r="S66" s="272"/>
    </row>
    <row r="67" spans="1:19" x14ac:dyDescent="0.2">
      <c r="A67" s="1088"/>
      <c r="B67" s="1088"/>
      <c r="C67" s="272"/>
      <c r="D67" s="1947"/>
      <c r="E67" s="1947"/>
      <c r="F67" s="1089"/>
      <c r="G67" s="1089"/>
      <c r="H67" s="1089"/>
      <c r="I67" s="1948"/>
      <c r="J67" s="1948"/>
      <c r="K67" s="1948"/>
      <c r="L67" s="272"/>
      <c r="M67" s="272"/>
      <c r="N67" s="272"/>
      <c r="O67" s="272"/>
      <c r="P67" s="272"/>
      <c r="Q67" s="272"/>
      <c r="R67" s="272"/>
      <c r="S67" s="272"/>
    </row>
    <row r="68" spans="1:19" x14ac:dyDescent="0.2">
      <c r="A68" s="1088"/>
      <c r="B68" s="1088"/>
      <c r="C68" s="1953" t="s">
        <v>5672</v>
      </c>
      <c r="D68" s="1947"/>
      <c r="E68" s="1947"/>
      <c r="F68" s="1089"/>
      <c r="G68" s="1089"/>
      <c r="H68" s="1089"/>
      <c r="I68" s="1948"/>
      <c r="J68" s="1948"/>
      <c r="K68" s="1948"/>
      <c r="L68" s="272"/>
      <c r="M68" s="272"/>
      <c r="N68" s="272"/>
      <c r="O68" s="272"/>
      <c r="P68" s="272"/>
      <c r="Q68" s="272"/>
      <c r="R68" s="272"/>
      <c r="S68" s="272"/>
    </row>
    <row r="69" spans="1:19" x14ac:dyDescent="0.2">
      <c r="A69" s="1088"/>
      <c r="B69" s="1088"/>
      <c r="C69" s="1947"/>
      <c r="D69" s="1947"/>
      <c r="E69" s="1947"/>
      <c r="F69" s="1089"/>
      <c r="G69" s="1089"/>
      <c r="H69" s="1089"/>
      <c r="I69" s="1948"/>
      <c r="J69" s="1948"/>
      <c r="K69" s="1948"/>
      <c r="L69" s="272"/>
      <c r="M69" s="272"/>
      <c r="N69" s="272"/>
      <c r="O69" s="272"/>
      <c r="P69" s="272"/>
      <c r="Q69" s="272"/>
      <c r="R69" s="272"/>
      <c r="S69" s="272"/>
    </row>
    <row r="70" spans="1:19" x14ac:dyDescent="0.2">
      <c r="A70" s="1088"/>
      <c r="B70" s="1088"/>
      <c r="C70" s="1947" t="s">
        <v>5547</v>
      </c>
      <c r="D70" s="1947"/>
      <c r="E70" s="1947"/>
      <c r="F70" s="1089"/>
      <c r="G70" s="1089"/>
      <c r="H70" s="1089"/>
      <c r="I70" s="1948"/>
      <c r="J70" s="1948"/>
      <c r="K70" s="1948"/>
      <c r="L70" s="272"/>
      <c r="M70" s="272"/>
      <c r="N70" s="272"/>
      <c r="O70" s="272"/>
      <c r="P70" s="272"/>
      <c r="Q70" s="272"/>
      <c r="R70" s="272"/>
      <c r="S70" s="272"/>
    </row>
    <row r="71" spans="1:19" x14ac:dyDescent="0.2">
      <c r="A71" s="1088"/>
      <c r="B71" s="1088"/>
      <c r="C71" s="1947"/>
      <c r="D71" s="1947"/>
      <c r="E71" s="1947"/>
      <c r="F71" s="1089"/>
      <c r="G71" s="1089"/>
      <c r="H71" s="1089"/>
      <c r="I71" s="1948"/>
      <c r="J71" s="1948"/>
      <c r="K71" s="1948"/>
      <c r="L71" s="272"/>
      <c r="M71" s="272"/>
      <c r="N71" s="272"/>
      <c r="O71" s="272"/>
      <c r="P71" s="272"/>
      <c r="Q71" s="272"/>
      <c r="R71" s="272"/>
      <c r="S71" s="272"/>
    </row>
    <row r="72" spans="1:19" x14ac:dyDescent="0.2">
      <c r="A72" s="1088"/>
      <c r="B72" s="1088"/>
      <c r="C72" s="1951" t="s">
        <v>4537</v>
      </c>
      <c r="D72" s="1952"/>
      <c r="E72" s="1952"/>
      <c r="F72" s="1089"/>
      <c r="G72" s="1089"/>
      <c r="H72" s="1089"/>
      <c r="I72" s="1951" t="s">
        <v>4516</v>
      </c>
      <c r="J72" s="1952"/>
      <c r="K72" s="1952"/>
      <c r="L72" s="1949"/>
      <c r="M72" s="1951" t="s">
        <v>5485</v>
      </c>
      <c r="N72" s="1934"/>
      <c r="O72" s="1952"/>
      <c r="P72" s="1952"/>
      <c r="Q72" s="2252" t="s">
        <v>5486</v>
      </c>
      <c r="R72" s="1934"/>
      <c r="S72" s="1952"/>
    </row>
    <row r="73" spans="1:19" x14ac:dyDescent="0.2">
      <c r="A73" s="1088"/>
      <c r="B73" s="1088"/>
      <c r="C73" s="2471"/>
      <c r="D73" s="2471"/>
      <c r="E73" s="2471"/>
      <c r="F73" s="1928"/>
      <c r="G73" s="1928"/>
      <c r="H73" s="1928"/>
      <c r="I73" s="2476"/>
      <c r="J73" s="2476"/>
      <c r="K73" s="2476"/>
      <c r="L73" s="1949"/>
      <c r="M73" s="2476"/>
      <c r="N73" s="2476"/>
      <c r="O73" s="2476"/>
      <c r="Q73" s="2476"/>
      <c r="R73" s="2476"/>
      <c r="S73" s="2476"/>
    </row>
    <row r="74" spans="1:19" x14ac:dyDescent="0.2">
      <c r="A74" s="1088"/>
      <c r="B74" s="1088"/>
      <c r="C74" s="2471"/>
      <c r="D74" s="2471"/>
      <c r="E74" s="2471"/>
      <c r="F74" s="1928"/>
      <c r="G74" s="1928"/>
      <c r="H74" s="1928"/>
      <c r="I74" s="2476"/>
      <c r="J74" s="2476"/>
      <c r="K74" s="2476"/>
      <c r="L74" s="1949"/>
      <c r="M74" s="2476"/>
      <c r="N74" s="2476"/>
      <c r="O74" s="2476"/>
      <c r="Q74" s="2476"/>
      <c r="R74" s="2476"/>
      <c r="S74" s="2476"/>
    </row>
    <row r="75" spans="1:19" x14ac:dyDescent="0.2">
      <c r="A75" s="1088"/>
      <c r="B75" s="1088"/>
      <c r="C75" s="2471"/>
      <c r="D75" s="2471"/>
      <c r="E75" s="2471"/>
      <c r="F75" s="1928"/>
      <c r="G75" s="1928"/>
      <c r="H75" s="1928"/>
      <c r="I75" s="2476"/>
      <c r="J75" s="2476"/>
      <c r="K75" s="2476"/>
      <c r="L75" s="1949"/>
      <c r="M75" s="2476"/>
      <c r="N75" s="2476"/>
      <c r="O75" s="2476"/>
      <c r="Q75" s="2476"/>
      <c r="R75" s="2476"/>
      <c r="S75" s="2476"/>
    </row>
    <row r="76" spans="1:19" x14ac:dyDescent="0.2">
      <c r="A76" s="1088"/>
      <c r="B76" s="1088"/>
      <c r="C76" s="1953"/>
      <c r="D76" s="1953"/>
      <c r="E76" s="1953"/>
      <c r="F76" s="1957"/>
      <c r="G76" s="1957"/>
      <c r="H76" s="1957"/>
      <c r="I76" s="1958"/>
      <c r="J76" s="1928"/>
      <c r="K76" s="1928"/>
      <c r="L76" s="1949"/>
      <c r="M76" s="1949"/>
      <c r="N76" s="272"/>
      <c r="O76" s="272"/>
      <c r="P76" s="272"/>
      <c r="Q76" s="272"/>
      <c r="R76" s="272"/>
      <c r="S76" s="272"/>
    </row>
    <row r="77" spans="1:19" x14ac:dyDescent="0.2">
      <c r="A77" s="1088"/>
      <c r="B77" s="1088"/>
      <c r="C77" s="1953"/>
      <c r="D77" s="1953"/>
      <c r="E77" s="1953"/>
      <c r="F77" s="1957"/>
      <c r="G77" s="1928" t="s">
        <v>5555</v>
      </c>
      <c r="H77" s="2316"/>
      <c r="I77" s="1928"/>
      <c r="J77" s="1948"/>
      <c r="K77" s="1948"/>
      <c r="L77" s="1948"/>
      <c r="M77" s="1948">
        <f>SUM(M73:M76)+SUM(Q73:S75)</f>
        <v>0</v>
      </c>
      <c r="N77" s="1948"/>
      <c r="O77" s="272"/>
      <c r="P77" s="272"/>
      <c r="Q77" s="272"/>
      <c r="R77" s="272"/>
      <c r="S77" s="272"/>
    </row>
    <row r="78" spans="1:19" x14ac:dyDescent="0.2">
      <c r="A78" s="1088"/>
      <c r="B78" s="1088"/>
      <c r="C78" s="1953"/>
      <c r="D78" s="1953"/>
      <c r="E78" s="1953"/>
      <c r="F78" s="1957"/>
      <c r="G78" s="1957"/>
      <c r="H78" s="1957"/>
      <c r="I78" s="1928"/>
      <c r="J78" s="1948"/>
      <c r="K78" s="1948"/>
      <c r="L78" s="1948"/>
      <c r="M78" s="1949"/>
      <c r="N78" s="1948"/>
      <c r="O78" s="272"/>
      <c r="P78" s="272"/>
      <c r="Q78" s="272"/>
      <c r="R78" s="272"/>
      <c r="S78" s="272"/>
    </row>
    <row r="79" spans="1:19" x14ac:dyDescent="0.2">
      <c r="A79" s="1088"/>
      <c r="B79" s="1088"/>
      <c r="C79" s="3" t="s">
        <v>5489</v>
      </c>
      <c r="D79" s="2253"/>
      <c r="E79" s="2253"/>
      <c r="F79" s="2253"/>
      <c r="G79" s="2253"/>
      <c r="H79" s="2253"/>
      <c r="I79" s="2253"/>
      <c r="J79" s="2253"/>
      <c r="K79" s="2253"/>
      <c r="L79" s="3"/>
      <c r="M79" s="3"/>
      <c r="N79" s="203"/>
      <c r="O79" s="203"/>
      <c r="P79" s="272"/>
      <c r="Q79" s="272"/>
      <c r="R79" s="272"/>
      <c r="S79" s="272"/>
    </row>
    <row r="80" spans="1:19" x14ac:dyDescent="0.2">
      <c r="A80" s="1088"/>
      <c r="B80" s="1088"/>
      <c r="C80" s="3"/>
      <c r="D80" s="2253"/>
      <c r="E80" s="2253"/>
      <c r="F80" s="2253"/>
      <c r="G80" s="2253"/>
      <c r="H80" s="2253"/>
      <c r="I80" s="2253"/>
      <c r="J80" s="2253"/>
      <c r="K80" s="2253"/>
      <c r="L80" s="3"/>
      <c r="M80" s="3"/>
      <c r="N80" s="203"/>
      <c r="O80" s="203"/>
      <c r="P80" s="272"/>
      <c r="Q80" s="272"/>
      <c r="R80" s="272"/>
      <c r="S80" s="272"/>
    </row>
    <row r="81" spans="1:20" x14ac:dyDescent="0.2">
      <c r="A81" s="1088"/>
      <c r="B81" s="1088"/>
      <c r="C81" s="1951" t="s">
        <v>4537</v>
      </c>
      <c r="D81" s="1952"/>
      <c r="E81" s="1952"/>
      <c r="F81" s="1089"/>
      <c r="G81" s="1089"/>
      <c r="H81" s="1089"/>
      <c r="I81" s="1951" t="s">
        <v>4516</v>
      </c>
      <c r="J81" s="1952"/>
      <c r="K81" s="1952"/>
      <c r="L81" s="1949"/>
      <c r="M81" s="2252" t="s">
        <v>5487</v>
      </c>
      <c r="N81" s="1934"/>
      <c r="O81" s="1952"/>
      <c r="P81" s="272"/>
      <c r="Q81" s="2252" t="s">
        <v>5548</v>
      </c>
      <c r="R81" s="1934"/>
      <c r="S81" s="1952"/>
    </row>
    <row r="82" spans="1:20" x14ac:dyDescent="0.2">
      <c r="A82" s="1088"/>
      <c r="B82" s="1088"/>
      <c r="C82" s="2471"/>
      <c r="D82" s="2471"/>
      <c r="E82" s="2471"/>
      <c r="F82" s="1928"/>
      <c r="G82" s="1928"/>
      <c r="H82" s="1928"/>
      <c r="I82" s="2476"/>
      <c r="J82" s="2476"/>
      <c r="K82" s="2476"/>
      <c r="L82" s="1949"/>
      <c r="M82" s="2476"/>
      <c r="N82" s="2476"/>
      <c r="O82" s="2476"/>
      <c r="P82" s="272"/>
      <c r="Q82" s="2476"/>
      <c r="R82" s="2476"/>
      <c r="S82" s="2476"/>
    </row>
    <row r="83" spans="1:20" x14ac:dyDescent="0.2">
      <c r="A83" s="1088"/>
      <c r="B83" s="1088"/>
      <c r="C83" s="2471"/>
      <c r="D83" s="2471"/>
      <c r="E83" s="2471"/>
      <c r="F83" s="1928"/>
      <c r="G83" s="1928"/>
      <c r="H83" s="1928"/>
      <c r="I83" s="2476"/>
      <c r="J83" s="2476"/>
      <c r="K83" s="2476"/>
      <c r="L83" s="1949"/>
      <c r="M83" s="2476"/>
      <c r="N83" s="2476"/>
      <c r="O83" s="2476"/>
      <c r="P83" s="272"/>
      <c r="Q83" s="2476"/>
      <c r="R83" s="2476"/>
      <c r="S83" s="2476"/>
    </row>
    <row r="84" spans="1:20" x14ac:dyDescent="0.2">
      <c r="A84" s="1088"/>
      <c r="B84" s="1088"/>
      <c r="C84" s="2471"/>
      <c r="D84" s="2471"/>
      <c r="E84" s="2471"/>
      <c r="F84" s="1928"/>
      <c r="G84" s="1928"/>
      <c r="H84" s="1928"/>
      <c r="I84" s="2476"/>
      <c r="J84" s="2476"/>
      <c r="K84" s="2476"/>
      <c r="L84" s="1949"/>
      <c r="M84" s="2476"/>
      <c r="N84" s="2476"/>
      <c r="O84" s="2476"/>
      <c r="P84" s="272"/>
      <c r="Q84" s="2476"/>
      <c r="R84" s="2476"/>
      <c r="S84" s="2476"/>
    </row>
    <row r="85" spans="1:20" x14ac:dyDescent="0.2">
      <c r="A85" s="1088"/>
      <c r="B85" s="1088"/>
      <c r="C85" s="1947"/>
      <c r="D85" s="1947"/>
      <c r="E85" s="1947"/>
      <c r="F85" s="1928"/>
      <c r="G85" s="1928"/>
      <c r="H85" s="1928"/>
      <c r="I85" s="1948"/>
      <c r="J85" s="1948"/>
      <c r="K85" s="1948"/>
      <c r="L85" s="1949"/>
      <c r="M85" s="1948"/>
      <c r="N85" s="1948"/>
      <c r="O85" s="1948"/>
      <c r="P85" s="272"/>
      <c r="Q85" s="1948"/>
      <c r="R85" s="1948"/>
      <c r="S85" s="1948"/>
    </row>
    <row r="86" spans="1:20" x14ac:dyDescent="0.2">
      <c r="A86" s="1088"/>
      <c r="B86" s="1088"/>
      <c r="C86" s="1947"/>
      <c r="D86" s="1947"/>
      <c r="E86" s="1947"/>
      <c r="F86" s="1928" t="s">
        <v>5549</v>
      </c>
      <c r="G86" s="1928"/>
      <c r="H86" s="1928"/>
      <c r="I86" s="1948"/>
      <c r="J86" s="1948"/>
      <c r="K86" s="1948"/>
      <c r="L86" s="1949"/>
      <c r="M86" s="1948">
        <f>SUM(M82:M85)</f>
        <v>0</v>
      </c>
      <c r="N86" s="1948"/>
      <c r="O86" s="1948"/>
      <c r="P86" s="272"/>
      <c r="Q86" s="1948"/>
      <c r="R86" s="1948"/>
      <c r="S86" s="1948"/>
    </row>
    <row r="87" spans="1:20" x14ac:dyDescent="0.2">
      <c r="A87" s="1088"/>
      <c r="B87" s="1088"/>
      <c r="C87" s="1947"/>
      <c r="D87" s="1947"/>
      <c r="E87" s="1947"/>
      <c r="F87" s="1928" t="s">
        <v>5551</v>
      </c>
      <c r="G87" s="1928"/>
      <c r="H87" s="1928"/>
      <c r="I87" s="1948"/>
      <c r="J87" s="1948"/>
      <c r="K87" s="1948"/>
      <c r="L87" s="1949"/>
      <c r="M87" s="1948">
        <f>M86-M77</f>
        <v>0</v>
      </c>
      <c r="N87" s="1948"/>
      <c r="O87" s="1948"/>
      <c r="P87" s="272"/>
      <c r="Q87" s="1948"/>
      <c r="R87" s="1948"/>
      <c r="S87" s="1948"/>
    </row>
    <row r="88" spans="1:20" x14ac:dyDescent="0.2">
      <c r="A88" s="1088"/>
      <c r="B88" s="1088"/>
      <c r="C88" s="1947"/>
      <c r="D88" s="1947"/>
      <c r="E88" s="1947"/>
      <c r="F88" s="1928"/>
      <c r="G88" s="1928"/>
      <c r="H88" s="1928"/>
      <c r="I88" s="1948"/>
      <c r="J88" s="1948"/>
      <c r="K88" s="1948"/>
      <c r="L88" s="1949"/>
      <c r="M88" s="1948"/>
      <c r="N88" s="1948"/>
      <c r="O88" s="1948"/>
      <c r="P88" s="272"/>
      <c r="Q88" s="1948"/>
      <c r="R88" s="1948"/>
      <c r="S88" s="1948"/>
    </row>
    <row r="89" spans="1:20" x14ac:dyDescent="0.2">
      <c r="A89" s="1088"/>
      <c r="B89" s="1088"/>
      <c r="C89" s="1928" t="s">
        <v>5488</v>
      </c>
      <c r="D89" s="1947"/>
      <c r="E89" s="1947"/>
      <c r="F89" s="1089"/>
      <c r="G89" s="1089"/>
      <c r="H89" s="1089"/>
      <c r="I89" s="1948"/>
      <c r="J89" s="1948"/>
      <c r="K89" s="1948"/>
      <c r="L89" s="272"/>
      <c r="M89" s="272"/>
      <c r="N89" s="272"/>
      <c r="O89" s="1948"/>
      <c r="P89" s="272"/>
      <c r="Q89" s="1948"/>
      <c r="R89" s="1948"/>
      <c r="S89" s="1948"/>
    </row>
    <row r="90" spans="1:20" x14ac:dyDescent="0.2">
      <c r="A90" s="1088"/>
      <c r="B90" s="1088"/>
      <c r="C90" s="1928"/>
      <c r="D90" s="1947"/>
      <c r="E90" s="1947"/>
      <c r="F90" s="1089"/>
      <c r="G90" s="1089"/>
      <c r="H90" s="1089"/>
      <c r="I90" s="1948"/>
      <c r="J90" s="1948"/>
      <c r="K90" s="1948"/>
      <c r="L90" s="272"/>
      <c r="M90" s="272"/>
      <c r="N90" s="272"/>
      <c r="O90" s="1948"/>
      <c r="P90" s="272"/>
      <c r="Q90" s="1948"/>
      <c r="R90" s="1948"/>
      <c r="S90" s="1948"/>
    </row>
    <row r="91" spans="1:20" x14ac:dyDescent="0.2">
      <c r="A91" s="1088"/>
      <c r="B91" s="1089" t="s">
        <v>5490</v>
      </c>
      <c r="C91" s="1947"/>
      <c r="D91" s="1947"/>
      <c r="E91" s="1947"/>
      <c r="F91" s="1928"/>
      <c r="G91" s="1928"/>
      <c r="H91" s="1928"/>
      <c r="I91" s="1948"/>
      <c r="J91" s="1948"/>
      <c r="K91" s="1948"/>
      <c r="L91" s="1949"/>
      <c r="M91" s="1948"/>
      <c r="N91" s="1948"/>
      <c r="O91" s="1948"/>
      <c r="P91" s="272"/>
      <c r="Q91" s="1948"/>
      <c r="R91" s="1948"/>
      <c r="S91" s="1948"/>
    </row>
    <row r="92" spans="1:20" x14ac:dyDescent="0.2">
      <c r="A92"/>
      <c r="B92"/>
    </row>
    <row r="93" spans="1:20" x14ac:dyDescent="0.2">
      <c r="A93" s="1088"/>
      <c r="B93" s="1088"/>
      <c r="C93" s="1947"/>
      <c r="D93" s="1946" t="s">
        <v>85</v>
      </c>
      <c r="E93" s="1997"/>
      <c r="F93" s="1946"/>
      <c r="G93" s="272"/>
      <c r="H93" s="272"/>
      <c r="I93" s="1946" t="s">
        <v>86</v>
      </c>
      <c r="J93" s="1997"/>
      <c r="K93" s="1928"/>
      <c r="L93" s="1949"/>
      <c r="M93" s="1949"/>
      <c r="N93" s="272"/>
      <c r="O93" s="272"/>
      <c r="P93" s="272"/>
      <c r="Q93" s="272"/>
      <c r="R93" s="272"/>
      <c r="S93" s="272"/>
      <c r="T93" s="1443" t="str">
        <f>IF(AND(ISBLANK($E$93),ISBLANK($J$93))=TRUE,"Answer Missing"," ")</f>
        <v>Answer Missing</v>
      </c>
    </row>
    <row r="94" spans="1:20" x14ac:dyDescent="0.2">
      <c r="A94"/>
      <c r="B94"/>
    </row>
    <row r="95" spans="1:20" x14ac:dyDescent="0.2">
      <c r="A95" s="1088"/>
      <c r="B95" s="1088"/>
      <c r="C95" s="1953" t="s">
        <v>5491</v>
      </c>
      <c r="D95" s="1947"/>
      <c r="E95" s="1947"/>
      <c r="F95" s="1089"/>
      <c r="G95" s="1089"/>
      <c r="H95" s="1089"/>
      <c r="I95" s="1948"/>
      <c r="J95" s="1948"/>
      <c r="K95" s="1948"/>
      <c r="L95" s="272"/>
      <c r="M95" s="272"/>
      <c r="N95" s="272"/>
      <c r="O95" s="272"/>
      <c r="P95" s="272"/>
      <c r="Q95" s="1948"/>
      <c r="R95" s="1948"/>
      <c r="S95" s="1948"/>
    </row>
    <row r="96" spans="1:20" x14ac:dyDescent="0.2">
      <c r="A96" s="1088"/>
      <c r="B96" s="1088"/>
      <c r="C96" s="1947"/>
      <c r="D96" s="1947"/>
      <c r="E96" s="1947"/>
      <c r="F96" s="1928"/>
      <c r="G96" s="1928"/>
      <c r="H96" s="1928"/>
      <c r="I96" s="1948"/>
      <c r="J96" s="1948"/>
      <c r="K96" s="1948"/>
      <c r="L96" s="1949"/>
      <c r="M96" s="1948"/>
      <c r="N96" s="1948"/>
      <c r="O96" s="1948"/>
      <c r="P96" s="272"/>
      <c r="Q96" s="1948"/>
      <c r="R96" s="1948"/>
      <c r="S96" s="1948"/>
    </row>
    <row r="97" spans="1:19" x14ac:dyDescent="0.2">
      <c r="A97" s="1088"/>
      <c r="B97" s="1088"/>
      <c r="C97" s="1951" t="s">
        <v>4537</v>
      </c>
      <c r="D97" s="1952"/>
      <c r="E97" s="1952"/>
      <c r="F97" s="1089"/>
      <c r="G97" s="1089"/>
      <c r="H97" s="1089"/>
      <c r="I97" s="1951" t="s">
        <v>4516</v>
      </c>
      <c r="J97" s="1952"/>
      <c r="K97" s="1952"/>
      <c r="L97" s="1949"/>
      <c r="M97" s="2252" t="s">
        <v>5487</v>
      </c>
      <c r="N97" s="1934"/>
      <c r="O97" s="1952"/>
      <c r="P97" s="272"/>
      <c r="Q97" s="2252"/>
      <c r="R97" s="1934"/>
      <c r="S97" s="1952"/>
    </row>
    <row r="98" spans="1:19" x14ac:dyDescent="0.2">
      <c r="A98" s="1088"/>
      <c r="B98" s="1088"/>
      <c r="C98" s="2471"/>
      <c r="D98" s="2471"/>
      <c r="E98" s="2471"/>
      <c r="F98" s="1928"/>
      <c r="G98" s="1928"/>
      <c r="H98" s="1928"/>
      <c r="I98" s="2476" t="s">
        <v>973</v>
      </c>
      <c r="J98" s="2476"/>
      <c r="K98" s="2476"/>
      <c r="L98" s="1949"/>
      <c r="M98" s="2476">
        <v>0</v>
      </c>
      <c r="N98" s="2476"/>
      <c r="O98" s="2476"/>
      <c r="P98" s="272"/>
      <c r="Q98" s="2477"/>
      <c r="R98" s="2477"/>
      <c r="S98" s="2477"/>
    </row>
    <row r="99" spans="1:19" x14ac:dyDescent="0.2">
      <c r="A99" s="1088"/>
      <c r="B99" s="1088"/>
      <c r="C99" s="2471"/>
      <c r="D99" s="2471"/>
      <c r="E99" s="2471"/>
      <c r="F99" s="1928"/>
      <c r="G99" s="1928"/>
      <c r="H99" s="1928"/>
      <c r="I99" s="2476"/>
      <c r="J99" s="2476"/>
      <c r="K99" s="2476"/>
      <c r="L99" s="1949"/>
      <c r="M99" s="2476"/>
      <c r="N99" s="2476"/>
      <c r="O99" s="2476"/>
      <c r="P99" s="272"/>
      <c r="Q99" s="2477"/>
      <c r="R99" s="2477"/>
      <c r="S99" s="2477"/>
    </row>
    <row r="100" spans="1:19" x14ac:dyDescent="0.2">
      <c r="A100" s="1088"/>
      <c r="B100" s="1088"/>
      <c r="C100" s="2471"/>
      <c r="D100" s="2471"/>
      <c r="E100" s="2471"/>
      <c r="F100" s="1928"/>
      <c r="G100" s="1928"/>
      <c r="H100" s="1928"/>
      <c r="I100" s="2476"/>
      <c r="J100" s="2476"/>
      <c r="K100" s="2476"/>
      <c r="L100" s="1949"/>
      <c r="M100" s="2476"/>
      <c r="N100" s="2476"/>
      <c r="O100" s="2476"/>
      <c r="P100" s="272"/>
      <c r="Q100" s="2477"/>
      <c r="R100" s="2477"/>
      <c r="S100" s="2477"/>
    </row>
    <row r="101" spans="1:19" x14ac:dyDescent="0.2">
      <c r="A101" s="1088"/>
      <c r="B101" s="1088"/>
      <c r="C101" s="1947"/>
      <c r="D101" s="1947"/>
      <c r="E101" s="1947"/>
      <c r="F101" s="1928"/>
      <c r="G101" s="1928"/>
      <c r="H101" s="1928"/>
      <c r="I101" s="1948"/>
      <c r="J101" s="1948"/>
      <c r="K101" s="1948"/>
      <c r="L101" s="1949"/>
      <c r="M101" s="1948"/>
      <c r="N101" s="1948"/>
      <c r="O101" s="1948"/>
      <c r="P101" s="272"/>
      <c r="Q101" s="1948"/>
      <c r="R101" s="1948"/>
      <c r="S101" s="1948"/>
    </row>
    <row r="102" spans="1:19" x14ac:dyDescent="0.2">
      <c r="A102" s="1088"/>
      <c r="B102" s="1088"/>
      <c r="C102" s="1947"/>
      <c r="D102" s="1947"/>
      <c r="E102" s="1947"/>
      <c r="F102" s="1928" t="s">
        <v>5550</v>
      </c>
      <c r="G102" s="1928"/>
      <c r="H102" s="1948"/>
      <c r="I102" s="1948"/>
      <c r="J102" s="1948"/>
      <c r="K102" s="1948"/>
      <c r="L102" s="1949"/>
      <c r="M102" s="1948">
        <f>SUM(M98:M101)</f>
        <v>0</v>
      </c>
      <c r="N102" s="1948"/>
      <c r="O102" s="1948"/>
      <c r="P102" s="272"/>
      <c r="Q102" s="1948"/>
      <c r="R102" s="1948"/>
      <c r="S102" s="1948"/>
    </row>
    <row r="103" spans="1:19" x14ac:dyDescent="0.2">
      <c r="A103" s="1088"/>
      <c r="B103" s="1088"/>
      <c r="C103" s="1947"/>
      <c r="D103" s="1947"/>
      <c r="E103" s="1947"/>
      <c r="F103" s="1928" t="s">
        <v>5552</v>
      </c>
      <c r="G103" s="1928"/>
      <c r="H103" s="1928"/>
      <c r="I103" s="1948"/>
      <c r="J103" s="1948"/>
      <c r="K103" s="1948"/>
      <c r="L103" s="1949"/>
      <c r="M103" s="1948">
        <f>M102</f>
        <v>0</v>
      </c>
      <c r="N103" s="1948"/>
      <c r="O103" s="1948"/>
      <c r="P103" s="272"/>
      <c r="Q103" s="1948"/>
      <c r="R103" s="1948"/>
      <c r="S103" s="1948"/>
    </row>
    <row r="104" spans="1:19" x14ac:dyDescent="0.2">
      <c r="A104" s="1088"/>
      <c r="B104" s="1088"/>
      <c r="C104" s="1947" t="s">
        <v>5554</v>
      </c>
      <c r="D104" s="1947"/>
      <c r="E104" s="1947"/>
      <c r="F104" s="1928"/>
      <c r="G104" s="1928"/>
      <c r="H104" s="1928"/>
      <c r="I104" s="1948"/>
      <c r="J104" s="1948"/>
      <c r="K104" s="1948"/>
      <c r="L104" s="1949"/>
      <c r="M104" s="1948"/>
      <c r="N104" s="1948"/>
      <c r="O104" s="1948"/>
      <c r="P104" s="272"/>
      <c r="Q104" s="1948"/>
      <c r="R104" s="1948"/>
      <c r="S104" s="1948"/>
    </row>
    <row r="105" spans="1:19" x14ac:dyDescent="0.2">
      <c r="A105" s="1088"/>
      <c r="B105" s="1088"/>
      <c r="C105" s="1947"/>
      <c r="D105" s="1947"/>
      <c r="E105" s="1947"/>
      <c r="F105" s="1928"/>
      <c r="G105" s="1928"/>
      <c r="H105" s="1928"/>
      <c r="I105" s="1948"/>
      <c r="J105" s="1948"/>
      <c r="K105" s="1948"/>
      <c r="L105" s="1949"/>
      <c r="M105" s="1948"/>
      <c r="N105" s="1948"/>
      <c r="O105" s="1948"/>
      <c r="P105" s="272"/>
      <c r="Q105" s="1948"/>
      <c r="R105" s="1948"/>
      <c r="S105" s="1948"/>
    </row>
    <row r="106" spans="1:19" x14ac:dyDescent="0.2">
      <c r="A106" s="1088"/>
      <c r="B106" s="1088"/>
      <c r="C106" s="1928" t="s">
        <v>5488</v>
      </c>
      <c r="D106" s="1947"/>
      <c r="E106" s="1947"/>
      <c r="F106" s="1089"/>
      <c r="G106" s="1089"/>
      <c r="H106" s="1089"/>
      <c r="I106" s="1948"/>
      <c r="J106" s="1948"/>
      <c r="K106" s="1948"/>
      <c r="L106" s="272"/>
      <c r="M106" s="272"/>
      <c r="N106" s="1948"/>
      <c r="O106" s="1948"/>
      <c r="P106" s="272"/>
      <c r="Q106" s="1948"/>
      <c r="R106" s="1948"/>
      <c r="S106" s="1948"/>
    </row>
    <row r="107" spans="1:19" x14ac:dyDescent="0.2">
      <c r="A107" s="1088"/>
      <c r="B107" s="1088"/>
      <c r="C107" s="1928"/>
      <c r="D107" s="1947"/>
      <c r="E107" s="1947"/>
      <c r="F107" s="1089"/>
      <c r="G107" s="1089"/>
      <c r="H107" s="1089"/>
      <c r="I107" s="1948"/>
      <c r="J107" s="1948"/>
      <c r="K107" s="1948"/>
      <c r="L107" s="272"/>
      <c r="M107" s="272"/>
      <c r="N107" s="1948"/>
      <c r="O107" s="1948"/>
      <c r="P107" s="272"/>
      <c r="Q107" s="1948"/>
      <c r="R107" s="1948"/>
      <c r="S107" s="1948"/>
    </row>
    <row r="108" spans="1:19" x14ac:dyDescent="0.2">
      <c r="A108" s="1088"/>
      <c r="B108" s="1088"/>
      <c r="C108" s="1928"/>
      <c r="D108" s="1947"/>
      <c r="E108" s="1947"/>
      <c r="F108" s="1089"/>
      <c r="G108" s="1089"/>
      <c r="H108" s="1089"/>
      <c r="I108" s="1948"/>
      <c r="J108" s="1948"/>
      <c r="K108" s="1948"/>
      <c r="L108" s="272"/>
      <c r="M108" s="272"/>
      <c r="N108" s="1948"/>
      <c r="O108" s="1948"/>
      <c r="P108" s="272"/>
      <c r="Q108" s="1948"/>
      <c r="R108" s="1948"/>
      <c r="S108" s="1948"/>
    </row>
    <row r="109" spans="1:19" x14ac:dyDescent="0.2">
      <c r="A109" s="1088"/>
      <c r="B109" s="1088"/>
      <c r="C109" s="2315" t="s">
        <v>5553</v>
      </c>
      <c r="D109" s="2315"/>
      <c r="E109" s="2315"/>
      <c r="F109" s="2316"/>
      <c r="G109" s="2316"/>
      <c r="H109" s="2316"/>
      <c r="I109" s="2317"/>
      <c r="J109" s="2317"/>
      <c r="K109" s="2317"/>
      <c r="L109" s="2318"/>
      <c r="M109" s="2317">
        <f>M87+M102</f>
        <v>0</v>
      </c>
      <c r="N109" s="1948"/>
      <c r="O109" s="1948"/>
      <c r="P109" s="272"/>
      <c r="Q109" s="1948"/>
      <c r="R109" s="1948"/>
      <c r="S109" s="1948"/>
    </row>
    <row r="110" spans="1:19" x14ac:dyDescent="0.2">
      <c r="A110" s="1088"/>
      <c r="B110" s="1088"/>
      <c r="C110" s="1947"/>
      <c r="D110" s="1947"/>
      <c r="E110" s="1947"/>
      <c r="F110" s="1928"/>
      <c r="G110" s="1928"/>
      <c r="H110" s="1928"/>
      <c r="I110" s="1948"/>
      <c r="J110" s="1948"/>
      <c r="K110" s="1948"/>
      <c r="L110" s="1949"/>
      <c r="M110" s="1948"/>
      <c r="N110" s="1948"/>
      <c r="O110" s="1948"/>
      <c r="P110" s="272"/>
      <c r="Q110" s="1948"/>
      <c r="R110" s="1948"/>
      <c r="S110" s="1948"/>
    </row>
    <row r="111" spans="1:19" x14ac:dyDescent="0.2">
      <c r="A111" s="1088"/>
      <c r="B111" s="1088"/>
      <c r="C111" s="1947"/>
      <c r="D111" s="1947"/>
      <c r="E111" s="1947"/>
      <c r="F111" s="1928"/>
      <c r="G111" s="1928"/>
      <c r="H111" s="1928"/>
      <c r="I111" s="1948"/>
      <c r="J111" s="1948"/>
      <c r="K111" s="1948"/>
      <c r="L111" s="1949"/>
      <c r="M111" s="1948"/>
      <c r="N111" s="1948"/>
      <c r="O111" s="1948"/>
      <c r="P111" s="272"/>
      <c r="Q111" s="1948"/>
      <c r="R111" s="1948"/>
      <c r="S111" s="1948"/>
    </row>
    <row r="112" spans="1:19" x14ac:dyDescent="0.2">
      <c r="A112" s="1088"/>
      <c r="B112" s="1089"/>
      <c r="C112" s="1928"/>
      <c r="D112" s="1947"/>
      <c r="E112" s="1947"/>
      <c r="F112" s="1089"/>
      <c r="G112" s="1089"/>
      <c r="H112" s="1089"/>
      <c r="I112" s="1948"/>
      <c r="J112" s="1948"/>
      <c r="K112" s="1948"/>
      <c r="L112" s="272"/>
      <c r="M112" s="272"/>
      <c r="N112" s="272"/>
      <c r="O112" s="272"/>
      <c r="P112" s="272"/>
      <c r="Q112" s="272"/>
      <c r="R112" s="272"/>
      <c r="S112" s="272"/>
    </row>
    <row r="113" spans="1:19" x14ac:dyDescent="0.2">
      <c r="A113" s="1945"/>
      <c r="B113" s="1945"/>
      <c r="C113" s="1946"/>
      <c r="D113" s="1946"/>
      <c r="E113" s="1946"/>
      <c r="F113" s="1946"/>
      <c r="G113" s="1946"/>
      <c r="H113" s="1946"/>
      <c r="I113" s="1946"/>
      <c r="J113" s="1946"/>
      <c r="K113" s="1946"/>
      <c r="L113" s="272"/>
      <c r="M113" s="272"/>
      <c r="N113" s="272"/>
      <c r="O113" s="272"/>
      <c r="P113" s="272"/>
      <c r="Q113" s="272"/>
      <c r="R113" s="272"/>
      <c r="S113" s="272"/>
    </row>
    <row r="114" spans="1:19" x14ac:dyDescent="0.2">
      <c r="A114" s="1945"/>
      <c r="B114" s="1945"/>
      <c r="C114" s="1946"/>
      <c r="D114" s="1946"/>
      <c r="E114" s="1946"/>
      <c r="F114" s="1946"/>
      <c r="G114" s="1946"/>
      <c r="H114" s="1946"/>
      <c r="I114" s="1946"/>
      <c r="J114" s="1946"/>
      <c r="K114" s="1946"/>
      <c r="L114" s="272"/>
      <c r="M114" s="272"/>
      <c r="N114" s="272"/>
      <c r="O114" s="272"/>
      <c r="P114" s="272"/>
      <c r="Q114" s="272"/>
      <c r="R114" s="272"/>
      <c r="S114" s="272"/>
    </row>
    <row r="115" spans="1:19" x14ac:dyDescent="0.2">
      <c r="A115"/>
      <c r="B115"/>
    </row>
    <row r="116" spans="1:19" x14ac:dyDescent="0.2">
      <c r="A116" s="1945"/>
      <c r="B116" s="1945"/>
      <c r="C116" s="1946" t="s">
        <v>5492</v>
      </c>
      <c r="D116" s="1946"/>
      <c r="E116" s="1946"/>
      <c r="F116" s="1946"/>
      <c r="G116" s="1946"/>
      <c r="H116" s="1946"/>
      <c r="I116" s="1946"/>
      <c r="J116" s="1946"/>
      <c r="K116" s="1946"/>
      <c r="L116" s="272"/>
      <c r="M116" s="272"/>
      <c r="N116" s="272"/>
      <c r="O116" s="272"/>
      <c r="P116" s="272"/>
      <c r="Q116" s="272"/>
      <c r="R116" s="272"/>
      <c r="S116" s="272"/>
    </row>
    <row r="117" spans="1:19" x14ac:dyDescent="0.2">
      <c r="A117" s="1945"/>
      <c r="B117" s="1945"/>
      <c r="C117" s="1999" t="s">
        <v>5243</v>
      </c>
      <c r="D117" s="1999"/>
      <c r="E117" s="1201"/>
      <c r="F117" s="1999"/>
      <c r="G117" s="1999"/>
      <c r="H117" s="1999"/>
      <c r="I117" s="1999"/>
      <c r="J117" s="1999"/>
      <c r="K117" s="1946"/>
      <c r="L117" s="272"/>
      <c r="M117" s="272"/>
      <c r="N117" s="272"/>
      <c r="O117" s="272"/>
      <c r="P117" s="272"/>
      <c r="Q117" s="272"/>
      <c r="R117" s="272"/>
      <c r="S117" s="272"/>
    </row>
    <row r="118" spans="1:19" x14ac:dyDescent="0.2">
      <c r="A118" s="1945"/>
      <c r="B118" s="1945"/>
      <c r="C118" s="1946"/>
      <c r="D118" s="1946"/>
      <c r="E118" s="1946"/>
      <c r="F118" s="1946"/>
      <c r="G118" s="1946"/>
      <c r="H118" s="1946"/>
      <c r="I118" s="1946"/>
      <c r="J118" s="1946"/>
      <c r="K118" s="1946"/>
      <c r="L118" s="272"/>
      <c r="M118" s="272"/>
      <c r="N118" s="272"/>
      <c r="O118" s="272"/>
      <c r="P118" s="272"/>
      <c r="Q118" s="272"/>
      <c r="R118" s="272"/>
      <c r="S118" s="272"/>
    </row>
    <row r="119" spans="1:19" x14ac:dyDescent="0.2">
      <c r="A119" s="1945"/>
      <c r="B119" s="1945"/>
      <c r="C119" s="1946"/>
      <c r="D119" s="1946"/>
      <c r="E119" s="1946"/>
      <c r="F119" s="1946"/>
      <c r="G119" s="1946"/>
      <c r="H119" s="1946"/>
      <c r="I119" s="1946"/>
      <c r="J119" s="1946"/>
      <c r="K119" s="1946"/>
      <c r="L119" s="272"/>
      <c r="M119" s="272"/>
      <c r="N119" s="272"/>
      <c r="O119" s="272"/>
      <c r="P119" s="272"/>
      <c r="Q119" s="272"/>
      <c r="R119" s="272"/>
      <c r="S119" s="272"/>
    </row>
    <row r="120" spans="1:19" x14ac:dyDescent="0.2">
      <c r="A120" s="1945"/>
      <c r="B120" s="1945"/>
      <c r="C120" s="1999"/>
      <c r="D120" s="1999"/>
      <c r="E120" s="1999"/>
      <c r="F120" s="1946"/>
      <c r="G120" s="1946"/>
      <c r="H120" s="1946"/>
      <c r="I120" s="1946"/>
      <c r="J120" s="1946"/>
      <c r="K120" s="1946"/>
      <c r="L120" s="272"/>
      <c r="M120" s="272"/>
      <c r="N120" s="272"/>
      <c r="O120" s="272"/>
      <c r="P120" s="272"/>
      <c r="Q120" s="272"/>
      <c r="R120" s="272"/>
      <c r="S120" s="272"/>
    </row>
    <row r="121" spans="1:19" x14ac:dyDescent="0.2">
      <c r="A121" s="1945"/>
      <c r="B121" s="1945"/>
      <c r="C121" s="2478" t="s">
        <v>4539</v>
      </c>
      <c r="D121" s="2478"/>
      <c r="E121" s="2478"/>
      <c r="F121" s="1946"/>
      <c r="G121" s="1946"/>
      <c r="H121" s="1946"/>
      <c r="I121" s="1946"/>
      <c r="J121" s="1946"/>
      <c r="K121" s="1946"/>
      <c r="L121" s="272"/>
      <c r="M121" s="272"/>
      <c r="N121" s="272"/>
      <c r="O121" s="272"/>
      <c r="P121" s="272"/>
      <c r="Q121" s="272"/>
      <c r="R121" s="272"/>
      <c r="S121" s="272"/>
    </row>
    <row r="122" spans="1:19" ht="17.25" customHeight="1" x14ac:dyDescent="0.2">
      <c r="A122" s="1945"/>
      <c r="B122" s="1945"/>
      <c r="C122" s="2479"/>
      <c r="D122" s="2479"/>
      <c r="E122" s="2479"/>
      <c r="F122" s="1946"/>
      <c r="G122" s="2480"/>
      <c r="H122" s="2479"/>
      <c r="I122" s="2479"/>
      <c r="J122" s="2479"/>
      <c r="K122" s="1946"/>
      <c r="L122" s="272"/>
      <c r="M122" s="272"/>
      <c r="N122" s="272"/>
      <c r="O122" s="272"/>
      <c r="P122" s="272"/>
      <c r="Q122" s="272"/>
      <c r="R122" s="272"/>
      <c r="S122" s="272"/>
    </row>
    <row r="123" spans="1:19" x14ac:dyDescent="0.2">
      <c r="A123" s="1945"/>
      <c r="B123" s="1945"/>
      <c r="C123" s="2478" t="s">
        <v>4540</v>
      </c>
      <c r="D123" s="2478"/>
      <c r="E123" s="2478"/>
      <c r="F123" s="1946"/>
      <c r="G123" s="2478" t="s">
        <v>1307</v>
      </c>
      <c r="H123" s="2478"/>
      <c r="I123" s="2478"/>
      <c r="J123" s="2478"/>
      <c r="K123" s="1946"/>
      <c r="L123" s="272"/>
      <c r="M123" s="272"/>
      <c r="N123" s="272"/>
      <c r="O123" s="272"/>
      <c r="P123" s="272"/>
      <c r="Q123" s="272"/>
      <c r="R123" s="272"/>
      <c r="S123" s="272"/>
    </row>
    <row r="124" spans="1:19" x14ac:dyDescent="0.2">
      <c r="A124" s="1945"/>
      <c r="B124" s="1945"/>
      <c r="C124" s="1946"/>
      <c r="D124" s="1946"/>
      <c r="E124" s="1946"/>
      <c r="F124" s="1946"/>
      <c r="G124" s="1946"/>
      <c r="H124" s="1946"/>
      <c r="I124" s="1946"/>
      <c r="J124" s="1946"/>
      <c r="K124" s="1946"/>
      <c r="L124" s="272"/>
      <c r="M124" s="272"/>
      <c r="N124" s="272"/>
      <c r="O124" s="272"/>
      <c r="P124" s="272"/>
      <c r="Q124" s="272"/>
      <c r="R124" s="272"/>
      <c r="S124" s="272"/>
    </row>
    <row r="125" spans="1:19" x14ac:dyDescent="0.2">
      <c r="A125" s="1945"/>
      <c r="B125" s="1945"/>
      <c r="C125" s="1946"/>
      <c r="D125" s="1946"/>
      <c r="E125" s="1946"/>
      <c r="F125" s="1946"/>
      <c r="G125" s="1946"/>
      <c r="H125" s="1946"/>
      <c r="I125" s="1946"/>
      <c r="J125" s="1946"/>
      <c r="K125" s="1946"/>
    </row>
  </sheetData>
  <sheetProtection algorithmName="SHA-512" hashValue="UPDdVj0ByOqjv6LLeevgMzSNyOi4Z0r/bCKFUK3htr+6CukGeRioEFB7XDMxFk+0TwvkvSN48mF16AqiS7yaDw==" saltValue="Y8kzO3yGsX8BBoK74D7Eaw==" spinCount="100000" sheet="1" objects="1" scenarios="1" autoFilter="0"/>
  <mergeCells count="76">
    <mergeCell ref="P10:R10"/>
    <mergeCell ref="S1:S3"/>
    <mergeCell ref="P7:R7"/>
    <mergeCell ref="P8:R8"/>
    <mergeCell ref="P9:R9"/>
    <mergeCell ref="C35:E35"/>
    <mergeCell ref="I35:K35"/>
    <mergeCell ref="O35:Q35"/>
    <mergeCell ref="C36:E36"/>
    <mergeCell ref="I36:K36"/>
    <mergeCell ref="O36:Q36"/>
    <mergeCell ref="I57:K57"/>
    <mergeCell ref="O57:Q57"/>
    <mergeCell ref="C37:E37"/>
    <mergeCell ref="I37:K37"/>
    <mergeCell ref="O37:Q37"/>
    <mergeCell ref="C38:E38"/>
    <mergeCell ref="I38:K38"/>
    <mergeCell ref="O38:Q38"/>
    <mergeCell ref="C121:E121"/>
    <mergeCell ref="C123:E123"/>
    <mergeCell ref="G123:J123"/>
    <mergeCell ref="C122:E122"/>
    <mergeCell ref="G122:J122"/>
    <mergeCell ref="C60:E60"/>
    <mergeCell ref="I60:K60"/>
    <mergeCell ref="O60:Q60"/>
    <mergeCell ref="C39:E39"/>
    <mergeCell ref="I39:K39"/>
    <mergeCell ref="O39:Q39"/>
    <mergeCell ref="C58:E58"/>
    <mergeCell ref="I58:K58"/>
    <mergeCell ref="O58:Q58"/>
    <mergeCell ref="C59:E59"/>
    <mergeCell ref="I59:K59"/>
    <mergeCell ref="O59:Q59"/>
    <mergeCell ref="C56:E56"/>
    <mergeCell ref="I56:K56"/>
    <mergeCell ref="O56:Q56"/>
    <mergeCell ref="C57:E57"/>
    <mergeCell ref="C73:E73"/>
    <mergeCell ref="I73:K73"/>
    <mergeCell ref="M73:O73"/>
    <mergeCell ref="Q73:S73"/>
    <mergeCell ref="C74:E74"/>
    <mergeCell ref="I74:K74"/>
    <mergeCell ref="M74:O74"/>
    <mergeCell ref="Q74:S74"/>
    <mergeCell ref="C75:E75"/>
    <mergeCell ref="I75:K75"/>
    <mergeCell ref="M75:O75"/>
    <mergeCell ref="Q75:S75"/>
    <mergeCell ref="C82:E82"/>
    <mergeCell ref="I82:K82"/>
    <mergeCell ref="M82:O82"/>
    <mergeCell ref="Q82:S82"/>
    <mergeCell ref="C83:E83"/>
    <mergeCell ref="I83:K83"/>
    <mergeCell ref="M83:O83"/>
    <mergeCell ref="Q83:S83"/>
    <mergeCell ref="C84:E84"/>
    <mergeCell ref="I84:K84"/>
    <mergeCell ref="M84:O84"/>
    <mergeCell ref="Q84:S84"/>
    <mergeCell ref="C100:E100"/>
    <mergeCell ref="I100:K100"/>
    <mergeCell ref="M100:O100"/>
    <mergeCell ref="Q100:S100"/>
    <mergeCell ref="C98:E98"/>
    <mergeCell ref="I98:K98"/>
    <mergeCell ref="M98:O98"/>
    <mergeCell ref="Q98:S98"/>
    <mergeCell ref="C99:E99"/>
    <mergeCell ref="I99:K99"/>
    <mergeCell ref="M99:O99"/>
    <mergeCell ref="Q99:S99"/>
  </mergeCells>
  <conditionalFormatting sqref="T1:T3">
    <cfRule type="cellIs" dxfId="160" priority="8" stopIfTrue="1" operator="equal">
      <formula>"na"</formula>
    </cfRule>
  </conditionalFormatting>
  <conditionalFormatting sqref="S1:S3">
    <cfRule type="cellIs" dxfId="159" priority="7" stopIfTrue="1" operator="equal">
      <formula>"na"</formula>
    </cfRule>
  </conditionalFormatting>
  <conditionalFormatting sqref="T16">
    <cfRule type="containsText" dxfId="158" priority="6" stopIfTrue="1" operator="containsText" text="Answer Missing">
      <formula>NOT(ISERROR(SEARCH("Answer Missing",T16)))</formula>
    </cfRule>
  </conditionalFormatting>
  <conditionalFormatting sqref="T28:T29">
    <cfRule type="containsText" dxfId="157" priority="5" stopIfTrue="1" operator="containsText" text="Answer Missing">
      <formula>NOT(ISERROR(SEARCH("Answer Missing",T28)))</formula>
    </cfRule>
  </conditionalFormatting>
  <conditionalFormatting sqref="T50">
    <cfRule type="containsText" dxfId="156" priority="4" stopIfTrue="1" operator="containsText" text="Answer Missing">
      <formula>NOT(ISERROR(SEARCH("Answer Missing",T50)))</formula>
    </cfRule>
  </conditionalFormatting>
  <conditionalFormatting sqref="T62">
    <cfRule type="containsText" dxfId="155" priority="3" stopIfTrue="1" operator="containsText" text="Answer Missing">
      <formula>NOT(ISERROR(SEARCH("Answer Missing",T62)))</formula>
    </cfRule>
  </conditionalFormatting>
  <conditionalFormatting sqref="T64">
    <cfRule type="containsText" dxfId="154" priority="2" stopIfTrue="1" operator="containsText" text="Answer Missing">
      <formula>NOT(ISERROR(SEARCH("Answer Missing",T64)))</formula>
    </cfRule>
  </conditionalFormatting>
  <conditionalFormatting sqref="T93">
    <cfRule type="containsText" dxfId="153" priority="1" stopIfTrue="1" operator="containsText" text="Answer Missing">
      <formula>NOT(ISERROR(SEARCH("Answer Missing",T93)))</formula>
    </cfRule>
  </conditionalFormatting>
  <dataValidations count="4">
    <dataValidation type="list" allowBlank="1" showInputMessage="1" showErrorMessage="1" sqref="M35:M39 M56:M60" xr:uid="{35C47201-C00D-4286-9324-B51FE6CB0AF5}">
      <formula1>"Acquisition, Retirement, Cost"</formula1>
    </dataValidation>
    <dataValidation type="decimal" operator="lessThanOrEqual" allowBlank="1" showInputMessage="1" showErrorMessage="1" sqref="T77" xr:uid="{EE14B19D-12A4-47E5-B378-16479DDDA1E9}">
      <formula1>0</formula1>
    </dataValidation>
    <dataValidation type="decimal" operator="lessThanOrEqual" allowBlank="1" showInputMessage="1" showErrorMessage="1" error="Amount must be negative." sqref="Q73:S75" xr:uid="{03A08CB5-BC01-44B8-87D1-A4FC3B17F7F0}">
      <formula1>0</formula1>
    </dataValidation>
    <dataValidation type="whole" operator="greaterThan" allowBlank="1" showInputMessage="1" showErrorMessage="1" error="Amount must be positive" sqref="M73:O75 M82:O84" xr:uid="{9504F22C-91EF-4FE2-B844-AE84F8DB9C43}">
      <formula1>0</formula1>
    </dataValidation>
  </dataValidations>
  <hyperlinks>
    <hyperlink ref="C1:L1" location="Index!A1" display="Index!A1" xr:uid="{D426925A-BA57-468F-9B85-CFCE9887AD49}"/>
  </hyperlinks>
  <pageMargins left="0.7" right="0.7" top="0.75" bottom="0.75" header="0.3" footer="0.3"/>
  <pageSetup scale="42" orientation="portrait" r:id="rId1"/>
  <headerFooter>
    <oddFooter>&amp;R203</oddFooter>
  </headerFooter>
  <ignoredErrors>
    <ignoredError sqref="M86 M87 M102:M103 M109 M77"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pageSetUpPr fitToPage="1"/>
  </sheetPr>
  <dimension ref="A1:V59"/>
  <sheetViews>
    <sheetView showGridLines="0" zoomScaleNormal="100" workbookViewId="0">
      <selection activeCell="G17" sqref="G17"/>
    </sheetView>
  </sheetViews>
  <sheetFormatPr defaultColWidth="8" defaultRowHeight="12.75" x14ac:dyDescent="0.2"/>
  <cols>
    <col min="1" max="1" width="0.28515625" style="927" customWidth="1"/>
    <col min="2" max="2" width="13" style="927" customWidth="1"/>
    <col min="3" max="3" width="3.5703125" style="927" customWidth="1"/>
    <col min="4" max="4" width="13" style="927" customWidth="1"/>
    <col min="5" max="5" width="12.85546875" style="927" customWidth="1"/>
    <col min="6" max="6" width="7" style="927" customWidth="1"/>
    <col min="7" max="7" width="20.42578125" style="927" customWidth="1"/>
    <col min="8" max="8" width="1.5703125" style="927" customWidth="1"/>
    <col min="9" max="9" width="14" style="927" customWidth="1"/>
    <col min="10" max="10" width="1.5703125" style="927" customWidth="1"/>
    <col min="11" max="11" width="14.5703125" style="927" customWidth="1"/>
    <col min="12" max="12" width="1.5703125" style="927" customWidth="1"/>
    <col min="13" max="13" width="20.5703125" style="927" customWidth="1"/>
    <col min="14" max="14" width="1.5703125" style="927" customWidth="1"/>
    <col min="15" max="15" width="21.28515625" style="927" customWidth="1"/>
    <col min="16" max="16" width="1.5703125" style="927" customWidth="1"/>
    <col min="17" max="17" width="21" style="927" customWidth="1"/>
    <col min="18" max="18" width="4.5703125" style="927" customWidth="1"/>
    <col min="19" max="20" width="14.42578125" style="927" customWidth="1"/>
    <col min="21" max="21" width="14.42578125" style="2118" customWidth="1"/>
    <col min="22" max="22" width="14.42578125" style="2115" customWidth="1"/>
    <col min="23" max="234" width="14.42578125" style="927" customWidth="1"/>
    <col min="235" max="16384" width="8" style="927"/>
  </cols>
  <sheetData>
    <row r="1" spans="2:22" s="465" customFormat="1" ht="15" customHeight="1" x14ac:dyDescent="0.25">
      <c r="B1" s="2482" t="str">
        <f>+Index!$A$1</f>
        <v xml:space="preserve">                                                               Office of the State Controller                                                                </v>
      </c>
      <c r="C1" s="2482"/>
      <c r="D1" s="2482"/>
      <c r="E1" s="2482"/>
      <c r="F1" s="2482"/>
      <c r="G1" s="2482"/>
      <c r="H1" s="2482"/>
      <c r="I1" s="2482"/>
      <c r="J1" s="2482"/>
      <c r="K1" s="2482"/>
      <c r="L1" s="2482"/>
      <c r="M1" s="2482"/>
      <c r="N1" s="2482"/>
      <c r="O1" s="2482"/>
      <c r="P1" s="2482"/>
      <c r="Q1" s="2482"/>
      <c r="R1" s="2457" t="str">
        <f>IF(Index!$B$24="na","NA","")</f>
        <v/>
      </c>
      <c r="S1" s="924"/>
      <c r="T1" s="924"/>
      <c r="U1" s="2119"/>
    </row>
    <row r="2" spans="2:22" s="465" customFormat="1" ht="15" customHeight="1" x14ac:dyDescent="0.25">
      <c r="B2" s="2483" t="str">
        <f>+Index!$A$2</f>
        <v>2022 ACFR Worksheets</v>
      </c>
      <c r="C2" s="2483"/>
      <c r="D2" s="2483"/>
      <c r="E2" s="2483"/>
      <c r="F2" s="2483"/>
      <c r="G2" s="2483"/>
      <c r="H2" s="2483"/>
      <c r="I2" s="2483"/>
      <c r="J2" s="2483"/>
      <c r="K2" s="2483"/>
      <c r="L2" s="2483"/>
      <c r="M2" s="2483"/>
      <c r="N2" s="2483"/>
      <c r="O2" s="2483"/>
      <c r="P2" s="2483"/>
      <c r="Q2" s="2483"/>
      <c r="R2" s="2457"/>
      <c r="S2" s="924"/>
      <c r="T2" s="924"/>
      <c r="U2" s="2119"/>
    </row>
    <row r="3" spans="2:22" s="465" customFormat="1" ht="15" customHeight="1" x14ac:dyDescent="0.25">
      <c r="B3" s="2483" t="s">
        <v>5475</v>
      </c>
      <c r="C3" s="2483"/>
      <c r="D3" s="2483"/>
      <c r="E3" s="2483"/>
      <c r="F3" s="2483"/>
      <c r="G3" s="2483"/>
      <c r="H3" s="2483"/>
      <c r="I3" s="2483"/>
      <c r="J3" s="2483"/>
      <c r="K3" s="2483"/>
      <c r="L3" s="2483"/>
      <c r="M3" s="2483"/>
      <c r="N3" s="2483"/>
      <c r="O3" s="2483"/>
      <c r="P3" s="2483"/>
      <c r="Q3" s="2483"/>
      <c r="R3" s="2457"/>
      <c r="S3" s="924"/>
      <c r="T3" s="924"/>
      <c r="U3" s="2119"/>
    </row>
    <row r="4" spans="2:22" s="465" customFormat="1" ht="15" customHeight="1" x14ac:dyDescent="0.3">
      <c r="B4" s="925"/>
      <c r="C4" s="925"/>
      <c r="D4" s="925"/>
      <c r="E4" s="925"/>
      <c r="F4" s="466"/>
      <c r="G4" s="466"/>
      <c r="H4" s="466"/>
      <c r="I4" s="760" t="s">
        <v>1829</v>
      </c>
      <c r="J4" s="466"/>
      <c r="K4" s="466"/>
      <c r="L4" s="466"/>
      <c r="N4" s="466"/>
      <c r="P4" s="466"/>
      <c r="Q4" s="926"/>
      <c r="R4" s="466"/>
      <c r="S4" s="924"/>
      <c r="T4" s="924"/>
      <c r="U4" s="2119"/>
    </row>
    <row r="5" spans="2:22" ht="15" customHeight="1" x14ac:dyDescent="0.2">
      <c r="B5" s="467"/>
      <c r="C5" s="467"/>
      <c r="D5" s="468"/>
      <c r="G5" s="467" t="s">
        <v>327</v>
      </c>
      <c r="H5" s="467"/>
      <c r="I5" s="2484" t="str">
        <f>+Index!$E$10</f>
        <v>01</v>
      </c>
      <c r="J5" s="2484"/>
      <c r="K5" s="2484"/>
      <c r="L5" s="2484"/>
      <c r="M5" s="2484"/>
      <c r="N5" s="2484"/>
      <c r="O5" s="2484"/>
      <c r="P5" s="2484"/>
      <c r="Q5" s="2484"/>
      <c r="R5" s="928"/>
      <c r="T5" s="928"/>
      <c r="U5" s="2120"/>
    </row>
    <row r="6" spans="2:22" ht="15" customHeight="1" x14ac:dyDescent="0.2">
      <c r="B6" s="2104" t="s">
        <v>4968</v>
      </c>
      <c r="C6" s="494"/>
      <c r="D6" s="2199" t="s">
        <v>4969</v>
      </c>
      <c r="G6" s="927" t="s">
        <v>1154</v>
      </c>
      <c r="I6" s="2481" t="str">
        <f>+Index!$E$11</f>
        <v>North Carolina General Assembly</v>
      </c>
      <c r="J6" s="2481"/>
      <c r="K6" s="2481"/>
      <c r="L6" s="2481"/>
      <c r="M6" s="2481"/>
      <c r="N6" s="2481"/>
      <c r="O6" s="2481"/>
      <c r="P6" s="2481"/>
      <c r="Q6" s="2481"/>
      <c r="R6" s="929"/>
      <c r="S6" s="929"/>
      <c r="T6" s="929"/>
      <c r="U6" s="2121"/>
    </row>
    <row r="7" spans="2:22" ht="15" customHeight="1" x14ac:dyDescent="0.2">
      <c r="B7" s="467" t="s">
        <v>477</v>
      </c>
      <c r="C7" s="467"/>
      <c r="D7" s="930"/>
      <c r="G7" s="927" t="s">
        <v>972</v>
      </c>
      <c r="I7" s="2485" t="str">
        <f>CONCATENATE(Index!$E$12," ",Index!$E$14)</f>
        <v xml:space="preserve"> </v>
      </c>
      <c r="J7" s="2485"/>
      <c r="K7" s="2485"/>
      <c r="L7" s="2485"/>
      <c r="M7" s="2485"/>
      <c r="N7" s="2485"/>
      <c r="O7" s="2485"/>
      <c r="P7" s="2485"/>
      <c r="Q7" s="2485"/>
    </row>
    <row r="8" spans="2:22" ht="15" customHeight="1" x14ac:dyDescent="0.2">
      <c r="B8" s="467"/>
      <c r="C8" s="467"/>
      <c r="D8" s="931"/>
      <c r="G8" s="927" t="s">
        <v>348</v>
      </c>
      <c r="I8" s="2486">
        <f>+Index!$E$13</f>
        <v>0</v>
      </c>
      <c r="J8" s="2486"/>
      <c r="K8" s="2486"/>
      <c r="L8" s="2486"/>
      <c r="M8" s="2486"/>
      <c r="N8" s="2486"/>
      <c r="O8" s="2486"/>
      <c r="P8" s="2486"/>
      <c r="Q8" s="2486"/>
    </row>
    <row r="9" spans="2:22" ht="15" customHeight="1" thickBot="1" x14ac:dyDescent="0.25">
      <c r="B9" s="932"/>
      <c r="C9" s="932"/>
      <c r="D9" s="932"/>
      <c r="E9" s="932"/>
      <c r="F9" s="932"/>
      <c r="G9" s="932"/>
      <c r="H9" s="932"/>
      <c r="I9" s="932"/>
      <c r="J9" s="932"/>
      <c r="K9" s="932"/>
      <c r="L9" s="932"/>
      <c r="M9" s="932"/>
      <c r="N9" s="932"/>
      <c r="O9" s="932"/>
      <c r="P9" s="932"/>
      <c r="Q9" s="932"/>
    </row>
    <row r="10" spans="2:22" s="2115" customFormat="1" ht="12" customHeight="1" x14ac:dyDescent="0.2">
      <c r="B10" s="1241" t="s">
        <v>1831</v>
      </c>
      <c r="C10" s="2116"/>
      <c r="D10" s="2116"/>
      <c r="E10" s="2116"/>
      <c r="F10" s="2116"/>
      <c r="I10" s="2117" t="s">
        <v>4970</v>
      </c>
      <c r="J10" s="2117"/>
      <c r="K10" s="2117" t="s">
        <v>4971</v>
      </c>
      <c r="L10" s="2117"/>
      <c r="M10" s="2117" t="s">
        <v>4973</v>
      </c>
      <c r="N10" s="2117"/>
      <c r="O10" s="2117" t="s">
        <v>4975</v>
      </c>
      <c r="U10" s="2118"/>
    </row>
    <row r="11" spans="2:22" s="469" customFormat="1" ht="15" customHeight="1" x14ac:dyDescent="0.2">
      <c r="G11" s="470" t="s">
        <v>249</v>
      </c>
      <c r="I11" s="470"/>
      <c r="K11" s="470"/>
      <c r="M11" s="470"/>
      <c r="O11" s="470"/>
      <c r="P11" s="927"/>
      <c r="Q11" s="470" t="s">
        <v>249</v>
      </c>
      <c r="R11" s="927"/>
      <c r="S11" s="927"/>
      <c r="T11" s="927"/>
      <c r="U11" s="2122"/>
    </row>
    <row r="12" spans="2:22" s="469" customFormat="1" ht="15" customHeight="1" x14ac:dyDescent="0.2">
      <c r="G12" s="471" t="s">
        <v>379</v>
      </c>
      <c r="I12" s="471"/>
      <c r="K12" s="471"/>
      <c r="M12" s="471" t="s">
        <v>249</v>
      </c>
      <c r="O12" s="471" t="s">
        <v>249</v>
      </c>
      <c r="P12" s="927"/>
      <c r="Q12" s="471" t="s">
        <v>379</v>
      </c>
      <c r="R12" s="927"/>
      <c r="S12" s="927"/>
      <c r="T12" s="927"/>
      <c r="U12" s="2122"/>
    </row>
    <row r="13" spans="2:22" s="469" customFormat="1" ht="15" customHeight="1" x14ac:dyDescent="0.2">
      <c r="G13" s="471" t="s">
        <v>1160</v>
      </c>
      <c r="I13" s="471" t="s">
        <v>648</v>
      </c>
      <c r="K13" s="471" t="s">
        <v>1918</v>
      </c>
      <c r="M13" s="471" t="s">
        <v>379</v>
      </c>
      <c r="O13" s="471" t="s">
        <v>379</v>
      </c>
      <c r="P13" s="927"/>
      <c r="Q13" s="83" t="s">
        <v>1160</v>
      </c>
      <c r="R13" s="927"/>
      <c r="S13" s="927"/>
      <c r="T13" s="927"/>
      <c r="U13" s="2122"/>
    </row>
    <row r="14" spans="2:22" s="469" customFormat="1" ht="15" customHeight="1" x14ac:dyDescent="0.35">
      <c r="B14" s="472" t="s">
        <v>132</v>
      </c>
      <c r="G14" s="86" t="str">
        <f>+TEXT(Data!$A$3,"mmmm d, yyyy")</f>
        <v>July 1, 2021</v>
      </c>
      <c r="I14" s="473" t="s">
        <v>1052</v>
      </c>
      <c r="K14" s="474" t="s">
        <v>1919</v>
      </c>
      <c r="M14" s="473" t="s">
        <v>1057</v>
      </c>
      <c r="O14" s="474" t="s">
        <v>1058</v>
      </c>
      <c r="P14" s="927"/>
      <c r="Q14" s="85" t="str">
        <f>TEXT(Data!$A$2,"mmmm d, yyyy")</f>
        <v>June 30, 2022</v>
      </c>
      <c r="R14" s="475"/>
      <c r="S14" s="927"/>
      <c r="T14" s="927"/>
      <c r="U14" s="2122"/>
    </row>
    <row r="15" spans="2:22" s="469" customFormat="1" ht="15" hidden="1" customHeight="1" x14ac:dyDescent="0.35">
      <c r="G15" s="476" t="s">
        <v>564</v>
      </c>
      <c r="I15" s="476" t="s">
        <v>0</v>
      </c>
      <c r="K15" s="469" t="s">
        <v>927</v>
      </c>
      <c r="M15" s="476" t="s">
        <v>928</v>
      </c>
      <c r="O15" s="469" t="s">
        <v>929</v>
      </c>
      <c r="P15" s="927"/>
      <c r="Q15" s="247" t="s">
        <v>1817</v>
      </c>
      <c r="R15" s="475"/>
      <c r="S15" s="927"/>
      <c r="T15" s="927"/>
      <c r="U15" s="2122"/>
    </row>
    <row r="16" spans="2:22" ht="21.75" customHeight="1" x14ac:dyDescent="0.2">
      <c r="B16" s="912" t="s">
        <v>419</v>
      </c>
      <c r="C16" s="477"/>
      <c r="D16" s="477"/>
      <c r="E16" s="477"/>
      <c r="G16" s="916"/>
      <c r="H16" s="933"/>
      <c r="I16" s="916">
        <v>0</v>
      </c>
      <c r="J16" s="933"/>
      <c r="K16" s="933"/>
      <c r="L16" s="933"/>
      <c r="M16" s="916">
        <v>0</v>
      </c>
      <c r="N16" s="933"/>
      <c r="O16" s="916">
        <f>+G16-M16</f>
        <v>0</v>
      </c>
      <c r="Q16" s="916">
        <f>+M16-O16</f>
        <v>0</v>
      </c>
      <c r="R16" s="934"/>
      <c r="V16" s="2123" t="str">
        <f>IF(D6="General Government","Gen Gov",
IF(D6="Primary and secondary education","Prim Sec Ed",
IF(D6="Higher Education","Higher Ed",
IF(D6="Higher education student aid","Higher Ed stu aid",
IF(D6="Health and human services","HHS",
IF(D6="Economic development","Econ Dev",
IF(D6="Environment and natural resources","ENR",
IF(D6="Public safety","Public Safety",
IF(D6="Transportation","Trans",
IF(D6="Highway construction/preservation","Highway Const",
IF(D6="Highway maintenance","Highway Const",
IF(D6="Highway maintenance","Highway Const",
IF(D6="Agriculture","Agric",
IF(D6="Capital projects/repairs and renovations","CapProjectsReno","No Function"))))))))))))))</f>
        <v>No Function</v>
      </c>
    </row>
    <row r="17" spans="1:21" ht="21.75" customHeight="1" x14ac:dyDescent="0.2">
      <c r="A17" s="927">
        <v>4</v>
      </c>
      <c r="B17" s="2468" t="s">
        <v>420</v>
      </c>
      <c r="C17" s="2468"/>
      <c r="D17" s="2468"/>
      <c r="E17" s="2468"/>
      <c r="G17" s="914" t="str">
        <f>IFERROR(HLOOKUP($I$5,PriorYr905!$E$259:$AH$275,5,FALSE),"")</f>
        <v/>
      </c>
      <c r="H17" s="933"/>
      <c r="I17" s="914"/>
      <c r="J17" s="933"/>
      <c r="K17" s="1400"/>
      <c r="L17" s="933"/>
      <c r="M17" s="914"/>
      <c r="N17" s="933"/>
      <c r="O17" s="914"/>
      <c r="P17" s="933"/>
      <c r="Q17" s="915">
        <f t="shared" ref="Q17:Q30" si="0">SUM(G17:P17)</f>
        <v>0</v>
      </c>
      <c r="R17" s="934"/>
      <c r="U17" s="2123">
        <v>12791000</v>
      </c>
    </row>
    <row r="18" spans="1:21" ht="21.75" customHeight="1" x14ac:dyDescent="0.2">
      <c r="A18" s="927">
        <v>5</v>
      </c>
      <c r="B18" s="2468" t="s">
        <v>498</v>
      </c>
      <c r="C18" s="2468"/>
      <c r="D18" s="2468"/>
      <c r="E18" s="2468"/>
      <c r="G18" s="914" t="str">
        <f>IFERROR(HLOOKUP($I$5,PriorYr905!$E$259:$AH$275,6,FALSE),"")</f>
        <v/>
      </c>
      <c r="H18" s="933"/>
      <c r="I18" s="914"/>
      <c r="J18" s="933"/>
      <c r="K18" s="1399"/>
      <c r="L18" s="933"/>
      <c r="M18" s="914"/>
      <c r="N18" s="933"/>
      <c r="O18" s="914"/>
      <c r="P18" s="933"/>
      <c r="Q18" s="915">
        <f t="shared" si="0"/>
        <v>0</v>
      </c>
      <c r="R18" s="934"/>
      <c r="U18" s="2123">
        <v>12793600</v>
      </c>
    </row>
    <row r="19" spans="1:21" ht="21.75" customHeight="1" x14ac:dyDescent="0.2">
      <c r="A19" s="927">
        <v>6</v>
      </c>
      <c r="B19" s="2468" t="s">
        <v>3514</v>
      </c>
      <c r="C19" s="2468"/>
      <c r="D19" s="2468"/>
      <c r="E19" s="2468"/>
      <c r="G19" s="914" t="str">
        <f>IFERROR(HLOOKUP($I$5,PriorYr905!$E$259:$AH$275,7,FALSE),"")</f>
        <v/>
      </c>
      <c r="H19" s="933"/>
      <c r="I19" s="914"/>
      <c r="J19" s="933"/>
      <c r="K19" s="1399"/>
      <c r="L19" s="933"/>
      <c r="M19" s="914"/>
      <c r="N19" s="933"/>
      <c r="O19" s="914"/>
      <c r="P19" s="933"/>
      <c r="Q19" s="915">
        <f t="shared" si="0"/>
        <v>0</v>
      </c>
      <c r="R19" s="934"/>
      <c r="U19" s="2123">
        <v>12794000</v>
      </c>
    </row>
    <row r="20" spans="1:21" ht="21.75" customHeight="1" x14ac:dyDescent="0.2">
      <c r="A20" s="927">
        <v>7</v>
      </c>
      <c r="B20" s="2468" t="s">
        <v>3515</v>
      </c>
      <c r="C20" s="2468"/>
      <c r="D20" s="2468"/>
      <c r="E20" s="2468"/>
      <c r="G20" s="914" t="str">
        <f>IFERROR(HLOOKUP($I$5,PriorYr905!$E$259:$AH$275,8,FALSE),"")</f>
        <v/>
      </c>
      <c r="H20" s="933"/>
      <c r="I20" s="914"/>
      <c r="J20" s="933"/>
      <c r="K20" s="1399"/>
      <c r="L20" s="933"/>
      <c r="M20" s="914"/>
      <c r="N20" s="933"/>
      <c r="O20" s="914"/>
      <c r="P20" s="933"/>
      <c r="Q20" s="915">
        <f t="shared" si="0"/>
        <v>0</v>
      </c>
      <c r="R20" s="934"/>
      <c r="U20" s="2123">
        <v>12792000</v>
      </c>
    </row>
    <row r="21" spans="1:21" ht="21.75" customHeight="1" x14ac:dyDescent="0.2">
      <c r="A21" s="927">
        <v>8</v>
      </c>
      <c r="B21" s="2468" t="s">
        <v>946</v>
      </c>
      <c r="C21" s="2468"/>
      <c r="D21" s="2468"/>
      <c r="E21" s="2468"/>
      <c r="G21" s="914"/>
      <c r="H21" s="933"/>
      <c r="I21" s="935"/>
      <c r="J21" s="933"/>
      <c r="K21" s="1399"/>
      <c r="L21" s="933"/>
      <c r="M21" s="935"/>
      <c r="N21" s="933"/>
      <c r="O21" s="935"/>
      <c r="P21" s="933"/>
      <c r="Q21" s="915">
        <f t="shared" si="0"/>
        <v>0</v>
      </c>
      <c r="U21" s="2123">
        <v>12790000</v>
      </c>
    </row>
    <row r="22" spans="1:21" ht="21.75" customHeight="1" x14ac:dyDescent="0.2">
      <c r="A22" s="1600" t="s">
        <v>3998</v>
      </c>
      <c r="B22" s="246" t="s">
        <v>3659</v>
      </c>
      <c r="C22" s="246"/>
      <c r="D22" s="246"/>
      <c r="E22" s="246"/>
      <c r="G22" s="914"/>
      <c r="H22" s="933"/>
      <c r="I22" s="914"/>
      <c r="J22" s="933"/>
      <c r="K22" s="1399"/>
      <c r="L22" s="933"/>
      <c r="M22" s="914"/>
      <c r="N22" s="933"/>
      <c r="O22" s="914"/>
      <c r="P22" s="933"/>
      <c r="Q22" s="915">
        <f t="shared" si="0"/>
        <v>0</v>
      </c>
      <c r="U22" s="2206">
        <v>12790001</v>
      </c>
    </row>
    <row r="23" spans="1:21" ht="21.75" customHeight="1" x14ac:dyDescent="0.2">
      <c r="A23" s="927">
        <v>9</v>
      </c>
      <c r="B23" s="246" t="s">
        <v>1336</v>
      </c>
      <c r="C23" s="246"/>
      <c r="D23" s="246"/>
      <c r="E23" s="246"/>
      <c r="G23" s="914" t="str">
        <f>IFERROR(HLOOKUP($I$5,PriorYr905!$E$259:$AH$275,15,FALSE),"")</f>
        <v/>
      </c>
      <c r="H23" s="933"/>
      <c r="I23" s="914"/>
      <c r="J23" s="933"/>
      <c r="K23" s="1399"/>
      <c r="L23" s="933"/>
      <c r="M23" s="914"/>
      <c r="N23" s="933"/>
      <c r="O23" s="914"/>
      <c r="P23" s="933"/>
      <c r="Q23" s="915">
        <f t="shared" si="0"/>
        <v>0</v>
      </c>
      <c r="U23" s="2123">
        <v>12795200</v>
      </c>
    </row>
    <row r="24" spans="1:21" ht="21.75" customHeight="1" x14ac:dyDescent="0.2">
      <c r="A24" s="927">
        <v>10</v>
      </c>
      <c r="B24" s="246" t="s">
        <v>1337</v>
      </c>
      <c r="C24" s="246"/>
      <c r="D24" s="246"/>
      <c r="E24" s="246"/>
      <c r="G24" s="914" t="str">
        <f>IFERROR(HLOOKUP($I$5,PriorYr905!$E$259:$AH$275,16,FALSE),"")</f>
        <v/>
      </c>
      <c r="H24" s="933"/>
      <c r="I24" s="1445"/>
      <c r="J24" s="933"/>
      <c r="K24" s="1400"/>
      <c r="L24" s="933"/>
      <c r="M24" s="914"/>
      <c r="N24" s="933"/>
      <c r="O24" s="914"/>
      <c r="P24" s="933"/>
      <c r="Q24" s="915">
        <f t="shared" si="0"/>
        <v>0</v>
      </c>
      <c r="U24" s="2123">
        <v>12795100</v>
      </c>
    </row>
    <row r="25" spans="1:21" ht="21.75" customHeight="1" x14ac:dyDescent="0.2">
      <c r="A25" s="927">
        <v>11</v>
      </c>
      <c r="B25" s="2468" t="s">
        <v>3516</v>
      </c>
      <c r="C25" s="2468"/>
      <c r="D25" s="2468"/>
      <c r="E25" s="2468"/>
      <c r="G25" s="914" t="str">
        <f>IFERROR(HLOOKUP($I$5,PriorYr905!$E$259:$AH$275,17,FALSE),"")</f>
        <v/>
      </c>
      <c r="H25" s="933"/>
      <c r="I25" s="1445"/>
      <c r="J25" s="933"/>
      <c r="K25" s="1400"/>
      <c r="L25" s="933"/>
      <c r="M25" s="914"/>
      <c r="N25" s="933"/>
      <c r="O25" s="914"/>
      <c r="P25" s="933"/>
      <c r="Q25" s="915">
        <f t="shared" si="0"/>
        <v>0</v>
      </c>
      <c r="R25" s="934"/>
      <c r="U25" s="2123">
        <v>12795000</v>
      </c>
    </row>
    <row r="26" spans="1:21" ht="21.75" customHeight="1" x14ac:dyDescent="0.2">
      <c r="B26" s="912" t="s">
        <v>5473</v>
      </c>
      <c r="C26" s="246"/>
      <c r="D26" s="246"/>
      <c r="E26" s="246"/>
      <c r="G26" s="2250"/>
      <c r="H26" s="933"/>
      <c r="I26" s="2250"/>
      <c r="J26" s="933"/>
      <c r="K26" s="2251"/>
      <c r="L26" s="933"/>
      <c r="M26" s="2250"/>
      <c r="N26" s="933"/>
      <c r="O26" s="2250"/>
      <c r="P26" s="933"/>
      <c r="Q26" s="916"/>
      <c r="R26" s="934"/>
      <c r="U26" s="2123"/>
    </row>
    <row r="27" spans="1:21" ht="21.75" customHeight="1" x14ac:dyDescent="0.2">
      <c r="A27" s="927">
        <v>12</v>
      </c>
      <c r="B27" s="246" t="s">
        <v>5467</v>
      </c>
      <c r="C27" s="246"/>
      <c r="D27" s="246"/>
      <c r="E27" s="246"/>
      <c r="G27" s="914" t="str">
        <f>IFERROR(HLOOKUP($I$5,PriorYr905!$E$259:$AH$275,9,FALSE),"")</f>
        <v/>
      </c>
      <c r="H27" s="933"/>
      <c r="I27" s="914"/>
      <c r="J27" s="933"/>
      <c r="K27" s="1400"/>
      <c r="L27" s="933"/>
      <c r="M27" s="914"/>
      <c r="N27" s="933"/>
      <c r="O27" s="914"/>
      <c r="P27" s="933"/>
      <c r="Q27" s="915">
        <f t="shared" si="0"/>
        <v>0</v>
      </c>
      <c r="R27" s="934"/>
      <c r="S27" s="2248" t="s">
        <v>5430</v>
      </c>
      <c r="U27" s="2123">
        <v>12797000</v>
      </c>
    </row>
    <row r="28" spans="1:21" ht="21.75" customHeight="1" x14ac:dyDescent="0.2">
      <c r="A28" s="927">
        <v>13</v>
      </c>
      <c r="B28" s="2468" t="s">
        <v>5468</v>
      </c>
      <c r="C28" s="2468"/>
      <c r="D28" s="2468"/>
      <c r="E28" s="2468"/>
      <c r="G28" s="914" t="str">
        <f>IFERROR(HLOOKUP($I$5,PriorYr905!$E$259:$AH$275,10,FALSE),"")</f>
        <v/>
      </c>
      <c r="H28" s="933"/>
      <c r="I28" s="914"/>
      <c r="J28" s="933"/>
      <c r="K28" s="1400"/>
      <c r="L28" s="933"/>
      <c r="M28" s="914"/>
      <c r="N28" s="933"/>
      <c r="O28" s="914"/>
      <c r="P28" s="933"/>
      <c r="Q28" s="915">
        <f t="shared" si="0"/>
        <v>0</v>
      </c>
      <c r="R28" s="934"/>
      <c r="S28" s="2248" t="s">
        <v>5430</v>
      </c>
      <c r="U28" s="2123">
        <v>12797100</v>
      </c>
    </row>
    <row r="29" spans="1:21" ht="21.75" customHeight="1" x14ac:dyDescent="0.2">
      <c r="A29" s="927">
        <v>14</v>
      </c>
      <c r="B29" s="2468" t="s">
        <v>5469</v>
      </c>
      <c r="C29" s="2468"/>
      <c r="D29" s="2468"/>
      <c r="E29" s="2468"/>
      <c r="G29" s="914" t="str">
        <f>IFERROR(HLOOKUP($I$5,PriorYr905!$E$259:$AH$275,11,FALSE),"")</f>
        <v/>
      </c>
      <c r="H29" s="933"/>
      <c r="I29" s="914"/>
      <c r="J29" s="933"/>
      <c r="K29" s="1400"/>
      <c r="L29" s="933"/>
      <c r="M29" s="914"/>
      <c r="N29" s="933"/>
      <c r="O29" s="914"/>
      <c r="P29" s="933"/>
      <c r="Q29" s="915">
        <f t="shared" si="0"/>
        <v>0</v>
      </c>
      <c r="R29" s="934"/>
      <c r="S29" s="2248" t="s">
        <v>5430</v>
      </c>
      <c r="U29" s="2123">
        <v>12797200</v>
      </c>
    </row>
    <row r="30" spans="1:21" ht="21.75" customHeight="1" x14ac:dyDescent="0.2">
      <c r="A30" s="927">
        <v>15</v>
      </c>
      <c r="B30" s="2468" t="s">
        <v>5470</v>
      </c>
      <c r="C30" s="2468"/>
      <c r="D30" s="2468"/>
      <c r="E30" s="2468"/>
      <c r="G30" s="914" t="str">
        <f>IFERROR(HLOOKUP($I$5,PriorYr905!$E$259:$AH$275,12,FALSE),"")</f>
        <v/>
      </c>
      <c r="H30" s="933"/>
      <c r="I30" s="2250"/>
      <c r="J30" s="933"/>
      <c r="K30" s="2251"/>
      <c r="L30" s="933"/>
      <c r="M30" s="2250"/>
      <c r="N30" s="933"/>
      <c r="O30" s="2250"/>
      <c r="P30" s="933"/>
      <c r="Q30" s="915">
        <f t="shared" si="0"/>
        <v>0</v>
      </c>
      <c r="R30" s="934"/>
      <c r="S30" s="2248" t="s">
        <v>5430</v>
      </c>
      <c r="U30" s="2123">
        <v>12797300</v>
      </c>
    </row>
    <row r="31" spans="1:21" ht="21.75" customHeight="1" thickBot="1" x14ac:dyDescent="0.25">
      <c r="B31" s="912" t="s">
        <v>5474</v>
      </c>
      <c r="C31" s="477"/>
      <c r="D31" s="477"/>
      <c r="E31" s="477"/>
      <c r="G31" s="918">
        <f>SUM(G17:G30)</f>
        <v>0</v>
      </c>
      <c r="H31" s="933"/>
      <c r="I31" s="918">
        <f>SUM(I17:I30)</f>
        <v>0</v>
      </c>
      <c r="J31" s="933"/>
      <c r="K31" s="918">
        <f>SUM(K17:K30)</f>
        <v>0</v>
      </c>
      <c r="L31" s="933"/>
      <c r="M31" s="918">
        <f>SUM(M17:M30)</f>
        <v>0</v>
      </c>
      <c r="N31" s="933"/>
      <c r="O31" s="918">
        <f>SUM(O17:O30)</f>
        <v>0</v>
      </c>
      <c r="P31" s="933"/>
      <c r="Q31" s="918">
        <f>SUM(Q17:Q30)</f>
        <v>0</v>
      </c>
      <c r="R31" s="934"/>
      <c r="T31" s="927">
        <f>SUM(I17:I30)</f>
        <v>0</v>
      </c>
    </row>
    <row r="32" spans="1:21" ht="13.5" thickTop="1" x14ac:dyDescent="0.2">
      <c r="B32" s="478" t="s">
        <v>973</v>
      </c>
      <c r="C32" s="478"/>
      <c r="D32" s="478"/>
      <c r="E32" s="478"/>
      <c r="I32" s="1444" t="str">
        <f>IF(T31&gt;0,"Worksheet 430BTA must be completed"," ")</f>
        <v xml:space="preserve"> </v>
      </c>
      <c r="Q32" s="87"/>
    </row>
    <row r="33" spans="1:21" ht="15" customHeight="1" x14ac:dyDescent="0.2">
      <c r="B33" s="939" t="s">
        <v>4910</v>
      </c>
      <c r="C33" s="939"/>
      <c r="D33" s="939"/>
      <c r="E33" s="939"/>
      <c r="F33" s="939"/>
      <c r="G33" s="939"/>
      <c r="H33" s="939"/>
      <c r="I33" s="939"/>
      <c r="J33" s="939"/>
      <c r="K33" s="939"/>
      <c r="L33" s="939"/>
      <c r="M33" s="939"/>
      <c r="N33" s="939"/>
      <c r="O33" s="939"/>
      <c r="P33" s="939"/>
      <c r="Q33" s="939"/>
    </row>
    <row r="34" spans="1:21" x14ac:dyDescent="0.2">
      <c r="B34" s="939" t="s">
        <v>1227</v>
      </c>
      <c r="C34" s="939"/>
      <c r="D34" s="939"/>
      <c r="E34" s="939"/>
      <c r="F34" s="939"/>
      <c r="G34" s="939"/>
      <c r="H34" s="939"/>
      <c r="I34" s="939"/>
      <c r="J34" s="939"/>
      <c r="K34" s="939"/>
      <c r="L34" s="939"/>
      <c r="M34" s="939"/>
      <c r="N34" s="939"/>
      <c r="O34" s="939"/>
      <c r="P34" s="939"/>
      <c r="Q34" s="939"/>
    </row>
    <row r="35" spans="1:21" ht="12.75" customHeight="1" x14ac:dyDescent="0.2">
      <c r="A35" s="794" t="str">
        <f ca="1">MID(CELL("filename",A1),FIND("]",CELL("filename",A1))+1,256)</f>
        <v>210</v>
      </c>
      <c r="B35" s="1289" t="s">
        <v>1920</v>
      </c>
      <c r="C35" s="923"/>
      <c r="D35" s="948"/>
      <c r="E35" s="948"/>
      <c r="F35" s="948"/>
      <c r="G35" s="948"/>
      <c r="H35" s="948"/>
      <c r="I35" s="948"/>
      <c r="J35" s="948"/>
      <c r="K35" s="948"/>
      <c r="L35" s="948"/>
      <c r="M35" s="948"/>
      <c r="N35" s="948"/>
      <c r="O35" s="948"/>
      <c r="P35" s="948"/>
      <c r="Q35" s="948"/>
    </row>
    <row r="36" spans="1:21" ht="6.75" customHeight="1" x14ac:dyDescent="0.2">
      <c r="A36" s="794"/>
      <c r="C36" s="794"/>
    </row>
    <row r="37" spans="1:21" s="939" customFormat="1" x14ac:dyDescent="0.2">
      <c r="B37" s="939" t="s">
        <v>1923</v>
      </c>
      <c r="U37" s="2124"/>
    </row>
    <row r="38" spans="1:21" s="939" customFormat="1" ht="12.75" customHeight="1" x14ac:dyDescent="0.25">
      <c r="A38" s="940"/>
      <c r="B38" s="941" t="s">
        <v>1922</v>
      </c>
      <c r="C38" s="940"/>
      <c r="Q38" s="1034"/>
      <c r="U38" s="2124"/>
    </row>
    <row r="39" spans="1:21" s="939" customFormat="1" ht="12.75" customHeight="1" x14ac:dyDescent="0.25">
      <c r="A39" s="940"/>
      <c r="B39" s="1289" t="s">
        <v>1920</v>
      </c>
      <c r="C39" s="940"/>
      <c r="Q39" s="1034"/>
      <c r="U39" s="2124"/>
    </row>
    <row r="40" spans="1:21" s="939" customFormat="1" ht="6" customHeight="1" x14ac:dyDescent="0.25">
      <c r="A40" s="940"/>
      <c r="B40" s="941"/>
      <c r="C40" s="940"/>
      <c r="Q40" s="1034"/>
      <c r="U40" s="2124"/>
    </row>
    <row r="41" spans="1:21" s="939" customFormat="1" ht="12.75" customHeight="1" x14ac:dyDescent="0.25">
      <c r="A41" s="940"/>
      <c r="B41" s="941" t="s">
        <v>3633</v>
      </c>
      <c r="C41" s="940"/>
      <c r="Q41" s="1034"/>
      <c r="U41" s="2124"/>
    </row>
    <row r="42" spans="1:21" ht="20.100000000000001" customHeight="1" x14ac:dyDescent="0.25">
      <c r="A42" s="940"/>
      <c r="B42" s="794" t="s">
        <v>449</v>
      </c>
      <c r="C42" s="794"/>
    </row>
    <row r="43" spans="1:21" ht="20.100000000000001" customHeight="1" x14ac:dyDescent="0.25">
      <c r="A43" s="940" t="s">
        <v>446</v>
      </c>
      <c r="B43" s="794" t="str">
        <f t="shared" ref="B43:B52" ca="1" si="1">IF(ISNA(INDEX(ErrorTable,MATCH($A$35&amp;$A43&amp;FALSE,ErrorKey,0),6)),"",INDEX(ErrorTable,MATCH($A$35&amp;$A43&amp;FALSE,ErrorKey,0),6))</f>
        <v>GASB number is blank.</v>
      </c>
      <c r="C43" s="794"/>
    </row>
    <row r="44" spans="1:21" ht="20.100000000000001" customHeight="1" x14ac:dyDescent="0.25">
      <c r="A44" s="940" t="s">
        <v>447</v>
      </c>
      <c r="B44" s="794" t="str">
        <f t="shared" ca="1" si="1"/>
        <v/>
      </c>
      <c r="C44" s="794"/>
    </row>
    <row r="45" spans="1:21" ht="20.100000000000001" customHeight="1" x14ac:dyDescent="0.25">
      <c r="A45" s="940" t="s">
        <v>448</v>
      </c>
      <c r="B45" s="794" t="str">
        <f t="shared" ca="1" si="1"/>
        <v/>
      </c>
      <c r="C45" s="794"/>
    </row>
    <row r="46" spans="1:21" ht="20.100000000000001" customHeight="1" x14ac:dyDescent="0.2">
      <c r="A46" s="794" t="s">
        <v>450</v>
      </c>
      <c r="B46" s="794" t="str">
        <f t="shared" ca="1" si="1"/>
        <v/>
      </c>
      <c r="C46" s="794"/>
    </row>
    <row r="47" spans="1:21" ht="20.100000000000001" customHeight="1" x14ac:dyDescent="0.2">
      <c r="A47" s="794" t="s">
        <v>451</v>
      </c>
      <c r="B47" s="794" t="str">
        <f t="shared" ca="1" si="1"/>
        <v/>
      </c>
      <c r="C47" s="794"/>
    </row>
    <row r="48" spans="1:21" ht="20.100000000000001" customHeight="1" x14ac:dyDescent="0.2">
      <c r="A48" s="794" t="s">
        <v>452</v>
      </c>
      <c r="B48" s="794" t="str">
        <f t="shared" ca="1" si="1"/>
        <v/>
      </c>
      <c r="C48" s="794"/>
    </row>
    <row r="49" spans="1:20" ht="20.100000000000001" customHeight="1" x14ac:dyDescent="0.2">
      <c r="A49" s="794" t="s">
        <v>453</v>
      </c>
      <c r="B49" s="794" t="str">
        <f t="shared" ca="1" si="1"/>
        <v/>
      </c>
    </row>
    <row r="50" spans="1:20" ht="20.100000000000001" customHeight="1" x14ac:dyDescent="0.2">
      <c r="A50" s="794" t="s">
        <v>454</v>
      </c>
      <c r="B50" s="794" t="str">
        <f t="shared" ca="1" si="1"/>
        <v/>
      </c>
      <c r="S50" s="479"/>
      <c r="T50" s="479"/>
    </row>
    <row r="51" spans="1:20" ht="20.100000000000001" customHeight="1" x14ac:dyDescent="0.2">
      <c r="A51" s="794" t="s">
        <v>455</v>
      </c>
      <c r="B51" s="794" t="str">
        <f t="shared" ca="1" si="1"/>
        <v/>
      </c>
      <c r="S51" s="479"/>
      <c r="T51" s="479"/>
    </row>
    <row r="52" spans="1:20" ht="20.100000000000001" customHeight="1" x14ac:dyDescent="0.2">
      <c r="A52" s="794" t="s">
        <v>456</v>
      </c>
      <c r="B52" s="794" t="str">
        <f t="shared" ca="1" si="1"/>
        <v/>
      </c>
      <c r="S52" s="479"/>
      <c r="T52" s="479"/>
    </row>
    <row r="53" spans="1:20" ht="20.100000000000001" customHeight="1" x14ac:dyDescent="0.2">
      <c r="S53" s="479"/>
      <c r="T53" s="479"/>
    </row>
    <row r="54" spans="1:20" x14ac:dyDescent="0.2">
      <c r="S54" s="479"/>
      <c r="T54" s="479"/>
    </row>
    <row r="55" spans="1:20" x14ac:dyDescent="0.2">
      <c r="S55" s="479"/>
      <c r="T55" s="479"/>
    </row>
    <row r="56" spans="1:20" x14ac:dyDescent="0.2">
      <c r="S56" s="479"/>
      <c r="T56" s="479"/>
    </row>
    <row r="57" spans="1:20" x14ac:dyDescent="0.2">
      <c r="S57" s="479"/>
      <c r="T57" s="479"/>
    </row>
    <row r="58" spans="1:20" x14ac:dyDescent="0.2">
      <c r="S58" s="479"/>
      <c r="T58" s="479"/>
    </row>
    <row r="59" spans="1:20" x14ac:dyDescent="0.2">
      <c r="S59" s="479"/>
      <c r="T59" s="479"/>
    </row>
  </sheetData>
  <sheetProtection algorithmName="SHA-512" hashValue="3n2dhoYAOIh0StBYOo6XZbzoL4QW5pJ27rYO2QhfWYPNyXm8YetVxkawtUtAzgByoCPTnrksrWmyxo3dQY8R0Q==" saltValue="MCpnadt5JvYPhu+W9GCSfA==" spinCount="100000" sheet="1" objects="1" scenarios="1" autoFilter="0"/>
  <customSheetViews>
    <customSheetView guid="{B08879A4-635B-4C39-9937-AC7883D562FC}" showGridLines="0" fitToPage="1" hiddenRows="1" hiddenColumns="1" topLeftCell="B1">
      <selection activeCell="B12" sqref="B12"/>
      <pageMargins left="0.5" right="0.5" top="0.75" bottom="0.5" header="0.5" footer="0.5"/>
      <printOptions horizontalCentered="1"/>
      <pageSetup pageOrder="overThenDown" orientation="landscape" r:id="rId1"/>
      <headerFooter alignWithMargins="0">
        <oddFooter>&amp;R&amp;A</oddFooter>
      </headerFooter>
    </customSheetView>
    <customSheetView guid="{9FCFC836-1CA5-48BF-958D-24D2EA94B219}" showGridLines="0" fitToPage="1" hiddenRows="1" hiddenColumns="1" topLeftCell="B1">
      <selection activeCell="B12" sqref="B12"/>
      <pageMargins left="0.5" right="0.5" top="0.75" bottom="0.5" header="0.5" footer="0.5"/>
      <printOptions horizontalCentered="1"/>
      <pageSetup pageOrder="overThenDown" orientation="landscape" r:id="rId2"/>
      <headerFooter alignWithMargins="0">
        <oddFooter>&amp;R&amp;A</oddFooter>
      </headerFooter>
    </customSheetView>
  </customSheetViews>
  <mergeCells count="17">
    <mergeCell ref="B28:E28"/>
    <mergeCell ref="B29:E29"/>
    <mergeCell ref="B30:E30"/>
    <mergeCell ref="B21:E21"/>
    <mergeCell ref="B25:E25"/>
    <mergeCell ref="B20:E20"/>
    <mergeCell ref="I6:Q6"/>
    <mergeCell ref="B1:Q1"/>
    <mergeCell ref="R1:R3"/>
    <mergeCell ref="B2:Q2"/>
    <mergeCell ref="B3:Q3"/>
    <mergeCell ref="I5:Q5"/>
    <mergeCell ref="I7:Q7"/>
    <mergeCell ref="I8:Q8"/>
    <mergeCell ref="B17:E17"/>
    <mergeCell ref="B18:E18"/>
    <mergeCell ref="B19:E19"/>
  </mergeCells>
  <conditionalFormatting sqref="R1:R3">
    <cfRule type="cellIs" dxfId="152" priority="1" stopIfTrue="1" operator="equal">
      <formula>"na"</formula>
    </cfRule>
  </conditionalFormatting>
  <dataValidations count="4">
    <dataValidation type="textLength" operator="equal" allowBlank="1" showInputMessage="1" showErrorMessage="1" errorTitle="Invalid data!" error="GASB number must be 4 digits." promptTitle="Capital Assets GASB Number" prompt="For primary government governmental fund types, the GASB fund number for Capital Assets should be 5100." sqref="D7:D8" xr:uid="{00000000-0002-0000-0800-000002000000}">
      <formula1>4</formula1>
    </dataValidation>
    <dataValidation type="list" allowBlank="1" showInputMessage="1" showErrorMessage="1" sqref="D6" xr:uid="{5D7D52F9-666A-4CAB-A197-363F9AB0828B}">
      <formula1>"No Function,General government,Primary and secondary education, Higher education, Health and human services,Economic development, Environment and natural resources, Public safety, Transportation, Agriculture"</formula1>
    </dataValidation>
    <dataValidation type="decimal" operator="lessThanOrEqual" allowBlank="1" showErrorMessage="1" errorTitle="Invalid data!" error="Amount must be negative." sqref="O17:O30" xr:uid="{00000000-0002-0000-0800-000000000000}">
      <formula1>0</formula1>
    </dataValidation>
    <dataValidation type="decimal" operator="greaterThanOrEqual" allowBlank="1" showInputMessage="1" showErrorMessage="1" errorTitle="Invalid data!" error="Amount must be positive." sqref="M17:M30" xr:uid="{00000000-0002-0000-0800-000001000000}">
      <formula1>0</formula1>
    </dataValidation>
  </dataValidations>
  <hyperlinks>
    <hyperlink ref="B1:Q1" location="Index!A1" display="Index!A1" xr:uid="{00000000-0004-0000-0800-000000000000}"/>
  </hyperlinks>
  <printOptions horizontalCentered="1"/>
  <pageMargins left="0.5" right="0.5" top="0.75" bottom="0.5" header="0.5" footer="0.5"/>
  <pageSetup scale="74" pageOrder="overThenDown" orientation="landscape" r:id="rId3"/>
  <headerFooter alignWithMargins="0">
    <oddFooter>&amp;R&amp;A</oddFooter>
  </headerFooter>
  <ignoredErrors>
    <ignoredError sqref="G17:G20 G23:G30" unlockedFormula="1"/>
    <ignoredError sqref="I31 M31 T31" formulaRange="1"/>
  </ignoredErrors>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8">
    <pageSetUpPr fitToPage="1"/>
  </sheetPr>
  <dimension ref="A1:AA72"/>
  <sheetViews>
    <sheetView showGridLines="0" zoomScaleNormal="100" workbookViewId="0">
      <selection activeCell="V39" sqref="V39"/>
    </sheetView>
  </sheetViews>
  <sheetFormatPr defaultColWidth="9.42578125" defaultRowHeight="11.25" x14ac:dyDescent="0.2"/>
  <cols>
    <col min="1" max="1" width="3" style="40" customWidth="1"/>
    <col min="2" max="2" width="11.5703125" style="40" customWidth="1"/>
    <col min="3" max="3" width="2.5703125" style="40" customWidth="1"/>
    <col min="4" max="4" width="10.5703125" style="40" customWidth="1"/>
    <col min="5" max="5" width="2.5703125" style="40" customWidth="1"/>
    <col min="6" max="6" width="4.5703125" style="40" customWidth="1"/>
    <col min="7" max="7" width="2.5703125" style="40" customWidth="1"/>
    <col min="8" max="8" width="4.42578125" style="40" customWidth="1"/>
    <col min="9" max="9" width="14.5703125" style="40" customWidth="1"/>
    <col min="10" max="10" width="1.42578125" style="40" customWidth="1"/>
    <col min="11" max="11" width="8.42578125" style="40" customWidth="1"/>
    <col min="12" max="12" width="6.42578125" style="40" customWidth="1"/>
    <col min="13" max="13" width="15.5703125" style="40" customWidth="1"/>
    <col min="14" max="14" width="4.5703125" style="40" customWidth="1"/>
    <col min="15" max="16384" width="9.42578125" style="40"/>
  </cols>
  <sheetData>
    <row r="1" spans="1:27" s="41" customFormat="1" ht="15" customHeight="1" x14ac:dyDescent="0.25">
      <c r="A1" s="2449" t="str">
        <f>+Index!$A$1</f>
        <v xml:space="preserve">                                                               Office of the State Controller                                                                </v>
      </c>
      <c r="B1" s="2449"/>
      <c r="C1" s="2449"/>
      <c r="D1" s="2449"/>
      <c r="E1" s="2449"/>
      <c r="F1" s="2449"/>
      <c r="G1" s="2449"/>
      <c r="H1" s="2449"/>
      <c r="I1" s="2449"/>
      <c r="J1" s="2449"/>
      <c r="K1" s="2449"/>
      <c r="L1" s="2449"/>
      <c r="M1" s="2449"/>
      <c r="N1" s="2450" t="str">
        <f>IF(Index!$B$25="na","NA","")</f>
        <v/>
      </c>
      <c r="AA1" s="42"/>
    </row>
    <row r="2" spans="1:27" s="41" customFormat="1" ht="15" customHeight="1" x14ac:dyDescent="0.25">
      <c r="A2" s="2489" t="str">
        <f>+Index!$A$2</f>
        <v>2022 ACFR Worksheets</v>
      </c>
      <c r="B2" s="2489"/>
      <c r="C2" s="2489"/>
      <c r="D2" s="2489"/>
      <c r="E2" s="2489"/>
      <c r="F2" s="2489"/>
      <c r="G2" s="2489"/>
      <c r="H2" s="2489"/>
      <c r="I2" s="2489"/>
      <c r="J2" s="2489"/>
      <c r="K2" s="2489"/>
      <c r="L2" s="2489"/>
      <c r="M2" s="2489"/>
      <c r="N2" s="2450"/>
    </row>
    <row r="3" spans="1:27" s="41" customFormat="1" ht="15" customHeight="1" x14ac:dyDescent="0.25">
      <c r="A3" s="2489" t="s">
        <v>3703</v>
      </c>
      <c r="B3" s="2489"/>
      <c r="C3" s="2489"/>
      <c r="D3" s="2489"/>
      <c r="E3" s="2489"/>
      <c r="F3" s="2489"/>
      <c r="G3" s="2489"/>
      <c r="H3" s="2489"/>
      <c r="I3" s="2489"/>
      <c r="J3" s="2489"/>
      <c r="K3" s="2489"/>
      <c r="L3" s="2489"/>
      <c r="M3" s="2489"/>
      <c r="N3" s="2450"/>
    </row>
    <row r="4" spans="1:27" s="132" customFormat="1" ht="15" customHeight="1" x14ac:dyDescent="0.2">
      <c r="H4" s="137"/>
    </row>
    <row r="5" spans="1:27" s="132" customFormat="1" ht="15" customHeight="1" x14ac:dyDescent="0.2">
      <c r="D5" s="137"/>
      <c r="I5" s="134" t="s">
        <v>327</v>
      </c>
      <c r="J5" s="2488" t="str">
        <f>+Index!$E$10</f>
        <v>01</v>
      </c>
      <c r="K5" s="2488"/>
      <c r="L5" s="2488"/>
      <c r="M5" s="2488"/>
    </row>
    <row r="6" spans="1:27" s="132" customFormat="1" ht="15" customHeight="1" x14ac:dyDescent="0.2">
      <c r="I6" s="134" t="s">
        <v>1154</v>
      </c>
      <c r="J6" s="2488" t="str">
        <f>+Index!$E$11</f>
        <v>North Carolina General Assembly</v>
      </c>
      <c r="K6" s="2488"/>
      <c r="L6" s="2488"/>
      <c r="M6" s="2488"/>
    </row>
    <row r="7" spans="1:27" s="132" customFormat="1" ht="15" customHeight="1" x14ac:dyDescent="0.2">
      <c r="A7" s="132" t="s">
        <v>477</v>
      </c>
      <c r="D7" s="135" t="s">
        <v>256</v>
      </c>
      <c r="E7" s="131"/>
      <c r="I7" s="134" t="s">
        <v>972</v>
      </c>
      <c r="J7" s="2490" t="str">
        <f>CONCATENATE(Index!$E$12," ",Index!$E$14)</f>
        <v xml:space="preserve"> </v>
      </c>
      <c r="K7" s="2490"/>
      <c r="L7" s="2490"/>
      <c r="M7" s="2490"/>
    </row>
    <row r="8" spans="1:27" s="132" customFormat="1" ht="15" customHeight="1" x14ac:dyDescent="0.2">
      <c r="D8" s="137"/>
      <c r="I8" s="134" t="s">
        <v>348</v>
      </c>
      <c r="J8" s="2490">
        <f>+Index!$E$13</f>
        <v>0</v>
      </c>
      <c r="K8" s="2490"/>
      <c r="L8" s="2490"/>
      <c r="M8" s="2490"/>
    </row>
    <row r="9" spans="1:27" s="132" customFormat="1" ht="6" customHeight="1" thickBot="1" x14ac:dyDescent="0.25">
      <c r="A9" s="136"/>
      <c r="B9" s="136"/>
      <c r="C9" s="136"/>
      <c r="D9" s="136"/>
      <c r="E9" s="136"/>
      <c r="F9" s="136"/>
      <c r="G9" s="136"/>
      <c r="H9" s="136"/>
      <c r="I9" s="136"/>
      <c r="J9" s="136"/>
      <c r="K9" s="136"/>
      <c r="L9" s="136"/>
      <c r="M9" s="136"/>
    </row>
    <row r="10" spans="1:27" s="132" customFormat="1" ht="11.1" customHeight="1" x14ac:dyDescent="0.2"/>
    <row r="11" spans="1:27" s="132" customFormat="1" ht="15" customHeight="1" x14ac:dyDescent="0.2">
      <c r="A11" s="534" t="s">
        <v>412</v>
      </c>
    </row>
    <row r="12" spans="1:27" s="132" customFormat="1" ht="12.75" customHeight="1" x14ac:dyDescent="0.2">
      <c r="A12" s="534" t="s">
        <v>413</v>
      </c>
    </row>
    <row r="13" spans="1:27" s="132" customFormat="1" ht="9" customHeight="1" x14ac:dyDescent="0.2"/>
    <row r="14" spans="1:27" s="132" customFormat="1" ht="12.75" customHeight="1" x14ac:dyDescent="0.2">
      <c r="A14" s="2491" t="s">
        <v>292</v>
      </c>
      <c r="B14" s="2378"/>
      <c r="C14" s="2378"/>
      <c r="D14" s="2378"/>
      <c r="E14" s="2378"/>
      <c r="F14" s="2378"/>
      <c r="G14" s="2378"/>
      <c r="H14" s="2378"/>
      <c r="I14" s="2378"/>
      <c r="J14" s="2378"/>
      <c r="K14" s="2378"/>
      <c r="L14" s="2378"/>
      <c r="M14" s="2378"/>
    </row>
    <row r="15" spans="1:27" s="132" customFormat="1" ht="12.75" customHeight="1" x14ac:dyDescent="0.2">
      <c r="A15" s="2492" t="s">
        <v>3860</v>
      </c>
      <c r="B15" s="2378"/>
      <c r="C15" s="2378"/>
      <c r="D15" s="2378"/>
      <c r="E15" s="2378"/>
      <c r="F15" s="2378"/>
      <c r="G15" s="2378"/>
      <c r="H15" s="2378"/>
      <c r="I15" s="2378"/>
      <c r="J15" s="2378"/>
      <c r="K15" s="2378"/>
      <c r="L15" s="2378"/>
      <c r="M15" s="2378"/>
    </row>
    <row r="16" spans="1:27" s="132" customFormat="1" ht="12.75" customHeight="1" x14ac:dyDescent="0.2">
      <c r="A16" s="2493" t="s">
        <v>3861</v>
      </c>
      <c r="B16" s="2378"/>
      <c r="C16" s="2378"/>
      <c r="D16" s="2378"/>
      <c r="E16" s="2378"/>
      <c r="F16" s="2378"/>
      <c r="G16" s="2378"/>
      <c r="H16" s="2378"/>
      <c r="I16" s="2378"/>
      <c r="J16" s="2378"/>
      <c r="K16" s="2378"/>
      <c r="L16" s="2378"/>
      <c r="M16" s="2378"/>
    </row>
    <row r="17" spans="1:13" s="132" customFormat="1" ht="12.75" customHeight="1" x14ac:dyDescent="0.2">
      <c r="A17" s="2487" t="s">
        <v>3857</v>
      </c>
      <c r="B17" s="2487"/>
      <c r="C17" s="2487"/>
      <c r="D17" s="2487"/>
      <c r="E17" s="1490"/>
      <c r="F17" s="1490"/>
      <c r="G17" s="1490"/>
      <c r="H17" s="1490"/>
      <c r="I17" s="1490"/>
      <c r="J17" s="1490"/>
      <c r="K17" s="1490"/>
      <c r="L17" s="1490"/>
      <c r="M17" s="1490"/>
    </row>
    <row r="18" spans="1:13" s="132" customFormat="1" ht="8.1" customHeight="1" x14ac:dyDescent="0.2">
      <c r="A18" s="1489"/>
      <c r="B18" s="1490"/>
      <c r="C18" s="1490"/>
      <c r="D18" s="1490"/>
      <c r="E18" s="1490"/>
      <c r="F18" s="1490"/>
      <c r="G18" s="1490"/>
      <c r="H18" s="1490"/>
      <c r="I18" s="1490"/>
      <c r="J18" s="1490"/>
      <c r="K18" s="1490"/>
      <c r="L18" s="1490"/>
      <c r="M18" s="1490"/>
    </row>
    <row r="19" spans="1:13" s="132" customFormat="1" ht="12.75" customHeight="1" x14ac:dyDescent="0.2">
      <c r="A19" s="273" t="s">
        <v>4162</v>
      </c>
      <c r="C19" s="1490"/>
      <c r="D19" s="1490"/>
      <c r="E19" s="1490"/>
      <c r="F19" s="1490"/>
      <c r="G19" s="1490"/>
      <c r="H19" s="1490"/>
      <c r="I19" s="1490"/>
      <c r="J19" s="1490"/>
      <c r="K19" s="1490"/>
      <c r="L19" s="1490"/>
      <c r="M19" s="1490"/>
    </row>
    <row r="20" spans="1:13" s="132" customFormat="1" ht="12.75" customHeight="1" x14ac:dyDescent="0.2">
      <c r="A20" s="273" t="s">
        <v>3859</v>
      </c>
      <c r="C20" s="1490"/>
      <c r="D20" s="1490"/>
      <c r="E20" s="1490"/>
      <c r="F20" s="1490"/>
      <c r="G20" s="1490"/>
      <c r="H20" s="1490"/>
      <c r="I20" s="1490"/>
      <c r="J20" s="1490"/>
      <c r="K20" s="1490"/>
      <c r="L20" s="1490"/>
      <c r="M20" s="1490"/>
    </row>
    <row r="21" spans="1:13" s="132" customFormat="1" ht="8.1" customHeight="1" x14ac:dyDescent="0.2"/>
    <row r="22" spans="1:13" s="132" customFormat="1" ht="12.75" customHeight="1" x14ac:dyDescent="0.2">
      <c r="A22" s="273" t="s">
        <v>5671</v>
      </c>
    </row>
    <row r="23" spans="1:13" s="132" customFormat="1" ht="12.75" customHeight="1" x14ac:dyDescent="0.2">
      <c r="A23" s="132" t="s">
        <v>293</v>
      </c>
    </row>
    <row r="24" spans="1:13" s="132" customFormat="1" ht="6" customHeight="1" x14ac:dyDescent="0.2"/>
    <row r="25" spans="1:13" s="132" customFormat="1" ht="12.75" customHeight="1" x14ac:dyDescent="0.2">
      <c r="A25" s="536" t="s">
        <v>517</v>
      </c>
      <c r="B25" s="1478" t="s">
        <v>5626</v>
      </c>
      <c r="C25" s="278"/>
      <c r="D25" s="537"/>
      <c r="E25" s="537"/>
      <c r="F25" s="537"/>
      <c r="G25" s="537"/>
      <c r="H25" s="537"/>
      <c r="I25" s="537"/>
      <c r="J25" s="537"/>
      <c r="K25" s="537"/>
    </row>
    <row r="26" spans="1:13" s="132" customFormat="1" ht="4.3499999999999996" customHeight="1" x14ac:dyDescent="0.2">
      <c r="A26" s="536"/>
      <c r="B26" s="538"/>
      <c r="K26" s="137"/>
      <c r="L26" s="133"/>
    </row>
    <row r="27" spans="1:13" s="132" customFormat="1" ht="12.75" customHeight="1" x14ac:dyDescent="0.2">
      <c r="A27" s="536" t="s">
        <v>518</v>
      </c>
      <c r="B27" s="132" t="s">
        <v>294</v>
      </c>
      <c r="C27" s="537"/>
      <c r="K27" s="137"/>
      <c r="L27" s="133"/>
    </row>
    <row r="28" spans="1:13" s="132" customFormat="1" ht="12.75" customHeight="1" x14ac:dyDescent="0.2">
      <c r="A28" s="536"/>
      <c r="B28" s="132" t="s">
        <v>295</v>
      </c>
      <c r="C28" s="537"/>
      <c r="K28" s="137"/>
      <c r="L28" s="133"/>
    </row>
    <row r="29" spans="1:13" s="132" customFormat="1" ht="12.75" customHeight="1" x14ac:dyDescent="0.2">
      <c r="A29" s="536"/>
      <c r="B29" s="132" t="s">
        <v>964</v>
      </c>
      <c r="C29" s="537"/>
      <c r="K29" s="137"/>
      <c r="L29" s="133"/>
      <c r="M29" s="276"/>
    </row>
    <row r="30" spans="1:13" s="132" customFormat="1" ht="6" customHeight="1" x14ac:dyDescent="0.2">
      <c r="A30" s="539"/>
      <c r="B30" s="537"/>
      <c r="C30" s="278"/>
      <c r="D30" s="537"/>
      <c r="E30" s="537"/>
      <c r="F30" s="537"/>
      <c r="G30" s="537"/>
      <c r="H30" s="537"/>
      <c r="I30" s="537"/>
      <c r="J30" s="537"/>
      <c r="K30" s="537"/>
    </row>
    <row r="31" spans="1:13" s="132" customFormat="1" ht="12" customHeight="1" x14ac:dyDescent="0.2">
      <c r="A31" s="2334" t="s">
        <v>421</v>
      </c>
      <c r="B31" s="1478" t="s">
        <v>5677</v>
      </c>
      <c r="C31" s="278"/>
      <c r="D31" s="537"/>
      <c r="E31" s="537"/>
      <c r="F31" s="537"/>
      <c r="G31" s="537"/>
      <c r="H31" s="537"/>
      <c r="I31" s="537"/>
      <c r="J31" s="537"/>
      <c r="K31" s="537"/>
    </row>
    <row r="32" spans="1:13" s="132" customFormat="1" ht="12.6" customHeight="1" x14ac:dyDescent="0.2">
      <c r="A32" s="536"/>
      <c r="B32" s="2335" t="s">
        <v>5678</v>
      </c>
      <c r="C32" s="278"/>
      <c r="D32" s="537"/>
      <c r="E32" s="537"/>
      <c r="F32" s="537"/>
      <c r="G32" s="537"/>
      <c r="H32" s="537"/>
      <c r="I32" s="537"/>
      <c r="J32" s="537"/>
      <c r="K32" s="537"/>
    </row>
    <row r="33" spans="1:13" s="132" customFormat="1" ht="6" customHeight="1" x14ac:dyDescent="0.2">
      <c r="A33" s="539"/>
      <c r="B33" s="537"/>
      <c r="C33" s="278"/>
      <c r="D33" s="537"/>
      <c r="E33" s="537"/>
      <c r="F33" s="537"/>
      <c r="G33" s="537"/>
      <c r="H33" s="537"/>
      <c r="I33" s="537"/>
      <c r="J33" s="537"/>
      <c r="K33" s="537"/>
    </row>
    <row r="34" spans="1:13" s="132" customFormat="1" ht="6" customHeight="1" x14ac:dyDescent="0.2">
      <c r="A34" s="539"/>
      <c r="B34" s="537"/>
      <c r="C34" s="278"/>
      <c r="D34" s="537"/>
      <c r="E34" s="537"/>
      <c r="F34" s="537"/>
      <c r="G34" s="537"/>
      <c r="H34" s="537"/>
      <c r="I34" s="537"/>
      <c r="J34" s="537"/>
      <c r="K34" s="537"/>
    </row>
    <row r="35" spans="1:13" s="132" customFormat="1" ht="12.75" customHeight="1" x14ac:dyDescent="0.2">
      <c r="A35" s="535" t="s">
        <v>965</v>
      </c>
      <c r="B35" s="537"/>
      <c r="C35" s="278"/>
      <c r="D35" s="537"/>
      <c r="E35" s="537"/>
      <c r="F35" s="537"/>
      <c r="G35" s="537"/>
      <c r="H35" s="537"/>
      <c r="I35" s="537"/>
      <c r="J35" s="537"/>
      <c r="K35" s="537"/>
    </row>
    <row r="36" spans="1:13" s="132" customFormat="1" ht="4.3499999999999996" customHeight="1" x14ac:dyDescent="0.2">
      <c r="A36" s="540"/>
      <c r="B36" s="537"/>
      <c r="C36" s="278"/>
      <c r="D36" s="537"/>
      <c r="E36" s="537"/>
      <c r="F36" s="537"/>
      <c r="G36" s="537"/>
      <c r="H36" s="537"/>
      <c r="I36" s="537"/>
      <c r="J36" s="537"/>
      <c r="K36" s="537"/>
    </row>
    <row r="37" spans="1:13" s="132" customFormat="1" ht="13.35" customHeight="1" x14ac:dyDescent="0.2">
      <c r="A37" s="2334" t="s">
        <v>363</v>
      </c>
      <c r="B37" s="537" t="s">
        <v>966</v>
      </c>
      <c r="C37" s="278"/>
      <c r="D37" s="537"/>
      <c r="E37" s="537"/>
      <c r="F37" s="537"/>
      <c r="G37" s="537"/>
      <c r="H37" s="537"/>
      <c r="I37" s="537"/>
      <c r="J37" s="537"/>
      <c r="K37" s="537"/>
      <c r="M37" s="541"/>
    </row>
    <row r="38" spans="1:13" s="132" customFormat="1" ht="13.35" customHeight="1" x14ac:dyDescent="0.2">
      <c r="A38" s="536"/>
      <c r="B38" s="542" t="s">
        <v>983</v>
      </c>
      <c r="C38" s="278"/>
      <c r="D38" s="537"/>
      <c r="E38" s="537"/>
      <c r="F38" s="537"/>
      <c r="G38" s="537"/>
      <c r="H38" s="537"/>
      <c r="I38" s="537"/>
      <c r="J38" s="537"/>
      <c r="K38" s="537"/>
      <c r="M38" s="729"/>
    </row>
    <row r="39" spans="1:13" s="132" customFormat="1" ht="13.5" customHeight="1" x14ac:dyDescent="0.2">
      <c r="A39" s="536"/>
      <c r="B39" s="1478" t="s">
        <v>3835</v>
      </c>
      <c r="C39" s="278"/>
      <c r="D39" s="537"/>
      <c r="E39" s="537"/>
      <c r="F39" s="537"/>
      <c r="G39" s="537"/>
      <c r="H39" s="537"/>
      <c r="I39" s="537"/>
      <c r="J39" s="537"/>
      <c r="K39" s="537"/>
      <c r="M39" s="730"/>
    </row>
    <row r="40" spans="1:13" s="132" customFormat="1" ht="14.1" customHeight="1" thickBot="1" x14ac:dyDescent="0.25">
      <c r="A40" s="536"/>
      <c r="B40" s="537" t="s">
        <v>296</v>
      </c>
      <c r="C40" s="278"/>
      <c r="D40" s="537"/>
      <c r="E40" s="537"/>
      <c r="F40" s="537"/>
      <c r="G40" s="537"/>
      <c r="H40" s="537"/>
      <c r="I40" s="537"/>
      <c r="J40" s="537"/>
      <c r="K40" s="537"/>
      <c r="M40" s="673">
        <f>M38+M39</f>
        <v>0</v>
      </c>
    </row>
    <row r="41" spans="1:13" s="132" customFormat="1" ht="4.3499999999999996" customHeight="1" thickTop="1" x14ac:dyDescent="0.2">
      <c r="A41" s="536"/>
      <c r="B41" s="537"/>
      <c r="C41" s="278"/>
      <c r="D41" s="537"/>
      <c r="E41" s="537"/>
      <c r="F41" s="537"/>
      <c r="G41" s="537"/>
      <c r="H41" s="537"/>
      <c r="I41" s="537"/>
      <c r="J41" s="537"/>
      <c r="K41" s="537"/>
    </row>
    <row r="42" spans="1:13" s="132" customFormat="1" ht="12.75" customHeight="1" x14ac:dyDescent="0.2">
      <c r="A42" s="2334" t="s">
        <v>300</v>
      </c>
      <c r="B42" s="537" t="s">
        <v>297</v>
      </c>
      <c r="C42" s="278"/>
      <c r="D42" s="537"/>
      <c r="E42" s="537"/>
      <c r="F42" s="537"/>
      <c r="G42" s="537"/>
      <c r="H42" s="537"/>
      <c r="I42" s="537"/>
      <c r="J42" s="537"/>
      <c r="K42" s="537"/>
    </row>
    <row r="43" spans="1:13" s="132" customFormat="1" ht="12.75" customHeight="1" x14ac:dyDescent="0.2">
      <c r="A43" s="536"/>
      <c r="B43" s="540" t="s">
        <v>298</v>
      </c>
      <c r="C43" s="278"/>
      <c r="D43" s="537"/>
      <c r="E43" s="537"/>
      <c r="F43" s="537"/>
      <c r="G43" s="537"/>
      <c r="H43" s="537"/>
      <c r="I43" s="537"/>
      <c r="J43" s="537"/>
      <c r="K43" s="537"/>
      <c r="M43" s="729"/>
    </row>
    <row r="44" spans="1:13" s="132" customFormat="1" ht="6" customHeight="1" x14ac:dyDescent="0.2">
      <c r="A44" s="536"/>
      <c r="B44" s="543"/>
      <c r="C44" s="278"/>
      <c r="D44" s="537"/>
      <c r="E44" s="537"/>
      <c r="F44" s="537"/>
      <c r="G44" s="537"/>
      <c r="H44" s="537"/>
      <c r="I44" s="537"/>
      <c r="J44" s="537"/>
      <c r="K44" s="537"/>
    </row>
    <row r="45" spans="1:13" s="132" customFormat="1" ht="6" customHeight="1" x14ac:dyDescent="0.2">
      <c r="A45" s="536"/>
      <c r="B45" s="543"/>
      <c r="C45" s="278"/>
      <c r="D45" s="537"/>
      <c r="E45" s="537"/>
      <c r="F45" s="537"/>
      <c r="G45" s="537"/>
      <c r="H45" s="537"/>
      <c r="I45" s="537"/>
      <c r="J45" s="537"/>
      <c r="K45" s="537"/>
    </row>
    <row r="46" spans="1:13" s="132" customFormat="1" ht="6" customHeight="1" x14ac:dyDescent="0.2">
      <c r="A46" s="536"/>
      <c r="B46" s="543"/>
      <c r="C46" s="278"/>
      <c r="D46" s="537"/>
      <c r="E46" s="537"/>
      <c r="F46" s="537"/>
      <c r="G46" s="537"/>
      <c r="H46" s="537"/>
      <c r="I46" s="537"/>
      <c r="J46" s="537"/>
      <c r="K46" s="537"/>
    </row>
    <row r="47" spans="1:13" s="132" customFormat="1" ht="12.75" customHeight="1" x14ac:dyDescent="0.2">
      <c r="A47" s="544" t="s">
        <v>299</v>
      </c>
      <c r="C47" s="278"/>
      <c r="D47" s="537"/>
      <c r="E47" s="537"/>
      <c r="F47" s="537"/>
      <c r="G47" s="537"/>
      <c r="H47" s="537"/>
      <c r="I47" s="537"/>
      <c r="J47" s="537"/>
      <c r="K47" s="537"/>
    </row>
    <row r="48" spans="1:13" s="132" customFormat="1" ht="4.3499999999999996" customHeight="1" x14ac:dyDescent="0.2">
      <c r="A48" s="545"/>
      <c r="B48" s="537"/>
      <c r="C48" s="278"/>
      <c r="D48" s="537"/>
      <c r="E48" s="537"/>
      <c r="F48" s="537"/>
      <c r="G48" s="537"/>
      <c r="H48" s="537"/>
      <c r="I48" s="537"/>
      <c r="J48" s="537"/>
      <c r="K48" s="537"/>
    </row>
    <row r="49" spans="1:14" s="132" customFormat="1" ht="13.35" customHeight="1" x14ac:dyDescent="0.2">
      <c r="A49" s="2334" t="s">
        <v>90</v>
      </c>
      <c r="B49" s="537" t="s">
        <v>323</v>
      </c>
      <c r="C49" s="278"/>
      <c r="D49" s="537"/>
      <c r="E49" s="537"/>
      <c r="F49" s="537"/>
      <c r="G49" s="537"/>
      <c r="H49" s="537"/>
      <c r="I49" s="537"/>
      <c r="J49" s="537"/>
      <c r="K49" s="537"/>
      <c r="M49" s="541"/>
    </row>
    <row r="50" spans="1:14" s="132" customFormat="1" ht="13.35" customHeight="1" x14ac:dyDescent="0.2">
      <c r="A50" s="536"/>
      <c r="B50" s="542" t="s">
        <v>87</v>
      </c>
      <c r="C50" s="278"/>
      <c r="D50" s="537"/>
      <c r="E50" s="537"/>
      <c r="F50" s="537"/>
      <c r="G50" s="537"/>
      <c r="H50" s="537"/>
      <c r="I50" s="537"/>
      <c r="J50" s="537"/>
      <c r="K50" s="537"/>
      <c r="M50" s="729"/>
    </row>
    <row r="51" spans="1:14" s="132" customFormat="1" ht="13.5" customHeight="1" x14ac:dyDescent="0.2">
      <c r="A51" s="536"/>
      <c r="B51" s="537" t="s">
        <v>88</v>
      </c>
      <c r="C51" s="278"/>
      <c r="D51" s="537"/>
      <c r="E51" s="537"/>
      <c r="F51" s="537"/>
      <c r="G51" s="537"/>
      <c r="H51" s="537"/>
      <c r="I51" s="537"/>
      <c r="J51" s="537"/>
      <c r="K51" s="537"/>
      <c r="M51" s="1479"/>
    </row>
    <row r="52" spans="1:14" s="132" customFormat="1" ht="13.5" customHeight="1" x14ac:dyDescent="0.2">
      <c r="A52" s="536"/>
      <c r="B52" s="1478" t="s">
        <v>3948</v>
      </c>
      <c r="C52" s="278"/>
      <c r="D52" s="537"/>
      <c r="E52" s="537"/>
      <c r="F52" s="537"/>
      <c r="G52" s="537"/>
      <c r="H52" s="537"/>
      <c r="I52" s="537"/>
      <c r="J52" s="537"/>
      <c r="K52" s="537"/>
      <c r="M52" s="1479"/>
    </row>
    <row r="53" spans="1:14" s="132" customFormat="1" ht="14.1" customHeight="1" thickBot="1" x14ac:dyDescent="0.25">
      <c r="A53" s="536"/>
      <c r="B53" s="540" t="s">
        <v>89</v>
      </c>
      <c r="C53" s="278"/>
      <c r="D53" s="537"/>
      <c r="E53" s="537"/>
      <c r="F53" s="537"/>
      <c r="G53" s="537"/>
      <c r="H53" s="537"/>
      <c r="I53" s="537"/>
      <c r="J53" s="537"/>
      <c r="K53" s="537"/>
      <c r="M53" s="673">
        <f>M50+M52</f>
        <v>0</v>
      </c>
      <c r="N53" s="541"/>
    </row>
    <row r="54" spans="1:14" s="132" customFormat="1" ht="4.3499999999999996" customHeight="1" thickTop="1" x14ac:dyDescent="0.2">
      <c r="A54" s="545"/>
      <c r="B54" s="537"/>
      <c r="C54" s="278"/>
      <c r="D54" s="537"/>
      <c r="E54" s="537"/>
      <c r="F54" s="537"/>
      <c r="G54" s="537"/>
      <c r="H54" s="537"/>
      <c r="I54" s="537"/>
      <c r="J54" s="537"/>
      <c r="K54" s="537"/>
    </row>
    <row r="55" spans="1:14" s="132" customFormat="1" ht="12.75" customHeight="1" x14ac:dyDescent="0.2">
      <c r="A55" s="2334" t="s">
        <v>92</v>
      </c>
      <c r="B55" s="537" t="s">
        <v>91</v>
      </c>
      <c r="C55" s="537"/>
      <c r="D55" s="537"/>
      <c r="E55" s="537"/>
      <c r="F55" s="537"/>
      <c r="G55" s="537"/>
      <c r="H55" s="537"/>
      <c r="I55" s="537"/>
      <c r="J55" s="537"/>
      <c r="K55" s="537"/>
    </row>
    <row r="56" spans="1:14" s="132" customFormat="1" ht="12.75" customHeight="1" x14ac:dyDescent="0.2">
      <c r="A56" s="537"/>
      <c r="B56" s="543" t="s">
        <v>324</v>
      </c>
      <c r="C56" s="537"/>
      <c r="D56" s="537"/>
      <c r="E56" s="537"/>
      <c r="F56" s="537"/>
      <c r="G56" s="537"/>
      <c r="H56" s="537"/>
      <c r="I56" s="537"/>
      <c r="J56" s="537"/>
      <c r="K56" s="537"/>
      <c r="M56" s="729"/>
    </row>
    <row r="57" spans="1:14" s="132" customFormat="1" ht="4.3499999999999996" customHeight="1" x14ac:dyDescent="0.2">
      <c r="A57" s="537"/>
      <c r="B57" s="543"/>
      <c r="C57" s="537"/>
      <c r="D57" s="537"/>
      <c r="E57" s="537"/>
      <c r="F57" s="537"/>
      <c r="G57" s="537"/>
      <c r="H57" s="537"/>
      <c r="I57" s="537"/>
      <c r="J57" s="537"/>
      <c r="K57" s="537"/>
    </row>
    <row r="58" spans="1:14" s="132" customFormat="1" ht="12.75" customHeight="1" x14ac:dyDescent="0.2">
      <c r="A58" s="2336" t="s">
        <v>5673</v>
      </c>
      <c r="B58" s="537" t="s">
        <v>91</v>
      </c>
      <c r="C58" s="537"/>
      <c r="D58" s="537"/>
      <c r="E58" s="537"/>
      <c r="F58" s="537"/>
      <c r="G58" s="537"/>
      <c r="H58" s="537"/>
      <c r="I58" s="537"/>
      <c r="J58" s="537"/>
      <c r="K58" s="537"/>
    </row>
    <row r="59" spans="1:14" s="132" customFormat="1" ht="12.75" customHeight="1" x14ac:dyDescent="0.2">
      <c r="A59" s="537"/>
      <c r="B59" s="543" t="s">
        <v>325</v>
      </c>
      <c r="C59" s="537"/>
      <c r="D59" s="537"/>
      <c r="E59" s="537"/>
      <c r="F59" s="537"/>
      <c r="G59" s="537"/>
      <c r="H59" s="537"/>
      <c r="I59" s="537"/>
      <c r="J59" s="537"/>
      <c r="K59" s="537"/>
      <c r="M59" s="729"/>
    </row>
    <row r="60" spans="1:14" s="132" customFormat="1" ht="12.75" customHeight="1" x14ac:dyDescent="0.2">
      <c r="A60" s="537"/>
      <c r="B60" s="543"/>
      <c r="C60" s="537"/>
      <c r="D60" s="537"/>
      <c r="E60" s="537"/>
      <c r="F60" s="537"/>
      <c r="G60" s="537"/>
      <c r="H60" s="537"/>
      <c r="I60" s="537"/>
      <c r="J60" s="537"/>
      <c r="K60" s="537"/>
      <c r="M60" s="1479"/>
    </row>
    <row r="61" spans="1:14" s="132" customFormat="1" ht="12.75" customHeight="1" x14ac:dyDescent="0.2">
      <c r="A61" s="537"/>
      <c r="B61" s="543"/>
      <c r="C61" s="537"/>
      <c r="D61" s="537"/>
      <c r="E61" s="537"/>
      <c r="F61" s="537"/>
      <c r="G61" s="537"/>
      <c r="H61" s="537"/>
      <c r="I61" s="537"/>
      <c r="J61" s="537"/>
      <c r="K61" s="537"/>
      <c r="M61" s="1479"/>
    </row>
    <row r="62" spans="1:14" s="132" customFormat="1" ht="10.35" customHeight="1" x14ac:dyDescent="0.2">
      <c r="A62" s="537"/>
      <c r="C62" s="537"/>
      <c r="D62" s="537"/>
      <c r="E62" s="537"/>
      <c r="F62" s="537"/>
      <c r="G62" s="537"/>
      <c r="H62" s="537"/>
      <c r="I62" s="537"/>
      <c r="J62" s="537"/>
      <c r="K62" s="537"/>
    </row>
    <row r="63" spans="1:14" s="132" customFormat="1" ht="12.75" customHeight="1" x14ac:dyDescent="0.2">
      <c r="A63" s="537"/>
      <c r="C63" s="537"/>
      <c r="D63" s="537"/>
      <c r="E63" s="537"/>
      <c r="F63" s="537"/>
      <c r="G63" s="537"/>
      <c r="H63" s="537"/>
      <c r="I63" s="537"/>
      <c r="J63" s="537"/>
      <c r="K63" s="537"/>
    </row>
    <row r="64" spans="1:14" s="132" customFormat="1" ht="12.75" customHeight="1" x14ac:dyDescent="0.2">
      <c r="A64" s="537"/>
      <c r="C64" s="537"/>
      <c r="D64" s="537"/>
      <c r="E64" s="537"/>
      <c r="F64" s="537"/>
      <c r="G64" s="537"/>
      <c r="H64" s="537"/>
      <c r="I64" s="537"/>
      <c r="J64" s="537"/>
      <c r="K64" s="537"/>
    </row>
    <row r="65" spans="1:11" s="132" customFormat="1" ht="12.75" customHeight="1" x14ac:dyDescent="0.2">
      <c r="A65" s="537"/>
      <c r="C65" s="537"/>
      <c r="D65" s="537"/>
      <c r="E65" s="537"/>
      <c r="F65" s="537"/>
      <c r="G65" s="537"/>
      <c r="H65" s="537"/>
      <c r="I65" s="537"/>
      <c r="J65" s="537"/>
      <c r="K65" s="537"/>
    </row>
    <row r="66" spans="1:11" s="132" customFormat="1" ht="12.75" customHeight="1" x14ac:dyDescent="0.2">
      <c r="A66" s="537"/>
      <c r="C66" s="537"/>
      <c r="D66" s="537"/>
      <c r="E66" s="537"/>
      <c r="F66" s="537"/>
      <c r="G66" s="537"/>
      <c r="H66" s="537"/>
      <c r="I66" s="537"/>
      <c r="J66" s="537"/>
      <c r="K66" s="537"/>
    </row>
    <row r="67" spans="1:11" s="132" customFormat="1" ht="12.75" customHeight="1" x14ac:dyDescent="0.2">
      <c r="A67" s="537"/>
      <c r="C67" s="537"/>
      <c r="D67" s="537"/>
      <c r="E67" s="537"/>
      <c r="F67" s="537"/>
      <c r="G67" s="537"/>
      <c r="H67" s="537"/>
      <c r="I67" s="537"/>
      <c r="J67" s="537"/>
      <c r="K67" s="537"/>
    </row>
    <row r="68" spans="1:11" s="132" customFormat="1" ht="12.75" customHeight="1" x14ac:dyDescent="0.2">
      <c r="A68" s="537"/>
      <c r="C68" s="537"/>
      <c r="D68" s="537"/>
      <c r="E68" s="537"/>
      <c r="F68" s="537"/>
      <c r="G68" s="537"/>
      <c r="H68" s="537"/>
      <c r="I68" s="537"/>
      <c r="J68" s="537"/>
      <c r="K68" s="537"/>
    </row>
    <row r="69" spans="1:11" s="132" customFormat="1" ht="12.75" customHeight="1" x14ac:dyDescent="0.2">
      <c r="A69" s="544" t="s">
        <v>1229</v>
      </c>
      <c r="C69" s="537"/>
      <c r="D69" s="537"/>
      <c r="E69" s="537"/>
      <c r="F69" s="537"/>
      <c r="G69" s="537"/>
      <c r="H69" s="537"/>
      <c r="I69" s="537"/>
      <c r="J69" s="537"/>
      <c r="K69" s="537"/>
    </row>
    <row r="70" spans="1:11" s="132" customFormat="1" ht="12.75" customHeight="1" x14ac:dyDescent="0.2">
      <c r="A70" s="273" t="s">
        <v>3707</v>
      </c>
    </row>
    <row r="71" spans="1:11" s="132" customFormat="1" ht="12.75" customHeight="1" x14ac:dyDescent="0.2">
      <c r="A71" s="272" t="s">
        <v>5627</v>
      </c>
      <c r="K71" s="133"/>
    </row>
    <row r="72" spans="1:11" s="132" customFormat="1" ht="12.75" customHeight="1" x14ac:dyDescent="0.2"/>
  </sheetData>
  <sheetProtection algorithmName="SHA-512" hashValue="vPFe94SNjUyGROi7ZrrurylIEupE63ivFy1KANanQxcrVCUHnWW+InvrZSE5VOyraI2aGKdLVbMKDxJ9tszJ3Q==" saltValue="09BMypwPmcnj413HvzVHpg==" spinCount="100000" sheet="1" objects="1" scenarios="1" autoFilter="0"/>
  <customSheetViews>
    <customSheetView guid="{B08879A4-635B-4C39-9937-AC7883D562FC}" showGridLines="0" fitToPage="1">
      <selection sqref="A1:M1"/>
      <pageMargins left="0.75" right="0.5" top="0.5" bottom="0.5" header="0.5" footer="0.25"/>
      <pageSetup scale="89" orientation="portrait" r:id="rId1"/>
      <headerFooter alignWithMargins="0">
        <oddFooter>&amp;R&amp;A</oddFooter>
      </headerFooter>
    </customSheetView>
    <customSheetView guid="{9FCFC836-1CA5-48BF-958D-24D2EA94B219}" showGridLines="0" fitToPage="1">
      <selection sqref="A1:M1"/>
      <pageMargins left="0.75" right="0.5" top="0.5" bottom="0.5" header="0.5" footer="0.25"/>
      <pageSetup scale="89" orientation="portrait" r:id="rId2"/>
      <headerFooter alignWithMargins="0">
        <oddFooter>&amp;R&amp;A</oddFooter>
      </headerFooter>
    </customSheetView>
  </customSheetViews>
  <mergeCells count="12">
    <mergeCell ref="A17:D17"/>
    <mergeCell ref="N1:N3"/>
    <mergeCell ref="J5:M5"/>
    <mergeCell ref="J6:M6"/>
    <mergeCell ref="A1:M1"/>
    <mergeCell ref="A2:M2"/>
    <mergeCell ref="A3:M3"/>
    <mergeCell ref="J7:M7"/>
    <mergeCell ref="A14:M14"/>
    <mergeCell ref="A15:M15"/>
    <mergeCell ref="A16:M16"/>
    <mergeCell ref="J8:M8"/>
  </mergeCells>
  <phoneticPr fontId="15" type="noConversion"/>
  <conditionalFormatting sqref="N1:N3">
    <cfRule type="cellIs" dxfId="151" priority="1" stopIfTrue="1" operator="equal">
      <formula>"na"</formula>
    </cfRule>
  </conditionalFormatting>
  <hyperlinks>
    <hyperlink ref="A1:M1" location="Index!A1" display="Index!A1" xr:uid="{00000000-0004-0000-0900-000000000000}"/>
    <hyperlink ref="A17:D17" r:id="rId3" display="NC OSC Policy 102.13" xr:uid="{00000000-0004-0000-0900-000001000000}"/>
  </hyperlinks>
  <pageMargins left="0.75" right="0.5" top="0.5" bottom="0.5" header="0.5" footer="0.25"/>
  <pageSetup orientation="portrait" r:id="rId4"/>
  <headerFooter alignWithMargins="0">
    <oddFooter>&amp;R&amp;A</oddFooter>
  </headerFooter>
  <ignoredErrors>
    <ignoredError sqref="A48:A49 A39:A42 A25:A31 A36:A37 A51 A53:A58 A43" numberStoredAsText="1"/>
  </ignoredErrors>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1:O132"/>
  <sheetViews>
    <sheetView showGridLines="0" zoomScaleNormal="100" workbookViewId="0">
      <selection activeCell="C124" sqref="C124"/>
    </sheetView>
  </sheetViews>
  <sheetFormatPr defaultRowHeight="12.75" x14ac:dyDescent="0.2"/>
  <cols>
    <col min="1" max="2" width="1.5703125" customWidth="1"/>
    <col min="3" max="3" width="11" customWidth="1"/>
    <col min="4" max="4" width="40.42578125" customWidth="1"/>
    <col min="5" max="5" width="2.42578125" customWidth="1"/>
    <col min="6" max="6" width="12.5703125" customWidth="1"/>
    <col min="7" max="7" width="16.42578125" customWidth="1"/>
    <col min="8" max="8" width="4.5703125" customWidth="1"/>
    <col min="9" max="9" width="1.5703125" customWidth="1"/>
    <col min="10" max="10" width="6.42578125" bestFit="1" customWidth="1"/>
    <col min="11" max="11" width="12.42578125" style="2128" bestFit="1" customWidth="1"/>
    <col min="12" max="12" width="24.85546875" style="2126" customWidth="1"/>
    <col min="13" max="13" width="20.5703125" style="2128" customWidth="1"/>
    <col min="14" max="15" width="9.140625" style="2128"/>
  </cols>
  <sheetData>
    <row r="1" spans="1:15" s="90" customFormat="1" ht="15" customHeight="1" x14ac:dyDescent="0.25">
      <c r="B1" s="2449" t="str">
        <f>+Index!$A$1</f>
        <v xml:space="preserve">                                                               Office of the State Controller                                                                </v>
      </c>
      <c r="C1" s="2449"/>
      <c r="D1" s="2449"/>
      <c r="E1" s="2449"/>
      <c r="F1" s="2449"/>
      <c r="G1" s="2449"/>
      <c r="H1" s="2450" t="str">
        <f>IF(Index!$B$26="na","NA","")</f>
        <v/>
      </c>
      <c r="I1" s="91"/>
      <c r="K1" s="2125"/>
      <c r="L1" s="2126"/>
      <c r="M1" s="2125"/>
      <c r="N1" s="2125"/>
      <c r="O1" s="2125"/>
    </row>
    <row r="2" spans="1:15" s="90" customFormat="1" ht="15" customHeight="1" x14ac:dyDescent="0.25">
      <c r="B2" s="2451" t="str">
        <f>+Index!$A$2</f>
        <v>2022 ACFR Worksheets</v>
      </c>
      <c r="C2" s="2451"/>
      <c r="D2" s="2451"/>
      <c r="E2" s="2451"/>
      <c r="F2" s="2451"/>
      <c r="G2" s="2451"/>
      <c r="H2" s="2450"/>
      <c r="I2" s="91"/>
      <c r="K2" s="2125"/>
      <c r="L2" s="2126"/>
      <c r="M2" s="2125"/>
      <c r="N2" s="2125"/>
      <c r="O2" s="2125"/>
    </row>
    <row r="3" spans="1:15" s="90" customFormat="1" ht="15" customHeight="1" x14ac:dyDescent="0.25">
      <c r="B3" s="2451" t="s">
        <v>3518</v>
      </c>
      <c r="C3" s="2451"/>
      <c r="D3" s="2451"/>
      <c r="E3" s="2451"/>
      <c r="F3" s="2451"/>
      <c r="G3" s="2451"/>
      <c r="H3" s="2450"/>
      <c r="I3" s="91"/>
      <c r="K3" s="2125"/>
      <c r="L3" s="2126"/>
      <c r="M3" s="2125"/>
      <c r="N3" s="2125"/>
      <c r="O3" s="2125"/>
    </row>
    <row r="4" spans="1:15" s="90" customFormat="1" ht="15" customHeight="1" x14ac:dyDescent="0.25">
      <c r="B4" s="547"/>
      <c r="C4" s="547"/>
      <c r="D4" s="547"/>
      <c r="E4" s="547"/>
      <c r="F4" s="93"/>
      <c r="G4" s="547"/>
      <c r="H4" s="546"/>
      <c r="I4" s="91"/>
      <c r="K4" s="2125"/>
      <c r="L4" s="2126"/>
      <c r="M4" s="2125"/>
      <c r="N4" s="2125"/>
      <c r="O4" s="2125"/>
    </row>
    <row r="5" spans="1:15" s="124" customFormat="1" ht="15" customHeight="1" x14ac:dyDescent="0.2">
      <c r="A5" s="122" t="s">
        <v>327</v>
      </c>
      <c r="D5" s="39" t="str">
        <f>+Index!$E$10</f>
        <v>01</v>
      </c>
      <c r="F5" s="122"/>
      <c r="H5" s="668"/>
      <c r="I5" s="126"/>
      <c r="K5" s="2127"/>
      <c r="L5" s="2126"/>
      <c r="M5" s="2127"/>
      <c r="N5" s="2127"/>
      <c r="O5" s="2127"/>
    </row>
    <row r="6" spans="1:15" s="124" customFormat="1" ht="15" customHeight="1" x14ac:dyDescent="0.2">
      <c r="A6" s="122" t="s">
        <v>1154</v>
      </c>
      <c r="D6" s="39" t="str">
        <f>+Index!$E$11</f>
        <v>North Carolina General Assembly</v>
      </c>
      <c r="F6" s="122"/>
      <c r="K6" s="2127"/>
      <c r="L6" s="2126"/>
      <c r="M6" s="2127"/>
      <c r="N6" s="2127"/>
      <c r="O6" s="2127"/>
    </row>
    <row r="7" spans="1:15" s="124" customFormat="1" ht="15" customHeight="1" x14ac:dyDescent="0.2">
      <c r="A7" s="122" t="s">
        <v>972</v>
      </c>
      <c r="D7" s="771" t="str">
        <f>CONCATENATE(Index!$E$12," ",Index!$E$14)</f>
        <v xml:space="preserve"> </v>
      </c>
      <c r="F7" s="122"/>
      <c r="K7" s="2127"/>
      <c r="L7" s="2126"/>
      <c r="M7" s="2127"/>
      <c r="N7" s="2127"/>
      <c r="O7" s="2127"/>
    </row>
    <row r="8" spans="1:15" s="124" customFormat="1" ht="15" customHeight="1" x14ac:dyDescent="0.2">
      <c r="A8" s="122" t="s">
        <v>348</v>
      </c>
      <c r="D8" s="771">
        <f>+Index!$E$13</f>
        <v>0</v>
      </c>
      <c r="F8" s="122"/>
      <c r="K8" s="2127"/>
      <c r="L8" s="2126"/>
      <c r="M8" s="2127"/>
      <c r="N8" s="2127"/>
      <c r="O8" s="2127"/>
    </row>
    <row r="9" spans="1:15" s="124" customFormat="1" ht="7.5" customHeight="1" thickBot="1" x14ac:dyDescent="0.25">
      <c r="A9" s="129"/>
      <c r="B9" s="129"/>
      <c r="C9" s="129"/>
      <c r="D9" s="129"/>
      <c r="E9" s="129"/>
      <c r="F9" s="129"/>
      <c r="G9" s="129"/>
      <c r="K9" s="2127"/>
      <c r="L9" s="2126"/>
      <c r="M9" s="2127"/>
      <c r="N9" s="2127"/>
      <c r="O9" s="2127"/>
    </row>
    <row r="10" spans="1:15" x14ac:dyDescent="0.2">
      <c r="A10" s="566" t="s">
        <v>372</v>
      </c>
    </row>
    <row r="11" spans="1:15" x14ac:dyDescent="0.2">
      <c r="A11" s="504" t="s">
        <v>222</v>
      </c>
    </row>
    <row r="12" spans="1:15" x14ac:dyDescent="0.2">
      <c r="A12" s="1349" t="s">
        <v>3939</v>
      </c>
    </row>
    <row r="13" spans="1:15" x14ac:dyDescent="0.2">
      <c r="A13" s="504"/>
      <c r="K13" s="2128" t="s">
        <v>4977</v>
      </c>
      <c r="L13" s="2128" t="s">
        <v>684</v>
      </c>
      <c r="M13" s="2128" t="s">
        <v>4978</v>
      </c>
      <c r="N13" s="2128" t="s">
        <v>40</v>
      </c>
      <c r="O13" s="2128" t="s">
        <v>4789</v>
      </c>
    </row>
    <row r="14" spans="1:15" s="335" customFormat="1" ht="12" x14ac:dyDescent="0.2">
      <c r="A14" s="663" t="s">
        <v>235</v>
      </c>
      <c r="B14" s="330"/>
      <c r="C14" s="330"/>
      <c r="D14" s="330"/>
      <c r="K14" s="2126"/>
      <c r="L14" s="2126"/>
      <c r="M14" s="2126"/>
      <c r="N14" s="2126"/>
      <c r="O14" s="2126"/>
    </row>
    <row r="15" spans="1:15" s="335" customFormat="1" ht="12" x14ac:dyDescent="0.2">
      <c r="A15" s="664" t="s">
        <v>128</v>
      </c>
      <c r="B15" s="330"/>
      <c r="C15" s="330"/>
      <c r="D15" s="330"/>
      <c r="K15" s="2126"/>
      <c r="L15" s="2126"/>
      <c r="M15" s="2126"/>
      <c r="N15" s="2126"/>
      <c r="O15" s="2126"/>
    </row>
    <row r="16" spans="1:15" s="335" customFormat="1" ht="12" x14ac:dyDescent="0.2">
      <c r="A16" s="330"/>
      <c r="B16" s="665" t="s">
        <v>279</v>
      </c>
      <c r="C16" s="330"/>
      <c r="D16" s="330"/>
      <c r="K16" s="2126"/>
      <c r="L16" s="2126"/>
      <c r="M16" s="2126"/>
      <c r="N16" s="2126"/>
      <c r="O16" s="2126"/>
    </row>
    <row r="17" spans="1:15" s="335" customFormat="1" ht="12" x14ac:dyDescent="0.2">
      <c r="A17" s="330"/>
      <c r="B17" s="330"/>
      <c r="C17" s="330" t="s">
        <v>765</v>
      </c>
      <c r="D17" s="330"/>
      <c r="G17" s="669"/>
      <c r="K17" s="2126" t="s">
        <v>971</v>
      </c>
      <c r="L17" s="2126" t="s">
        <v>765</v>
      </c>
      <c r="M17" s="2126" t="s">
        <v>279</v>
      </c>
      <c r="N17" s="2126" t="s">
        <v>4979</v>
      </c>
      <c r="O17" s="2126" t="s">
        <v>4980</v>
      </c>
    </row>
    <row r="18" spans="1:15" s="335" customFormat="1" ht="12" x14ac:dyDescent="0.2">
      <c r="A18" s="330"/>
      <c r="B18" s="330"/>
      <c r="C18" s="330" t="s">
        <v>766</v>
      </c>
      <c r="D18" s="330"/>
      <c r="G18" s="669"/>
      <c r="K18" s="2126" t="s">
        <v>971</v>
      </c>
      <c r="L18" s="2126" t="s">
        <v>766</v>
      </c>
      <c r="M18" s="2126" t="s">
        <v>279</v>
      </c>
      <c r="N18" s="2126" t="s">
        <v>4979</v>
      </c>
      <c r="O18" s="2126" t="s">
        <v>4980</v>
      </c>
    </row>
    <row r="19" spans="1:15" s="335" customFormat="1" ht="12" x14ac:dyDescent="0.2">
      <c r="A19" s="330"/>
      <c r="B19" s="330"/>
      <c r="C19" s="330" t="s">
        <v>767</v>
      </c>
      <c r="D19" s="330"/>
      <c r="G19" s="669"/>
      <c r="K19" s="2126" t="s">
        <v>971</v>
      </c>
      <c r="L19" s="2126" t="s">
        <v>767</v>
      </c>
      <c r="M19" s="2126" t="s">
        <v>279</v>
      </c>
      <c r="N19" s="2126" t="s">
        <v>4979</v>
      </c>
      <c r="O19" s="2126" t="s">
        <v>4980</v>
      </c>
    </row>
    <row r="20" spans="1:15" s="335" customFormat="1" ht="12" x14ac:dyDescent="0.2">
      <c r="A20" s="330"/>
      <c r="B20" s="330"/>
      <c r="C20" s="330" t="s">
        <v>768</v>
      </c>
      <c r="D20" s="330"/>
      <c r="G20" s="669"/>
      <c r="K20" s="2126" t="s">
        <v>971</v>
      </c>
      <c r="L20" s="2126" t="s">
        <v>4981</v>
      </c>
      <c r="M20" s="2126" t="s">
        <v>279</v>
      </c>
      <c r="N20" s="2126" t="s">
        <v>4979</v>
      </c>
      <c r="O20" s="2126" t="s">
        <v>4980</v>
      </c>
    </row>
    <row r="21" spans="1:15" s="335" customFormat="1" ht="7.35" customHeight="1" x14ac:dyDescent="0.2">
      <c r="A21" s="330"/>
      <c r="B21" s="330"/>
      <c r="C21" s="330"/>
      <c r="D21" s="330"/>
      <c r="G21" s="330"/>
      <c r="K21" s="2126"/>
      <c r="L21" s="2126"/>
      <c r="M21" s="2126"/>
      <c r="N21" s="2126"/>
      <c r="O21" s="2126"/>
    </row>
    <row r="22" spans="1:15" s="335" customFormat="1" ht="12" x14ac:dyDescent="0.2">
      <c r="A22" s="664" t="s">
        <v>2</v>
      </c>
      <c r="B22" s="330"/>
      <c r="C22" s="330"/>
      <c r="D22" s="330"/>
      <c r="G22" s="330"/>
      <c r="K22" s="2126"/>
      <c r="L22" s="2126"/>
      <c r="M22" s="2126"/>
      <c r="N22" s="2126"/>
      <c r="O22" s="2126"/>
    </row>
    <row r="23" spans="1:15" s="335" customFormat="1" ht="12" x14ac:dyDescent="0.2">
      <c r="A23" s="664"/>
      <c r="B23" s="330"/>
      <c r="C23" s="330" t="s">
        <v>769</v>
      </c>
      <c r="D23" s="330"/>
      <c r="G23" s="669"/>
      <c r="K23" s="2126" t="s">
        <v>971</v>
      </c>
      <c r="L23" s="2126" t="s">
        <v>769</v>
      </c>
      <c r="M23" s="2126" t="s">
        <v>4982</v>
      </c>
      <c r="N23" s="2126" t="s">
        <v>4983</v>
      </c>
      <c r="O23" s="2126" t="s">
        <v>4980</v>
      </c>
    </row>
    <row r="24" spans="1:15" s="335" customFormat="1" ht="12" x14ac:dyDescent="0.2">
      <c r="A24" s="664"/>
      <c r="B24" s="330"/>
      <c r="C24" s="330" t="s">
        <v>770</v>
      </c>
      <c r="D24" s="330"/>
      <c r="G24" s="669"/>
      <c r="K24" s="2126" t="s">
        <v>971</v>
      </c>
      <c r="L24" s="2126" t="s">
        <v>770</v>
      </c>
      <c r="M24" s="2126" t="s">
        <v>4982</v>
      </c>
      <c r="N24" s="2126" t="s">
        <v>4983</v>
      </c>
      <c r="O24" s="2126" t="s">
        <v>4980</v>
      </c>
    </row>
    <row r="25" spans="1:15" s="335" customFormat="1" ht="7.35" customHeight="1" x14ac:dyDescent="0.2">
      <c r="A25" s="330"/>
      <c r="B25" s="330"/>
      <c r="C25" s="330"/>
      <c r="D25" s="330"/>
      <c r="G25" s="330"/>
      <c r="K25" s="2126"/>
      <c r="L25" s="2126"/>
      <c r="M25" s="2126"/>
      <c r="N25" s="2126"/>
      <c r="O25" s="2126"/>
    </row>
    <row r="26" spans="1:15" s="335" customFormat="1" ht="12" x14ac:dyDescent="0.2">
      <c r="A26" s="664" t="s">
        <v>163</v>
      </c>
      <c r="B26" s="330"/>
      <c r="C26" s="330"/>
      <c r="D26" s="330"/>
      <c r="G26" s="330"/>
      <c r="K26" s="2126"/>
      <c r="L26" s="2126"/>
      <c r="M26" s="2126"/>
      <c r="N26" s="2126"/>
      <c r="O26" s="2126"/>
    </row>
    <row r="27" spans="1:15" s="335" customFormat="1" ht="12" x14ac:dyDescent="0.2">
      <c r="A27" s="664"/>
      <c r="B27" s="665" t="s">
        <v>4045</v>
      </c>
      <c r="C27" s="330"/>
      <c r="D27" s="330"/>
      <c r="G27" s="330"/>
      <c r="K27" s="2126"/>
      <c r="L27" s="2126"/>
      <c r="M27" s="2126"/>
      <c r="N27" s="2126"/>
      <c r="O27" s="2126"/>
    </row>
    <row r="28" spans="1:15" s="335" customFormat="1" ht="12" x14ac:dyDescent="0.2">
      <c r="A28" s="664"/>
      <c r="B28" s="665"/>
      <c r="C28" s="330" t="s">
        <v>1132</v>
      </c>
      <c r="D28" s="330"/>
      <c r="G28" s="669"/>
      <c r="K28" s="2126" t="s">
        <v>971</v>
      </c>
      <c r="L28" s="2126" t="s">
        <v>1132</v>
      </c>
      <c r="M28" s="2126" t="s">
        <v>4045</v>
      </c>
      <c r="N28" s="2126" t="s">
        <v>4984</v>
      </c>
      <c r="O28" s="2126" t="s">
        <v>4980</v>
      </c>
    </row>
    <row r="29" spans="1:15" s="335" customFormat="1" ht="12" x14ac:dyDescent="0.2">
      <c r="A29" s="664"/>
      <c r="B29" s="27"/>
      <c r="C29" s="330" t="s">
        <v>1133</v>
      </c>
      <c r="D29" s="330"/>
      <c r="G29" s="669"/>
      <c r="K29" s="2126" t="s">
        <v>971</v>
      </c>
      <c r="L29" s="2126" t="s">
        <v>1133</v>
      </c>
      <c r="M29" s="2126" t="s">
        <v>4045</v>
      </c>
      <c r="N29" s="2126" t="s">
        <v>4984</v>
      </c>
      <c r="O29" s="2126" t="s">
        <v>4980</v>
      </c>
    </row>
    <row r="30" spans="1:15" s="335" customFormat="1" ht="12" x14ac:dyDescent="0.2">
      <c r="A30" s="664"/>
      <c r="B30" s="27"/>
      <c r="C30" s="330" t="s">
        <v>1134</v>
      </c>
      <c r="D30" s="330"/>
      <c r="G30" s="669"/>
      <c r="K30" s="2126" t="s">
        <v>971</v>
      </c>
      <c r="L30" s="2126" t="s">
        <v>1134</v>
      </c>
      <c r="M30" s="2126" t="s">
        <v>4045</v>
      </c>
      <c r="N30" s="2126" t="s">
        <v>4984</v>
      </c>
      <c r="O30" s="2126" t="s">
        <v>4980</v>
      </c>
    </row>
    <row r="31" spans="1:15" s="335" customFormat="1" ht="12" x14ac:dyDescent="0.2">
      <c r="A31" s="664"/>
      <c r="B31" s="27"/>
      <c r="C31" s="330" t="s">
        <v>1122</v>
      </c>
      <c r="D31" s="330"/>
      <c r="G31" s="669"/>
      <c r="K31" s="2126" t="s">
        <v>971</v>
      </c>
      <c r="L31" s="2126" t="s">
        <v>1122</v>
      </c>
      <c r="M31" s="2126" t="s">
        <v>4045</v>
      </c>
      <c r="N31" s="2126" t="s">
        <v>4984</v>
      </c>
      <c r="O31" s="2126" t="s">
        <v>4980</v>
      </c>
    </row>
    <row r="32" spans="1:15" s="335" customFormat="1" ht="12" x14ac:dyDescent="0.2">
      <c r="A32" s="664"/>
      <c r="B32" s="27"/>
      <c r="C32" s="330" t="s">
        <v>1123</v>
      </c>
      <c r="D32" s="330"/>
      <c r="G32" s="669"/>
      <c r="K32" s="2126" t="s">
        <v>971</v>
      </c>
      <c r="L32" s="2126" t="s">
        <v>1123</v>
      </c>
      <c r="M32" s="2126" t="s">
        <v>4045</v>
      </c>
      <c r="N32" s="2126" t="s">
        <v>4984</v>
      </c>
      <c r="O32" s="2126" t="s">
        <v>4980</v>
      </c>
    </row>
    <row r="33" spans="1:15" s="335" customFormat="1" ht="12" x14ac:dyDescent="0.2">
      <c r="A33" s="664"/>
      <c r="B33" s="27"/>
      <c r="C33" s="330" t="s">
        <v>1124</v>
      </c>
      <c r="D33" s="330"/>
      <c r="G33" s="669"/>
      <c r="K33" s="2126" t="s">
        <v>971</v>
      </c>
      <c r="L33" s="2126" t="s">
        <v>1124</v>
      </c>
      <c r="M33" s="2126" t="s">
        <v>4045</v>
      </c>
      <c r="N33" s="2126" t="s">
        <v>4984</v>
      </c>
      <c r="O33" s="2126" t="s">
        <v>4980</v>
      </c>
    </row>
    <row r="34" spans="1:15" s="335" customFormat="1" ht="12" x14ac:dyDescent="0.2">
      <c r="A34" s="664"/>
      <c r="B34" s="27"/>
      <c r="C34" s="330" t="s">
        <v>1125</v>
      </c>
      <c r="D34" s="330"/>
      <c r="G34" s="669"/>
      <c r="K34" s="2126" t="s">
        <v>971</v>
      </c>
      <c r="L34" s="2126" t="s">
        <v>1125</v>
      </c>
      <c r="M34" s="2126" t="s">
        <v>4045</v>
      </c>
      <c r="N34" s="2126" t="s">
        <v>4984</v>
      </c>
      <c r="O34" s="2126" t="s">
        <v>4980</v>
      </c>
    </row>
    <row r="35" spans="1:15" s="335" customFormat="1" ht="12" x14ac:dyDescent="0.2">
      <c r="A35" s="664"/>
      <c r="B35" s="27"/>
      <c r="C35" s="330" t="s">
        <v>1126</v>
      </c>
      <c r="D35" s="330"/>
      <c r="G35" s="669"/>
      <c r="K35" s="2126" t="s">
        <v>971</v>
      </c>
      <c r="L35" s="2126" t="s">
        <v>1126</v>
      </c>
      <c r="M35" s="2126" t="s">
        <v>4045</v>
      </c>
      <c r="N35" s="2126" t="s">
        <v>4984</v>
      </c>
      <c r="O35" s="2126" t="s">
        <v>4980</v>
      </c>
    </row>
    <row r="36" spans="1:15" s="335" customFormat="1" ht="12" x14ac:dyDescent="0.2">
      <c r="A36" s="664"/>
      <c r="B36" s="665"/>
      <c r="C36" s="330" t="s">
        <v>328</v>
      </c>
      <c r="D36" s="330"/>
      <c r="G36" s="669"/>
      <c r="K36" s="2126" t="s">
        <v>971</v>
      </c>
      <c r="L36" s="2126" t="s">
        <v>328</v>
      </c>
      <c r="M36" s="2126" t="s">
        <v>4045</v>
      </c>
      <c r="N36" s="2126" t="s">
        <v>4984</v>
      </c>
      <c r="O36" s="2126" t="s">
        <v>4980</v>
      </c>
    </row>
    <row r="37" spans="1:15" s="335" customFormat="1" ht="12" x14ac:dyDescent="0.2">
      <c r="A37" s="330"/>
      <c r="B37" s="330"/>
      <c r="C37" s="330" t="s">
        <v>329</v>
      </c>
      <c r="D37" s="330"/>
      <c r="G37" s="669"/>
      <c r="K37" s="2126" t="s">
        <v>971</v>
      </c>
      <c r="L37" s="2126" t="s">
        <v>4985</v>
      </c>
      <c r="M37" s="2126" t="s">
        <v>4045</v>
      </c>
      <c r="N37" s="2126" t="s">
        <v>4984</v>
      </c>
      <c r="O37" s="2126" t="s">
        <v>4980</v>
      </c>
    </row>
    <row r="38" spans="1:15" s="335" customFormat="1" ht="12" x14ac:dyDescent="0.2">
      <c r="A38" s="330"/>
      <c r="B38" s="330"/>
      <c r="C38" s="330" t="s">
        <v>330</v>
      </c>
      <c r="D38" s="330"/>
      <c r="G38" s="669"/>
      <c r="K38" s="2126" t="s">
        <v>971</v>
      </c>
      <c r="L38" s="2126" t="s">
        <v>330</v>
      </c>
      <c r="M38" s="2126" t="s">
        <v>4045</v>
      </c>
      <c r="N38" s="2126" t="s">
        <v>4984</v>
      </c>
      <c r="O38" s="2126" t="s">
        <v>4980</v>
      </c>
    </row>
    <row r="39" spans="1:15" s="335" customFormat="1" ht="12" x14ac:dyDescent="0.2">
      <c r="A39" s="330"/>
      <c r="B39" s="330"/>
      <c r="C39" s="330" t="s">
        <v>331</v>
      </c>
      <c r="D39" s="330"/>
      <c r="G39" s="669"/>
      <c r="K39" s="2126" t="s">
        <v>971</v>
      </c>
      <c r="L39" s="2126" t="s">
        <v>331</v>
      </c>
      <c r="M39" s="2126" t="s">
        <v>4045</v>
      </c>
      <c r="N39" s="2126" t="s">
        <v>4984</v>
      </c>
      <c r="O39" s="2126" t="s">
        <v>4980</v>
      </c>
    </row>
    <row r="40" spans="1:15" s="335" customFormat="1" ht="12" x14ac:dyDescent="0.2">
      <c r="A40" s="330"/>
      <c r="B40" s="330"/>
      <c r="C40" s="330" t="s">
        <v>332</v>
      </c>
      <c r="D40" s="330"/>
      <c r="G40" s="669"/>
      <c r="K40" s="2126" t="s">
        <v>971</v>
      </c>
      <c r="L40" s="2126" t="s">
        <v>332</v>
      </c>
      <c r="M40" s="2126" t="s">
        <v>4045</v>
      </c>
      <c r="N40" s="2126" t="s">
        <v>4984</v>
      </c>
      <c r="O40" s="2126" t="s">
        <v>4980</v>
      </c>
    </row>
    <row r="41" spans="1:15" s="335" customFormat="1" ht="7.35" customHeight="1" x14ac:dyDescent="0.2">
      <c r="A41" s="330"/>
      <c r="B41" s="330"/>
      <c r="C41" s="330"/>
      <c r="D41" s="330"/>
      <c r="G41" s="330"/>
      <c r="K41" s="2126"/>
      <c r="L41" s="2126"/>
      <c r="M41" s="2126"/>
      <c r="N41" s="2126"/>
      <c r="O41" s="2126"/>
    </row>
    <row r="42" spans="1:15" s="335" customFormat="1" ht="12" x14ac:dyDescent="0.2">
      <c r="A42" s="330"/>
      <c r="B42" s="665" t="s">
        <v>4044</v>
      </c>
      <c r="C42" s="330"/>
      <c r="D42" s="330"/>
      <c r="G42" s="330"/>
      <c r="K42" s="2126"/>
      <c r="L42" s="2126"/>
      <c r="M42" s="2126"/>
      <c r="N42" s="2126"/>
      <c r="O42" s="2126"/>
    </row>
    <row r="43" spans="1:15" s="335" customFormat="1" ht="12" x14ac:dyDescent="0.2">
      <c r="A43" s="330"/>
      <c r="B43" s="665"/>
      <c r="C43" s="330" t="s">
        <v>329</v>
      </c>
      <c r="D43" s="330"/>
      <c r="G43" s="669"/>
      <c r="K43" s="2126" t="s">
        <v>971</v>
      </c>
      <c r="L43" s="2126" t="s">
        <v>4985</v>
      </c>
      <c r="M43" s="2126" t="s">
        <v>4044</v>
      </c>
      <c r="N43" s="2126" t="s">
        <v>4984</v>
      </c>
      <c r="O43" s="2126" t="s">
        <v>4980</v>
      </c>
    </row>
    <row r="44" spans="1:15" s="335" customFormat="1" ht="12" x14ac:dyDescent="0.2">
      <c r="A44" s="330"/>
      <c r="B44" s="665"/>
      <c r="C44" s="330" t="s">
        <v>330</v>
      </c>
      <c r="D44" s="330"/>
      <c r="G44" s="669"/>
      <c r="K44" s="2126" t="s">
        <v>971</v>
      </c>
      <c r="L44" s="2126" t="s">
        <v>330</v>
      </c>
      <c r="M44" s="2126" t="s">
        <v>4044</v>
      </c>
      <c r="N44" s="2126" t="s">
        <v>4984</v>
      </c>
      <c r="O44" s="2126" t="s">
        <v>4980</v>
      </c>
    </row>
    <row r="45" spans="1:15" s="335" customFormat="1" ht="12" x14ac:dyDescent="0.2">
      <c r="A45" s="330"/>
      <c r="B45" s="665"/>
      <c r="C45" s="330" t="s">
        <v>331</v>
      </c>
      <c r="D45" s="330"/>
      <c r="G45" s="669"/>
      <c r="K45" s="2126" t="s">
        <v>971</v>
      </c>
      <c r="L45" s="2126" t="s">
        <v>331</v>
      </c>
      <c r="M45" s="2126" t="s">
        <v>4044</v>
      </c>
      <c r="N45" s="2126" t="s">
        <v>4984</v>
      </c>
      <c r="O45" s="2126" t="s">
        <v>4980</v>
      </c>
    </row>
    <row r="46" spans="1:15" s="335" customFormat="1" ht="12" x14ac:dyDescent="0.2">
      <c r="A46" s="330"/>
      <c r="B46" s="330"/>
      <c r="C46" s="330" t="s">
        <v>332</v>
      </c>
      <c r="D46" s="330"/>
      <c r="G46" s="669"/>
      <c r="K46" s="2126" t="s">
        <v>971</v>
      </c>
      <c r="L46" s="2126" t="s">
        <v>332</v>
      </c>
      <c r="M46" s="2126" t="s">
        <v>4044</v>
      </c>
      <c r="N46" s="2126" t="s">
        <v>4984</v>
      </c>
      <c r="O46" s="2126" t="s">
        <v>4980</v>
      </c>
    </row>
    <row r="47" spans="1:15" s="335" customFormat="1" ht="7.35" customHeight="1" x14ac:dyDescent="0.2">
      <c r="A47" s="330"/>
      <c r="B47" s="330"/>
      <c r="C47" s="330"/>
      <c r="D47" s="330"/>
      <c r="G47" s="330"/>
      <c r="K47" s="2126"/>
      <c r="L47" s="2126"/>
      <c r="M47" s="2126"/>
      <c r="N47" s="2126"/>
      <c r="O47" s="2126"/>
    </row>
    <row r="48" spans="1:15" s="335" customFormat="1" ht="12" x14ac:dyDescent="0.2">
      <c r="A48" s="330"/>
      <c r="B48" s="27" t="s">
        <v>1017</v>
      </c>
      <c r="C48" s="330"/>
      <c r="D48" s="330"/>
      <c r="G48" s="330"/>
      <c r="K48" s="2126"/>
      <c r="L48" s="2126"/>
      <c r="M48" s="2126"/>
      <c r="N48" s="2126"/>
      <c r="O48" s="2126"/>
    </row>
    <row r="49" spans="1:15" s="335" customFormat="1" ht="12" x14ac:dyDescent="0.2">
      <c r="A49" s="330"/>
      <c r="B49" s="330"/>
      <c r="C49" s="330" t="s">
        <v>1127</v>
      </c>
      <c r="D49" s="330"/>
      <c r="G49" s="669"/>
      <c r="K49" s="2126" t="s">
        <v>971</v>
      </c>
      <c r="L49" s="2126" t="s">
        <v>1127</v>
      </c>
      <c r="M49" s="2126" t="s">
        <v>1017</v>
      </c>
      <c r="N49" s="2126" t="s">
        <v>4984</v>
      </c>
      <c r="O49" s="2126" t="s">
        <v>4980</v>
      </c>
    </row>
    <row r="50" spans="1:15" s="335" customFormat="1" ht="12" x14ac:dyDescent="0.2">
      <c r="A50" s="330"/>
      <c r="B50" s="330"/>
      <c r="C50" s="24" t="s">
        <v>1128</v>
      </c>
      <c r="D50" s="24"/>
      <c r="G50" s="669"/>
      <c r="K50" s="2126" t="s">
        <v>971</v>
      </c>
      <c r="L50" s="2126" t="s">
        <v>1128</v>
      </c>
      <c r="M50" s="2126" t="s">
        <v>1017</v>
      </c>
      <c r="N50" s="2126" t="s">
        <v>4984</v>
      </c>
      <c r="O50" s="2126" t="s">
        <v>4980</v>
      </c>
    </row>
    <row r="51" spans="1:15" s="335" customFormat="1" ht="12" x14ac:dyDescent="0.2">
      <c r="A51" s="330"/>
      <c r="B51" s="330"/>
      <c r="C51" s="330" t="s">
        <v>329</v>
      </c>
      <c r="D51" s="330"/>
      <c r="G51" s="669"/>
      <c r="K51" s="2126" t="s">
        <v>971</v>
      </c>
      <c r="L51" s="2126" t="s">
        <v>4985</v>
      </c>
      <c r="M51" s="2126" t="s">
        <v>1017</v>
      </c>
      <c r="N51" s="2126" t="s">
        <v>4984</v>
      </c>
      <c r="O51" s="2126" t="s">
        <v>4980</v>
      </c>
    </row>
    <row r="52" spans="1:15" s="335" customFormat="1" ht="12" x14ac:dyDescent="0.2">
      <c r="A52" s="330"/>
      <c r="B52" s="330"/>
      <c r="C52" s="330" t="s">
        <v>330</v>
      </c>
      <c r="D52" s="330"/>
      <c r="G52" s="669"/>
      <c r="K52" s="2126" t="s">
        <v>971</v>
      </c>
      <c r="L52" s="2126" t="s">
        <v>330</v>
      </c>
      <c r="M52" s="2126" t="s">
        <v>1017</v>
      </c>
      <c r="N52" s="2126" t="s">
        <v>4984</v>
      </c>
      <c r="O52" s="2126" t="s">
        <v>4980</v>
      </c>
    </row>
    <row r="53" spans="1:15" s="335" customFormat="1" ht="12" x14ac:dyDescent="0.2">
      <c r="A53" s="330"/>
      <c r="B53" s="330"/>
      <c r="C53" s="330" t="s">
        <v>331</v>
      </c>
      <c r="D53" s="330"/>
      <c r="G53" s="669"/>
      <c r="K53" s="2126" t="s">
        <v>971</v>
      </c>
      <c r="L53" s="2126" t="s">
        <v>331</v>
      </c>
      <c r="M53" s="2126" t="s">
        <v>1017</v>
      </c>
      <c r="N53" s="2126" t="s">
        <v>4984</v>
      </c>
      <c r="O53" s="2126" t="s">
        <v>4980</v>
      </c>
    </row>
    <row r="54" spans="1:15" s="335" customFormat="1" ht="7.35" customHeight="1" x14ac:dyDescent="0.2">
      <c r="A54" s="330"/>
      <c r="B54" s="330"/>
      <c r="C54" s="330"/>
      <c r="D54" s="330"/>
      <c r="G54" s="330"/>
      <c r="K54" s="2126"/>
      <c r="L54" s="2126"/>
      <c r="M54" s="2126"/>
      <c r="N54" s="2126"/>
      <c r="O54" s="2126"/>
    </row>
    <row r="55" spans="1:15" s="335" customFormat="1" ht="12" x14ac:dyDescent="0.2">
      <c r="A55" s="364" t="s">
        <v>106</v>
      </c>
      <c r="B55" s="330"/>
      <c r="C55" s="330"/>
      <c r="D55" s="330"/>
      <c r="G55" s="330"/>
      <c r="K55" s="2126"/>
      <c r="L55" s="2126"/>
      <c r="M55" s="2126"/>
      <c r="N55" s="2126"/>
      <c r="O55" s="2126"/>
    </row>
    <row r="56" spans="1:15" s="335" customFormat="1" ht="12" x14ac:dyDescent="0.2">
      <c r="A56" s="330"/>
      <c r="B56" s="665" t="s">
        <v>1841</v>
      </c>
      <c r="C56" s="330"/>
      <c r="D56" s="330"/>
      <c r="G56" s="330"/>
      <c r="K56" s="2126"/>
      <c r="L56" s="2126"/>
      <c r="M56" s="2126"/>
      <c r="N56" s="2126"/>
      <c r="O56" s="2126"/>
    </row>
    <row r="57" spans="1:15" s="335" customFormat="1" ht="12" x14ac:dyDescent="0.2">
      <c r="A57" s="330"/>
      <c r="B57" s="665"/>
      <c r="C57" s="330" t="s">
        <v>333</v>
      </c>
      <c r="D57" s="330"/>
      <c r="G57" s="669"/>
      <c r="K57" s="2126" t="s">
        <v>971</v>
      </c>
      <c r="L57" s="2126" t="s">
        <v>333</v>
      </c>
      <c r="M57" s="2126" t="s">
        <v>4986</v>
      </c>
      <c r="N57" s="2126" t="s">
        <v>4987</v>
      </c>
      <c r="O57" s="2126" t="s">
        <v>4980</v>
      </c>
    </row>
    <row r="58" spans="1:15" s="335" customFormat="1" ht="12" x14ac:dyDescent="0.2">
      <c r="A58" s="330"/>
      <c r="B58" s="665"/>
      <c r="C58" s="330" t="s">
        <v>334</v>
      </c>
      <c r="D58" s="330"/>
      <c r="G58" s="669"/>
      <c r="K58" s="2126" t="s">
        <v>971</v>
      </c>
      <c r="L58" s="2126" t="s">
        <v>334</v>
      </c>
      <c r="M58" s="2126" t="s">
        <v>4986</v>
      </c>
      <c r="N58" s="2126" t="s">
        <v>4987</v>
      </c>
      <c r="O58" s="2126" t="s">
        <v>4980</v>
      </c>
    </row>
    <row r="59" spans="1:15" s="335" customFormat="1" ht="12" x14ac:dyDescent="0.2">
      <c r="A59" s="330"/>
      <c r="B59" s="665"/>
      <c r="C59" s="330" t="s">
        <v>335</v>
      </c>
      <c r="D59" s="330"/>
      <c r="G59" s="669"/>
      <c r="K59" s="2126" t="s">
        <v>971</v>
      </c>
      <c r="L59" s="2126" t="s">
        <v>335</v>
      </c>
      <c r="M59" s="2126" t="s">
        <v>4986</v>
      </c>
      <c r="N59" s="2126" t="s">
        <v>4987</v>
      </c>
      <c r="O59" s="2126" t="s">
        <v>4980</v>
      </c>
    </row>
    <row r="60" spans="1:15" s="335" customFormat="1" ht="12" x14ac:dyDescent="0.2">
      <c r="A60" s="330"/>
      <c r="B60" s="665"/>
      <c r="C60" s="330" t="s">
        <v>1843</v>
      </c>
      <c r="D60" s="330"/>
      <c r="G60" s="1264"/>
      <c r="K60" s="2126" t="s">
        <v>971</v>
      </c>
      <c r="L60" s="2126" t="s">
        <v>1843</v>
      </c>
      <c r="M60" s="2126" t="s">
        <v>4986</v>
      </c>
      <c r="N60" s="2126" t="s">
        <v>4987</v>
      </c>
      <c r="O60" s="2126" t="s">
        <v>4980</v>
      </c>
    </row>
    <row r="61" spans="1:15" s="335" customFormat="1" ht="12" x14ac:dyDescent="0.2">
      <c r="A61" s="330"/>
      <c r="B61" s="330"/>
      <c r="C61" s="666" t="s">
        <v>4147</v>
      </c>
      <c r="D61" s="666"/>
      <c r="G61" s="330"/>
      <c r="K61" s="2126"/>
      <c r="L61" s="2126"/>
      <c r="M61" s="2126"/>
      <c r="N61" s="2126"/>
      <c r="O61" s="2126"/>
    </row>
    <row r="62" spans="1:15" s="335" customFormat="1" ht="12" x14ac:dyDescent="0.2">
      <c r="A62" s="330"/>
      <c r="B62" s="330"/>
      <c r="C62" s="330" t="s">
        <v>682</v>
      </c>
      <c r="D62" s="330"/>
      <c r="G62" s="669"/>
      <c r="K62" s="2126" t="s">
        <v>971</v>
      </c>
      <c r="L62" s="2126" t="s">
        <v>4988</v>
      </c>
      <c r="M62" s="2126" t="s">
        <v>4989</v>
      </c>
      <c r="N62" s="2126" t="s">
        <v>4987</v>
      </c>
      <c r="O62" s="2126" t="s">
        <v>4980</v>
      </c>
    </row>
    <row r="63" spans="1:15" s="335" customFormat="1" ht="12" x14ac:dyDescent="0.2">
      <c r="A63" s="330"/>
      <c r="B63" s="330"/>
      <c r="C63" s="330" t="s">
        <v>683</v>
      </c>
      <c r="D63" s="330"/>
      <c r="G63" s="669"/>
      <c r="K63" s="2126" t="s">
        <v>971</v>
      </c>
      <c r="L63" s="2126" t="s">
        <v>4990</v>
      </c>
      <c r="M63" s="2126" t="s">
        <v>4989</v>
      </c>
      <c r="N63" s="2126" t="s">
        <v>4987</v>
      </c>
      <c r="O63" s="2126" t="s">
        <v>4980</v>
      </c>
    </row>
    <row r="64" spans="1:15" s="335" customFormat="1" ht="12" x14ac:dyDescent="0.2">
      <c r="A64" s="330"/>
      <c r="B64" s="330"/>
      <c r="C64" s="330" t="s">
        <v>695</v>
      </c>
      <c r="D64" s="330"/>
      <c r="G64" s="669"/>
      <c r="K64" s="2126" t="s">
        <v>971</v>
      </c>
      <c r="L64" s="2126" t="s">
        <v>4991</v>
      </c>
      <c r="M64" s="2126" t="s">
        <v>4989</v>
      </c>
      <c r="N64" s="2126" t="s">
        <v>4987</v>
      </c>
      <c r="O64" s="2126" t="s">
        <v>4980</v>
      </c>
    </row>
    <row r="65" spans="1:15" s="335" customFormat="1" ht="12" x14ac:dyDescent="0.2">
      <c r="A65" s="330"/>
      <c r="B65" s="330"/>
      <c r="C65" s="330" t="s">
        <v>697</v>
      </c>
      <c r="D65" s="330"/>
      <c r="G65" s="669"/>
      <c r="K65" s="2126" t="s">
        <v>971</v>
      </c>
      <c r="L65" s="2126" t="s">
        <v>4992</v>
      </c>
      <c r="M65" s="2126" t="s">
        <v>4989</v>
      </c>
      <c r="N65" s="2126" t="s">
        <v>4987</v>
      </c>
      <c r="O65" s="2126" t="s">
        <v>4980</v>
      </c>
    </row>
    <row r="66" spans="1:15" s="335" customFormat="1" ht="12" x14ac:dyDescent="0.2">
      <c r="A66" s="330"/>
      <c r="B66" s="330"/>
      <c r="C66" s="330" t="s">
        <v>698</v>
      </c>
      <c r="D66" s="330"/>
      <c r="G66" s="669"/>
      <c r="K66" s="2126" t="s">
        <v>971</v>
      </c>
      <c r="L66" s="2126" t="s">
        <v>4993</v>
      </c>
      <c r="M66" s="2126" t="s">
        <v>4989</v>
      </c>
      <c r="N66" s="2126" t="s">
        <v>4987</v>
      </c>
      <c r="O66" s="2126" t="s">
        <v>4980</v>
      </c>
    </row>
    <row r="67" spans="1:15" s="335" customFormat="1" ht="12" x14ac:dyDescent="0.2">
      <c r="A67" s="330"/>
      <c r="B67" s="330"/>
      <c r="C67" s="330" t="s">
        <v>202</v>
      </c>
      <c r="D67" s="330"/>
      <c r="G67" s="669"/>
      <c r="K67" s="2126" t="s">
        <v>971</v>
      </c>
      <c r="L67" s="2126" t="s">
        <v>4994</v>
      </c>
      <c r="M67" s="2126" t="s">
        <v>4989</v>
      </c>
      <c r="N67" s="2126" t="s">
        <v>4987</v>
      </c>
      <c r="O67" s="2126" t="s">
        <v>4980</v>
      </c>
    </row>
    <row r="68" spans="1:15" x14ac:dyDescent="0.2">
      <c r="A68" s="330"/>
      <c r="B68" s="330"/>
      <c r="C68" s="330" t="s">
        <v>552</v>
      </c>
      <c r="D68" s="330"/>
      <c r="G68" s="669"/>
      <c r="K68" s="2126" t="s">
        <v>971</v>
      </c>
      <c r="L68" s="2126" t="s">
        <v>4995</v>
      </c>
      <c r="M68" s="2126" t="s">
        <v>4989</v>
      </c>
      <c r="N68" s="2126" t="s">
        <v>4987</v>
      </c>
      <c r="O68" s="2126" t="s">
        <v>4980</v>
      </c>
    </row>
    <row r="69" spans="1:15" ht="7.35" customHeight="1" x14ac:dyDescent="0.2">
      <c r="A69" s="330"/>
      <c r="B69" s="330"/>
      <c r="C69" s="330"/>
      <c r="D69" s="330"/>
      <c r="G69" s="330"/>
    </row>
    <row r="70" spans="1:15" x14ac:dyDescent="0.2">
      <c r="A70" s="330"/>
      <c r="B70" s="330"/>
      <c r="C70" s="666" t="s">
        <v>336</v>
      </c>
      <c r="D70" s="666"/>
      <c r="G70" s="330"/>
    </row>
    <row r="71" spans="1:15" x14ac:dyDescent="0.2">
      <c r="A71" s="330"/>
      <c r="B71" s="330"/>
      <c r="C71" s="330" t="s">
        <v>682</v>
      </c>
      <c r="D71" s="330"/>
      <c r="G71" s="669"/>
      <c r="K71" s="2126" t="s">
        <v>971</v>
      </c>
      <c r="L71" s="2126" t="s">
        <v>4988</v>
      </c>
      <c r="M71" s="2126" t="s">
        <v>4996</v>
      </c>
      <c r="N71" s="2126" t="s">
        <v>4987</v>
      </c>
      <c r="O71" s="2126" t="s">
        <v>4980</v>
      </c>
    </row>
    <row r="72" spans="1:15" x14ac:dyDescent="0.2">
      <c r="A72" s="330"/>
      <c r="B72" s="330"/>
      <c r="C72" s="330" t="s">
        <v>696</v>
      </c>
      <c r="D72" s="330"/>
      <c r="G72" s="669"/>
      <c r="K72" s="2126" t="s">
        <v>971</v>
      </c>
      <c r="L72" s="2126" t="s">
        <v>4997</v>
      </c>
      <c r="M72" s="2126" t="s">
        <v>4996</v>
      </c>
      <c r="N72" s="2126" t="s">
        <v>4987</v>
      </c>
      <c r="O72" s="2126" t="s">
        <v>4980</v>
      </c>
    </row>
    <row r="73" spans="1:15" x14ac:dyDescent="0.2">
      <c r="A73" s="330"/>
      <c r="B73" s="330"/>
      <c r="C73" s="330" t="s">
        <v>697</v>
      </c>
      <c r="D73" s="330"/>
      <c r="G73" s="669"/>
      <c r="K73" s="2126" t="s">
        <v>971</v>
      </c>
      <c r="L73" s="2126" t="s">
        <v>4992</v>
      </c>
      <c r="M73" s="2126" t="s">
        <v>4996</v>
      </c>
      <c r="N73" s="2126" t="s">
        <v>4987</v>
      </c>
      <c r="O73" s="2126" t="s">
        <v>4980</v>
      </c>
    </row>
    <row r="74" spans="1:15" x14ac:dyDescent="0.2">
      <c r="A74" s="330"/>
      <c r="B74" s="330"/>
      <c r="C74" s="330" t="s">
        <v>202</v>
      </c>
      <c r="D74" s="330"/>
      <c r="G74" s="669"/>
      <c r="K74" s="2126" t="s">
        <v>971</v>
      </c>
      <c r="L74" s="2126" t="s">
        <v>4994</v>
      </c>
      <c r="M74" s="2126" t="s">
        <v>4996</v>
      </c>
      <c r="N74" s="2126" t="s">
        <v>4987</v>
      </c>
      <c r="O74" s="2126" t="s">
        <v>4980</v>
      </c>
    </row>
    <row r="75" spans="1:15" x14ac:dyDescent="0.2">
      <c r="A75" s="330"/>
      <c r="B75" s="330"/>
      <c r="C75" s="330" t="s">
        <v>552</v>
      </c>
      <c r="D75" s="330"/>
      <c r="G75" s="669"/>
      <c r="K75" s="2126" t="s">
        <v>971</v>
      </c>
      <c r="L75" s="2126" t="s">
        <v>4995</v>
      </c>
      <c r="M75" s="2126" t="s">
        <v>4996</v>
      </c>
      <c r="N75" s="2126" t="s">
        <v>4987</v>
      </c>
      <c r="O75" s="2126" t="s">
        <v>4980</v>
      </c>
    </row>
    <row r="76" spans="1:15" x14ac:dyDescent="0.2">
      <c r="A76" s="330"/>
      <c r="B76" s="330"/>
      <c r="C76" s="330"/>
      <c r="D76" s="330"/>
      <c r="G76" s="1265"/>
    </row>
    <row r="77" spans="1:15" x14ac:dyDescent="0.2">
      <c r="A77" s="330"/>
      <c r="B77" s="330"/>
      <c r="C77" s="330"/>
      <c r="D77" s="330"/>
      <c r="G77" s="1265"/>
    </row>
    <row r="78" spans="1:15" x14ac:dyDescent="0.2">
      <c r="A78" s="364" t="s">
        <v>106</v>
      </c>
      <c r="B78" s="330"/>
      <c r="C78" s="330"/>
      <c r="D78" s="330"/>
      <c r="G78" s="330"/>
    </row>
    <row r="79" spans="1:15" x14ac:dyDescent="0.2">
      <c r="A79" s="330"/>
      <c r="B79" s="665" t="s">
        <v>1841</v>
      </c>
      <c r="C79" s="330"/>
      <c r="D79" s="330"/>
      <c r="G79" s="330"/>
    </row>
    <row r="80" spans="1:15" x14ac:dyDescent="0.2">
      <c r="A80" s="330"/>
      <c r="B80" s="665"/>
      <c r="C80" s="330" t="s">
        <v>337</v>
      </c>
      <c r="D80" s="330"/>
      <c r="G80" s="330"/>
    </row>
    <row r="81" spans="1:15" x14ac:dyDescent="0.2">
      <c r="A81" s="330"/>
      <c r="B81" s="665"/>
      <c r="C81" s="666" t="s">
        <v>203</v>
      </c>
      <c r="D81" s="666"/>
      <c r="G81" s="1265"/>
    </row>
    <row r="82" spans="1:15" x14ac:dyDescent="0.2">
      <c r="A82" s="330"/>
      <c r="B82" s="330"/>
      <c r="C82" s="330" t="s">
        <v>1025</v>
      </c>
      <c r="D82" s="330"/>
      <c r="G82" s="669"/>
      <c r="K82" s="2126" t="s">
        <v>971</v>
      </c>
      <c r="L82" s="2126" t="s">
        <v>4998</v>
      </c>
      <c r="M82" s="2126" t="s">
        <v>4999</v>
      </c>
      <c r="N82" s="2126" t="s">
        <v>4987</v>
      </c>
      <c r="O82" s="2126" t="s">
        <v>4980</v>
      </c>
    </row>
    <row r="83" spans="1:15" x14ac:dyDescent="0.2">
      <c r="A83" s="330"/>
      <c r="B83" s="330"/>
      <c r="C83" s="666" t="s">
        <v>1026</v>
      </c>
      <c r="D83" s="666"/>
      <c r="G83" s="1265"/>
    </row>
    <row r="84" spans="1:15" x14ac:dyDescent="0.2">
      <c r="A84" s="330"/>
      <c r="B84" s="330"/>
      <c r="C84" s="330" t="s">
        <v>1027</v>
      </c>
      <c r="D84" s="330"/>
      <c r="G84" s="669"/>
      <c r="K84" s="2126" t="s">
        <v>971</v>
      </c>
      <c r="L84" s="2126" t="s">
        <v>5000</v>
      </c>
      <c r="M84" s="2126" t="s">
        <v>5001</v>
      </c>
      <c r="N84" s="2126" t="s">
        <v>4987</v>
      </c>
      <c r="O84" s="2126" t="s">
        <v>4980</v>
      </c>
    </row>
    <row r="85" spans="1:15" x14ac:dyDescent="0.2">
      <c r="A85" s="330"/>
      <c r="B85" s="330"/>
      <c r="C85" s="330" t="s">
        <v>1028</v>
      </c>
      <c r="D85" s="330"/>
      <c r="G85" s="669"/>
      <c r="K85" s="2126" t="s">
        <v>971</v>
      </c>
      <c r="L85" s="2126" t="s">
        <v>5002</v>
      </c>
      <c r="M85" s="2126" t="s">
        <v>5001</v>
      </c>
      <c r="N85" s="2126" t="s">
        <v>4987</v>
      </c>
      <c r="O85" s="2126" t="s">
        <v>4980</v>
      </c>
    </row>
    <row r="86" spans="1:15" x14ac:dyDescent="0.2">
      <c r="A86" s="330"/>
      <c r="B86" s="330"/>
      <c r="C86" s="330" t="s">
        <v>1029</v>
      </c>
      <c r="D86" s="330"/>
      <c r="G86" s="1264"/>
      <c r="K86" s="2126" t="s">
        <v>971</v>
      </c>
      <c r="L86" s="2126" t="s">
        <v>5003</v>
      </c>
      <c r="M86" s="2126" t="s">
        <v>5001</v>
      </c>
      <c r="N86" s="2126" t="s">
        <v>4987</v>
      </c>
      <c r="O86" s="2126" t="s">
        <v>4980</v>
      </c>
    </row>
    <row r="87" spans="1:15" x14ac:dyDescent="0.2">
      <c r="A87" s="330"/>
      <c r="B87" s="330"/>
      <c r="C87" s="666" t="s">
        <v>4150</v>
      </c>
      <c r="D87" s="330"/>
      <c r="G87" s="1265"/>
    </row>
    <row r="88" spans="1:15" x14ac:dyDescent="0.2">
      <c r="A88" s="330"/>
      <c r="B88" s="330"/>
      <c r="C88" s="330" t="s">
        <v>1025</v>
      </c>
      <c r="D88" s="330"/>
      <c r="G88" s="669"/>
      <c r="K88" s="2126" t="s">
        <v>971</v>
      </c>
      <c r="L88" s="2126" t="s">
        <v>4998</v>
      </c>
      <c r="M88" s="2126" t="s">
        <v>5004</v>
      </c>
      <c r="N88" s="2126" t="s">
        <v>4987</v>
      </c>
      <c r="O88" s="2126" t="s">
        <v>4980</v>
      </c>
    </row>
    <row r="89" spans="1:15" x14ac:dyDescent="0.2">
      <c r="A89" s="330"/>
      <c r="B89" s="330"/>
      <c r="C89" s="330" t="s">
        <v>1028</v>
      </c>
      <c r="D89" s="330"/>
      <c r="G89" s="1264"/>
      <c r="K89" s="2126" t="s">
        <v>971</v>
      </c>
      <c r="L89" s="2126" t="s">
        <v>5002</v>
      </c>
      <c r="M89" s="2126" t="s">
        <v>5004</v>
      </c>
      <c r="N89" s="2126" t="s">
        <v>4987</v>
      </c>
      <c r="O89" s="2126" t="s">
        <v>4980</v>
      </c>
    </row>
    <row r="90" spans="1:15" x14ac:dyDescent="0.2">
      <c r="A90" s="330"/>
      <c r="B90" s="330"/>
      <c r="C90" s="330" t="s">
        <v>1030</v>
      </c>
      <c r="D90" s="330"/>
      <c r="G90" s="330"/>
      <c r="N90" s="2126"/>
    </row>
    <row r="91" spans="1:15" x14ac:dyDescent="0.2">
      <c r="A91" s="330"/>
      <c r="B91" s="330"/>
      <c r="C91" s="666" t="s">
        <v>1026</v>
      </c>
      <c r="D91" s="666"/>
      <c r="G91" s="1265"/>
    </row>
    <row r="92" spans="1:15" ht="13.5" customHeight="1" x14ac:dyDescent="0.2">
      <c r="A92" s="330"/>
      <c r="B92" s="330"/>
      <c r="C92" s="330" t="s">
        <v>1031</v>
      </c>
      <c r="D92" s="330"/>
      <c r="G92" s="669"/>
      <c r="K92" s="2126" t="s">
        <v>971</v>
      </c>
      <c r="L92" s="2126" t="s">
        <v>5005</v>
      </c>
      <c r="M92" s="2126" t="s">
        <v>5006</v>
      </c>
      <c r="N92" s="2126" t="s">
        <v>4987</v>
      </c>
      <c r="O92" s="2126" t="s">
        <v>4980</v>
      </c>
    </row>
    <row r="93" spans="1:15" x14ac:dyDescent="0.2">
      <c r="A93" s="330"/>
      <c r="B93" s="330"/>
      <c r="C93" s="330"/>
      <c r="D93" s="330"/>
      <c r="G93" s="330"/>
    </row>
    <row r="94" spans="1:15" x14ac:dyDescent="0.2">
      <c r="A94" s="664" t="s">
        <v>729</v>
      </c>
      <c r="B94" s="330"/>
      <c r="C94" s="330"/>
      <c r="D94" s="330"/>
      <c r="G94" s="330"/>
    </row>
    <row r="95" spans="1:15" x14ac:dyDescent="0.2">
      <c r="A95" s="664"/>
      <c r="B95" s="27" t="s">
        <v>144</v>
      </c>
      <c r="C95" s="330"/>
      <c r="D95" s="330"/>
      <c r="G95" s="330"/>
    </row>
    <row r="96" spans="1:15" x14ac:dyDescent="0.2">
      <c r="A96" s="330"/>
      <c r="B96" s="665"/>
      <c r="C96" s="330" t="s">
        <v>1116</v>
      </c>
      <c r="D96" s="330"/>
      <c r="G96" s="330"/>
    </row>
    <row r="97" spans="1:15" x14ac:dyDescent="0.2">
      <c r="A97" s="330"/>
      <c r="B97" s="665"/>
      <c r="C97" s="330" t="s">
        <v>1117</v>
      </c>
      <c r="D97" s="330"/>
    </row>
    <row r="98" spans="1:15" x14ac:dyDescent="0.2">
      <c r="A98" s="330"/>
      <c r="B98" s="665"/>
      <c r="C98" s="330" t="s">
        <v>1118</v>
      </c>
      <c r="D98" s="330"/>
      <c r="G98" s="669"/>
      <c r="K98" s="2126" t="s">
        <v>971</v>
      </c>
      <c r="L98" s="2126" t="s">
        <v>5007</v>
      </c>
      <c r="M98" s="2126" t="s">
        <v>5008</v>
      </c>
      <c r="N98" s="2126" t="s">
        <v>5009</v>
      </c>
      <c r="O98" s="2126" t="s">
        <v>4980</v>
      </c>
    </row>
    <row r="99" spans="1:15" x14ac:dyDescent="0.2">
      <c r="A99" s="330"/>
      <c r="B99" s="665"/>
      <c r="C99" s="330" t="s">
        <v>1119</v>
      </c>
      <c r="D99" s="330"/>
      <c r="G99" s="669"/>
      <c r="K99" s="2126" t="s">
        <v>971</v>
      </c>
      <c r="L99" s="2126" t="s">
        <v>5010</v>
      </c>
      <c r="M99" s="2126" t="s">
        <v>5008</v>
      </c>
      <c r="N99" s="2126" t="s">
        <v>5009</v>
      </c>
      <c r="O99" s="2126" t="s">
        <v>4980</v>
      </c>
    </row>
    <row r="100" spans="1:15" x14ac:dyDescent="0.2">
      <c r="A100" s="330"/>
      <c r="B100" s="330"/>
      <c r="C100" s="330" t="s">
        <v>1120</v>
      </c>
      <c r="D100" s="330"/>
      <c r="G100" s="1265"/>
      <c r="M100" s="2126"/>
      <c r="N100" s="2126"/>
    </row>
    <row r="101" spans="1:15" x14ac:dyDescent="0.2">
      <c r="C101" s="330" t="s">
        <v>1121</v>
      </c>
      <c r="D101" s="330"/>
      <c r="G101" s="669"/>
      <c r="K101" s="2126" t="s">
        <v>971</v>
      </c>
      <c r="L101" s="2126" t="s">
        <v>5011</v>
      </c>
      <c r="M101" s="2126" t="s">
        <v>5012</v>
      </c>
      <c r="N101" s="2126" t="s">
        <v>5009</v>
      </c>
      <c r="O101" s="2126" t="s">
        <v>4980</v>
      </c>
    </row>
    <row r="102" spans="1:15" x14ac:dyDescent="0.2">
      <c r="C102" s="330" t="s">
        <v>1000</v>
      </c>
      <c r="D102" s="330"/>
      <c r="G102" s="669"/>
      <c r="K102" s="2126" t="s">
        <v>971</v>
      </c>
      <c r="L102" s="2126" t="s">
        <v>5013</v>
      </c>
      <c r="M102" s="2126" t="s">
        <v>5012</v>
      </c>
      <c r="N102" s="2126" t="s">
        <v>5009</v>
      </c>
      <c r="O102" s="2126" t="s">
        <v>4980</v>
      </c>
    </row>
    <row r="103" spans="1:15" x14ac:dyDescent="0.2">
      <c r="C103" s="330" t="s">
        <v>1001</v>
      </c>
      <c r="D103" s="330"/>
      <c r="G103" s="669"/>
      <c r="K103" s="2126" t="s">
        <v>971</v>
      </c>
      <c r="L103" s="2126" t="s">
        <v>5014</v>
      </c>
      <c r="M103" s="2126" t="s">
        <v>144</v>
      </c>
      <c r="N103" s="2126" t="s">
        <v>5009</v>
      </c>
      <c r="O103" s="2126" t="s">
        <v>4980</v>
      </c>
    </row>
    <row r="104" spans="1:15" ht="12" customHeight="1" x14ac:dyDescent="0.2">
      <c r="C104" s="330" t="s">
        <v>1002</v>
      </c>
      <c r="D104" s="330"/>
      <c r="G104" s="669"/>
      <c r="K104" s="2126" t="s">
        <v>971</v>
      </c>
      <c r="L104" s="2126" t="s">
        <v>5015</v>
      </c>
      <c r="M104" s="2126" t="s">
        <v>144</v>
      </c>
      <c r="N104" s="2126" t="s">
        <v>5009</v>
      </c>
      <c r="O104" s="2126" t="s">
        <v>4980</v>
      </c>
    </row>
    <row r="105" spans="1:15" x14ac:dyDescent="0.2">
      <c r="C105" s="330"/>
      <c r="D105" s="330"/>
      <c r="G105" s="330"/>
      <c r="N105" s="2126"/>
    </row>
    <row r="106" spans="1:15" x14ac:dyDescent="0.2">
      <c r="A106" s="663" t="s">
        <v>1003</v>
      </c>
      <c r="B106" s="330"/>
      <c r="C106" s="330"/>
      <c r="D106" s="330"/>
      <c r="G106" s="330"/>
      <c r="N106" s="2126"/>
    </row>
    <row r="107" spans="1:15" x14ac:dyDescent="0.2">
      <c r="A107" s="664" t="s">
        <v>110</v>
      </c>
      <c r="B107" s="330"/>
      <c r="C107" s="330"/>
      <c r="D107" s="330"/>
      <c r="G107" s="330"/>
      <c r="N107" s="2126"/>
    </row>
    <row r="108" spans="1:15" x14ac:dyDescent="0.2">
      <c r="A108" s="330"/>
      <c r="B108" s="665" t="s">
        <v>1004</v>
      </c>
      <c r="C108" s="330"/>
      <c r="D108" s="330"/>
      <c r="G108" s="1265"/>
      <c r="J108" s="745"/>
      <c r="K108" s="2129"/>
      <c r="N108" s="2126"/>
    </row>
    <row r="109" spans="1:15" ht="16.5" customHeight="1" x14ac:dyDescent="0.2">
      <c r="A109" s="330"/>
      <c r="B109" s="330"/>
      <c r="C109" s="330" t="s">
        <v>765</v>
      </c>
      <c r="D109" s="330"/>
      <c r="G109" s="669"/>
      <c r="K109" s="2126" t="s">
        <v>971</v>
      </c>
      <c r="L109" s="2126" t="s">
        <v>765</v>
      </c>
      <c r="M109" s="2126" t="s">
        <v>1004</v>
      </c>
      <c r="N109" s="2126" t="s">
        <v>5016</v>
      </c>
      <c r="O109" s="2126" t="s">
        <v>4980</v>
      </c>
    </row>
    <row r="110" spans="1:15" x14ac:dyDescent="0.2">
      <c r="A110" s="330"/>
      <c r="B110" s="330"/>
      <c r="C110" s="330"/>
      <c r="D110" s="330"/>
      <c r="G110" s="330"/>
      <c r="K110" s="2126"/>
      <c r="M110" s="2126"/>
      <c r="N110" s="2126"/>
    </row>
    <row r="111" spans="1:15" x14ac:dyDescent="0.2">
      <c r="A111" s="330"/>
      <c r="B111" s="665" t="s">
        <v>304</v>
      </c>
      <c r="C111" s="330"/>
      <c r="D111" s="330"/>
      <c r="G111" s="1265"/>
      <c r="J111" s="745"/>
      <c r="K111" s="2126"/>
      <c r="M111" s="2126"/>
      <c r="N111" s="2126"/>
      <c r="O111" s="2126"/>
    </row>
    <row r="112" spans="1:15" x14ac:dyDescent="0.2">
      <c r="A112" s="330"/>
      <c r="B112" s="665"/>
      <c r="C112" s="330" t="s">
        <v>338</v>
      </c>
      <c r="D112" s="330"/>
      <c r="G112" s="669"/>
      <c r="J112" s="745"/>
      <c r="K112" s="2126" t="s">
        <v>971</v>
      </c>
      <c r="L112" s="2126" t="s">
        <v>338</v>
      </c>
      <c r="M112" s="2126" t="s">
        <v>304</v>
      </c>
      <c r="N112" s="2126" t="s">
        <v>5016</v>
      </c>
      <c r="O112" s="2126" t="s">
        <v>4980</v>
      </c>
    </row>
    <row r="113" spans="1:15" x14ac:dyDescent="0.2">
      <c r="A113" s="330"/>
      <c r="B113" s="665"/>
      <c r="C113" s="330" t="s">
        <v>339</v>
      </c>
      <c r="D113" s="330"/>
      <c r="G113" s="669"/>
      <c r="J113" s="745"/>
      <c r="K113" s="2126" t="s">
        <v>971</v>
      </c>
      <c r="L113" s="2126" t="s">
        <v>339</v>
      </c>
      <c r="M113" s="2126" t="s">
        <v>304</v>
      </c>
      <c r="N113" s="2126" t="s">
        <v>5016</v>
      </c>
      <c r="O113" s="2126" t="s">
        <v>4980</v>
      </c>
    </row>
    <row r="114" spans="1:15" ht="12.75" customHeight="1" x14ac:dyDescent="0.2">
      <c r="A114" s="330"/>
      <c r="B114" s="330"/>
      <c r="C114" s="330" t="s">
        <v>1453</v>
      </c>
      <c r="D114" s="330"/>
      <c r="G114" s="669"/>
      <c r="K114" s="2126" t="s">
        <v>971</v>
      </c>
      <c r="L114" s="2126" t="s">
        <v>1453</v>
      </c>
      <c r="M114" s="2126" t="s">
        <v>304</v>
      </c>
      <c r="N114" s="2126" t="s">
        <v>5016</v>
      </c>
      <c r="O114" s="2126" t="s">
        <v>4980</v>
      </c>
    </row>
    <row r="115" spans="1:15" x14ac:dyDescent="0.2">
      <c r="A115" s="330"/>
      <c r="B115" s="665"/>
      <c r="J115" s="745"/>
      <c r="K115" s="2126"/>
      <c r="M115" s="2126"/>
      <c r="N115" s="2126"/>
    </row>
    <row r="116" spans="1:15" x14ac:dyDescent="0.2">
      <c r="A116" s="330"/>
      <c r="B116" s="665" t="s">
        <v>1454</v>
      </c>
      <c r="D116" s="27"/>
      <c r="G116" s="1265"/>
      <c r="K116" s="2126"/>
      <c r="M116" s="2126"/>
      <c r="N116" s="2126"/>
    </row>
    <row r="117" spans="1:15" x14ac:dyDescent="0.2">
      <c r="A117" s="330"/>
      <c r="B117" s="330" t="s">
        <v>340</v>
      </c>
      <c r="D117" s="330"/>
      <c r="G117" s="669"/>
      <c r="K117" s="2126" t="s">
        <v>971</v>
      </c>
      <c r="L117" s="2126" t="s">
        <v>5017</v>
      </c>
      <c r="M117" s="2126" t="s">
        <v>1454</v>
      </c>
      <c r="N117" s="2126" t="s">
        <v>5016</v>
      </c>
      <c r="O117" s="2126" t="s">
        <v>4980</v>
      </c>
    </row>
    <row r="118" spans="1:15" x14ac:dyDescent="0.2">
      <c r="A118" s="330"/>
      <c r="B118" s="330" t="s">
        <v>341</v>
      </c>
      <c r="D118" s="330"/>
      <c r="G118" s="669"/>
      <c r="K118" s="2126" t="s">
        <v>971</v>
      </c>
      <c r="L118" s="2126" t="s">
        <v>5018</v>
      </c>
      <c r="M118" s="2126" t="s">
        <v>1454</v>
      </c>
      <c r="N118" s="2126" t="s">
        <v>5016</v>
      </c>
      <c r="O118" s="2126" t="s">
        <v>4980</v>
      </c>
    </row>
    <row r="119" spans="1:15" x14ac:dyDescent="0.2">
      <c r="A119" s="330"/>
      <c r="B119" s="330" t="s">
        <v>905</v>
      </c>
      <c r="D119" s="330"/>
      <c r="G119" s="669"/>
      <c r="K119" s="2126" t="s">
        <v>971</v>
      </c>
      <c r="L119" s="2126" t="s">
        <v>5019</v>
      </c>
      <c r="M119" s="2126" t="s">
        <v>1454</v>
      </c>
      <c r="N119" s="2126" t="s">
        <v>5016</v>
      </c>
      <c r="O119" s="2126" t="s">
        <v>4980</v>
      </c>
    </row>
    <row r="120" spans="1:15" x14ac:dyDescent="0.2">
      <c r="A120" s="330"/>
      <c r="B120" s="330" t="s">
        <v>906</v>
      </c>
      <c r="D120" s="330"/>
      <c r="G120" s="669"/>
      <c r="K120" s="2126" t="s">
        <v>971</v>
      </c>
      <c r="L120" s="2126" t="s">
        <v>5020</v>
      </c>
      <c r="M120" s="2126" t="s">
        <v>1454</v>
      </c>
      <c r="N120" s="2126" t="s">
        <v>5016</v>
      </c>
      <c r="O120" s="2126" t="s">
        <v>4980</v>
      </c>
    </row>
    <row r="121" spans="1:15" x14ac:dyDescent="0.2">
      <c r="N121" s="2126"/>
    </row>
    <row r="122" spans="1:15" x14ac:dyDescent="0.2">
      <c r="B122" s="272" t="s">
        <v>3940</v>
      </c>
    </row>
    <row r="124" spans="1:15" x14ac:dyDescent="0.2">
      <c r="B124" s="1584"/>
      <c r="C124" s="1584"/>
      <c r="D124" s="1584"/>
      <c r="E124" s="1584"/>
      <c r="F124" s="1584"/>
      <c r="G124" s="1584"/>
    </row>
    <row r="125" spans="1:15" x14ac:dyDescent="0.2">
      <c r="B125" s="1585"/>
      <c r="C125" s="1585"/>
      <c r="D125" s="1585"/>
      <c r="E125" s="1585"/>
      <c r="F125" s="1585"/>
      <c r="G125" s="1585"/>
    </row>
    <row r="126" spans="1:15" x14ac:dyDescent="0.2">
      <c r="B126" s="1585"/>
      <c r="C126" s="1585"/>
      <c r="D126" s="1585"/>
      <c r="E126" s="1585"/>
      <c r="F126" s="1585"/>
      <c r="G126" s="1585"/>
    </row>
    <row r="127" spans="1:15" x14ac:dyDescent="0.2">
      <c r="B127" s="1585"/>
      <c r="C127" s="1585"/>
      <c r="D127" s="1585"/>
      <c r="E127" s="1585"/>
      <c r="F127" s="1585"/>
      <c r="G127" s="1585"/>
    </row>
    <row r="128" spans="1:15" x14ac:dyDescent="0.2">
      <c r="B128" s="1585"/>
      <c r="C128" s="1585"/>
      <c r="D128" s="1585"/>
      <c r="E128" s="1585"/>
      <c r="F128" s="1585"/>
      <c r="G128" s="1585"/>
    </row>
    <row r="129" spans="2:7" x14ac:dyDescent="0.2">
      <c r="B129" s="1585"/>
      <c r="C129" s="1585"/>
      <c r="D129" s="1585"/>
      <c r="E129" s="1585"/>
      <c r="F129" s="1585"/>
      <c r="G129" s="1585"/>
    </row>
    <row r="130" spans="2:7" x14ac:dyDescent="0.2">
      <c r="B130" s="1585"/>
      <c r="C130" s="1585"/>
      <c r="D130" s="1585"/>
      <c r="E130" s="1585"/>
      <c r="F130" s="1585"/>
      <c r="G130" s="1585"/>
    </row>
    <row r="131" spans="2:7" x14ac:dyDescent="0.2">
      <c r="B131" s="1585"/>
      <c r="C131" s="1585"/>
      <c r="D131" s="1585"/>
      <c r="E131" s="1585"/>
      <c r="F131" s="1585"/>
      <c r="G131" s="1585"/>
    </row>
    <row r="132" spans="2:7" x14ac:dyDescent="0.2">
      <c r="B132" s="1584"/>
      <c r="C132" s="1584"/>
      <c r="D132" s="1584"/>
      <c r="E132" s="1584"/>
      <c r="F132" s="1584"/>
      <c r="G132" s="1584"/>
    </row>
  </sheetData>
  <sheetProtection algorithmName="SHA-512" hashValue="YjG6IdP+a9itd7kPTYT26qO8PrMFmW7JxzTMx8iK3Jfd5BmrHh5Vbd6MrpReTfcMyTrgQ279HmF/d020MxdReg==" saltValue="8n7L226m64beD09KuZ0E5w==" spinCount="100000" sheet="1" objects="1" scenarios="1" autoFilter="0"/>
  <customSheetViews>
    <customSheetView guid="{B08879A4-635B-4C39-9937-AC7883D562FC}" showGridLines="0" fitToPage="1">
      <selection activeCell="B12" sqref="B12"/>
      <rowBreaks count="1" manualBreakCount="1">
        <brk id="58" max="9" man="1"/>
      </rowBreaks>
      <pageMargins left="0.75" right="0.5" top="0.5" bottom="0.5" header="0.5" footer="0.25"/>
      <pageSetup scale="91" fitToHeight="2" orientation="portrait" r:id="rId1"/>
      <headerFooter alignWithMargins="0">
        <oddFooter>&amp;R&amp;A (&amp;P of &amp;N)</oddFooter>
      </headerFooter>
    </customSheetView>
    <customSheetView guid="{9FCFC836-1CA5-48BF-958D-24D2EA94B219}" showGridLines="0" fitToPage="1">
      <selection activeCell="B12" sqref="B12"/>
      <rowBreaks count="1" manualBreakCount="1">
        <brk id="58" max="9" man="1"/>
      </rowBreaks>
      <pageMargins left="0.75" right="0.5" top="0.5" bottom="0.5" header="0.5" footer="0.25"/>
      <pageSetup scale="91" fitToHeight="2" orientation="portrait" r:id="rId2"/>
      <headerFooter alignWithMargins="0">
        <oddFooter>&amp;R&amp;A (&amp;P of &amp;N)</oddFooter>
      </headerFooter>
    </customSheetView>
  </customSheetViews>
  <mergeCells count="4">
    <mergeCell ref="B1:G1"/>
    <mergeCell ref="H1:H3"/>
    <mergeCell ref="B2:G2"/>
    <mergeCell ref="B3:G3"/>
  </mergeCells>
  <phoneticPr fontId="15" type="noConversion"/>
  <conditionalFormatting sqref="H1:H4">
    <cfRule type="cellIs" dxfId="150" priority="1" stopIfTrue="1" operator="equal">
      <formula>"na"</formula>
    </cfRule>
  </conditionalFormatting>
  <dataValidations count="1">
    <dataValidation type="whole" operator="greaterThanOrEqual" allowBlank="1" showInputMessage="1" showErrorMessage="1" errorTitle="Invalid data!" error="Amount must be a positive whole number." sqref="G71:G77 G81 G91 G98:G103 G108 G116:G119 G23:G24 G62:G68 G57:G60 G43:G46 G28:G40 G17:G20 G111:G114 G83:G89 G49:G53" xr:uid="{00000000-0002-0000-0A00-000000000000}">
      <formula1>0</formula1>
    </dataValidation>
  </dataValidations>
  <hyperlinks>
    <hyperlink ref="B1:G1" location="Index!A1" display="Index!A1" xr:uid="{00000000-0004-0000-0A00-000000000000}"/>
  </hyperlinks>
  <pageMargins left="0.75" right="0.5" top="0.5" bottom="0.5" header="0.5" footer="0.25"/>
  <pageSetup scale="50" fitToHeight="2" orientation="portrait" r:id="rId3"/>
  <headerFooter alignWithMargins="0">
    <oddFooter>&amp;R&amp;A (&amp;P of &amp;N)</oddFooter>
  </headerFooter>
  <rowBreaks count="1" manualBreakCount="1">
    <brk id="68"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F103"/>
  <sheetViews>
    <sheetView showGridLines="0" topLeftCell="C1" zoomScaleNormal="100" workbookViewId="0">
      <selection activeCell="C2" sqref="C2:K2"/>
    </sheetView>
  </sheetViews>
  <sheetFormatPr defaultColWidth="9.42578125" defaultRowHeight="12.75" x14ac:dyDescent="0.2"/>
  <cols>
    <col min="1" max="1" width="7" style="43" hidden="1" customWidth="1"/>
    <col min="2" max="2" width="8.42578125" style="43" hidden="1" customWidth="1"/>
    <col min="3" max="3" width="2.5703125" style="43" customWidth="1"/>
    <col min="4" max="4" width="15.42578125" style="43" customWidth="1"/>
    <col min="5" max="5" width="21.7109375" style="43" customWidth="1"/>
    <col min="6" max="6" width="2.85546875" style="43" customWidth="1"/>
    <col min="7" max="7" width="15.5703125" style="43" bestFit="1" customWidth="1"/>
    <col min="8" max="8" width="1.42578125" style="43" customWidth="1"/>
    <col min="9" max="9" width="16.5703125" style="43" customWidth="1"/>
    <col min="10" max="10" width="2.5703125" style="43" customWidth="1"/>
    <col min="11" max="11" width="16.5703125" style="43" customWidth="1"/>
    <col min="12" max="12" width="4" style="43" customWidth="1"/>
    <col min="13" max="13" width="4.42578125" style="43" hidden="1" customWidth="1"/>
    <col min="14" max="14" width="9.5703125" style="43" hidden="1" customWidth="1"/>
    <col min="15" max="15" width="10.5703125" style="43" hidden="1" customWidth="1"/>
    <col min="16" max="19" width="9.5703125" style="43" hidden="1" customWidth="1"/>
    <col min="20" max="28" width="10.5703125" style="43" hidden="1" customWidth="1"/>
    <col min="29" max="29" width="0" style="43" hidden="1" customWidth="1"/>
    <col min="30" max="30" width="9.42578125" style="43"/>
    <col min="31" max="31" width="13.42578125" style="2136" customWidth="1"/>
    <col min="32" max="16384" width="9.42578125" style="43"/>
  </cols>
  <sheetData>
    <row r="1" spans="1:32" s="90" customFormat="1" ht="25.15" customHeight="1" x14ac:dyDescent="0.25">
      <c r="A1" s="90" t="str">
        <f t="shared" ref="A1:A30" si="0">AgyIdx</f>
        <v>01</v>
      </c>
      <c r="C1" s="2449" t="str">
        <f>+Index!$A$1</f>
        <v xml:space="preserve">                                                               Office of the State Controller                                                                </v>
      </c>
      <c r="D1" s="2449"/>
      <c r="E1" s="2449"/>
      <c r="F1" s="2449"/>
      <c r="G1" s="2449"/>
      <c r="H1" s="2449"/>
      <c r="I1" s="2449"/>
      <c r="J1" s="2449"/>
      <c r="K1" s="2449"/>
      <c r="L1" s="2450"/>
      <c r="M1" s="91"/>
      <c r="N1" s="91"/>
      <c r="AD1" s="546" t="str">
        <f>IF(Index!$B$27="na","NA","")</f>
        <v/>
      </c>
      <c r="AE1" s="2135"/>
    </row>
    <row r="2" spans="1:32" s="90" customFormat="1" ht="15" customHeight="1" x14ac:dyDescent="0.25">
      <c r="A2" s="90" t="str">
        <f t="shared" si="0"/>
        <v>01</v>
      </c>
      <c r="C2" s="2451" t="str">
        <f>+Index!$A$2</f>
        <v>2022 ACFR Worksheets</v>
      </c>
      <c r="D2" s="2451"/>
      <c r="E2" s="2451"/>
      <c r="F2" s="2451"/>
      <c r="G2" s="2451"/>
      <c r="H2" s="2451"/>
      <c r="I2" s="2451"/>
      <c r="J2" s="2451"/>
      <c r="K2" s="2451"/>
      <c r="L2" s="2450"/>
      <c r="M2" s="91"/>
      <c r="N2" s="91"/>
      <c r="AD2" s="546"/>
      <c r="AE2" s="2135"/>
    </row>
    <row r="3" spans="1:32" s="90" customFormat="1" ht="15" customHeight="1" x14ac:dyDescent="0.25">
      <c r="A3" s="90" t="str">
        <f t="shared" si="0"/>
        <v>01</v>
      </c>
      <c r="C3" s="2451" t="s">
        <v>5460</v>
      </c>
      <c r="D3" s="2451"/>
      <c r="E3" s="2451"/>
      <c r="F3" s="2451"/>
      <c r="G3" s="2451"/>
      <c r="H3" s="2451"/>
      <c r="I3" s="2451"/>
      <c r="J3" s="2451"/>
      <c r="K3" s="2451"/>
      <c r="L3" s="2450"/>
      <c r="M3" s="91"/>
      <c r="N3" s="91"/>
      <c r="AD3" s="546"/>
      <c r="AE3" s="2135"/>
    </row>
    <row r="4" spans="1:32" s="92" customFormat="1" ht="15" customHeight="1" x14ac:dyDescent="0.25">
      <c r="A4" s="90" t="str">
        <f t="shared" si="0"/>
        <v>01</v>
      </c>
      <c r="I4" s="760" t="s">
        <v>136</v>
      </c>
      <c r="AE4" s="2134"/>
    </row>
    <row r="5" spans="1:32" s="92" customFormat="1" ht="15" customHeight="1" x14ac:dyDescent="0.25">
      <c r="A5" s="90" t="str">
        <f t="shared" si="0"/>
        <v>01</v>
      </c>
      <c r="G5" s="2494" t="str">
        <f>+Index!$E$10</f>
        <v>01</v>
      </c>
      <c r="H5" s="2494"/>
      <c r="I5" s="2494"/>
      <c r="J5" s="2494"/>
      <c r="K5" s="2494"/>
      <c r="AE5" s="2134"/>
    </row>
    <row r="6" spans="1:32" s="92" customFormat="1" ht="15" customHeight="1" x14ac:dyDescent="0.25">
      <c r="A6" s="90" t="str">
        <f t="shared" si="0"/>
        <v>01</v>
      </c>
      <c r="C6" s="92" t="s">
        <v>973</v>
      </c>
      <c r="G6" s="2494" t="str">
        <f>+Index!$E$11</f>
        <v>North Carolina General Assembly</v>
      </c>
      <c r="H6" s="2494"/>
      <c r="I6" s="2494"/>
      <c r="J6" s="2494"/>
      <c r="K6" s="2494"/>
      <c r="AE6" s="2134"/>
    </row>
    <row r="7" spans="1:32" s="92" customFormat="1" ht="15" customHeight="1" x14ac:dyDescent="0.25">
      <c r="A7" s="90" t="str">
        <f t="shared" si="0"/>
        <v>01</v>
      </c>
      <c r="C7" s="92" t="s">
        <v>477</v>
      </c>
      <c r="E7" s="2259" t="s">
        <v>971</v>
      </c>
      <c r="G7" s="2495" t="str">
        <f>CONCATENATE(Index!$E$12," ",Index!$E$14)</f>
        <v xml:space="preserve"> </v>
      </c>
      <c r="H7" s="2495"/>
      <c r="I7" s="2495"/>
      <c r="J7" s="2495"/>
      <c r="K7" s="2495"/>
      <c r="AE7" s="2134"/>
    </row>
    <row r="8" spans="1:32" s="92" customFormat="1" ht="15" customHeight="1" x14ac:dyDescent="0.25">
      <c r="A8" s="90" t="str">
        <f t="shared" si="0"/>
        <v>01</v>
      </c>
      <c r="G8" s="2495">
        <f>+Index!$E$13</f>
        <v>0</v>
      </c>
      <c r="H8" s="2495"/>
      <c r="I8" s="2495"/>
      <c r="J8" s="2495"/>
      <c r="K8" s="2495"/>
      <c r="AE8" s="2134"/>
    </row>
    <row r="9" spans="1:32" s="92" customFormat="1" ht="9" customHeight="1" thickBot="1" x14ac:dyDescent="0.3">
      <c r="A9" s="90" t="str">
        <f t="shared" si="0"/>
        <v>01</v>
      </c>
      <c r="C9" s="108"/>
      <c r="D9" s="108"/>
      <c r="E9" s="108"/>
      <c r="F9" s="108"/>
      <c r="G9" s="108"/>
      <c r="H9" s="108"/>
      <c r="I9" s="108"/>
      <c r="J9" s="108"/>
      <c r="K9" s="108"/>
      <c r="AE9" s="2134"/>
    </row>
    <row r="10" spans="1:32" s="92" customFormat="1" ht="6" customHeight="1" x14ac:dyDescent="0.25">
      <c r="A10" s="90" t="str">
        <f t="shared" si="0"/>
        <v>01</v>
      </c>
      <c r="AE10" s="2134"/>
    </row>
    <row r="11" spans="1:32" s="92" customFormat="1" ht="15" customHeight="1" x14ac:dyDescent="0.25">
      <c r="A11" s="90" t="str">
        <f t="shared" si="0"/>
        <v>01</v>
      </c>
      <c r="C11" s="2254" t="s">
        <v>5493</v>
      </c>
      <c r="D11" s="15"/>
      <c r="E11" s="2255"/>
      <c r="F11" s="15"/>
      <c r="G11" s="15"/>
      <c r="H11" s="15"/>
      <c r="I11" s="15"/>
      <c r="J11" s="15"/>
      <c r="K11" s="2256" t="s">
        <v>5430</v>
      </c>
      <c r="L11" s="2257"/>
      <c r="M11" s="2257"/>
      <c r="N11" s="2257"/>
      <c r="O11" s="2257"/>
      <c r="P11" s="2257"/>
      <c r="Q11" s="2257"/>
      <c r="R11" s="2257"/>
      <c r="S11" s="2257"/>
      <c r="T11" s="2257"/>
      <c r="U11" s="2257"/>
      <c r="V11" s="2257"/>
      <c r="W11" s="2257"/>
      <c r="X11" s="2257"/>
      <c r="Y11" s="2257"/>
      <c r="Z11" s="2257"/>
      <c r="AA11" s="2257"/>
      <c r="AB11" s="2257"/>
      <c r="AC11" s="2257"/>
      <c r="AE11" s="2258"/>
      <c r="AF11" s="2257"/>
    </row>
    <row r="12" spans="1:32" s="92" customFormat="1" ht="15" customHeight="1" x14ac:dyDescent="0.25">
      <c r="A12" s="90"/>
      <c r="C12" s="2254" t="s">
        <v>5494</v>
      </c>
      <c r="D12" s="15"/>
      <c r="E12" s="2255"/>
      <c r="F12" s="15"/>
      <c r="G12" s="15"/>
      <c r="H12" s="15"/>
      <c r="I12" s="15"/>
      <c r="J12" s="15"/>
      <c r="K12" s="2256"/>
      <c r="L12" s="2257"/>
      <c r="M12" s="2257"/>
      <c r="N12" s="2257"/>
      <c r="O12" s="2257"/>
      <c r="P12" s="2257"/>
      <c r="Q12" s="2257"/>
      <c r="R12" s="2257"/>
      <c r="S12" s="2257"/>
      <c r="T12" s="2257"/>
      <c r="U12" s="2257"/>
      <c r="V12" s="2257"/>
      <c r="W12" s="2257"/>
      <c r="X12" s="2257"/>
      <c r="Y12" s="2257"/>
      <c r="Z12" s="2257"/>
      <c r="AA12" s="2257"/>
      <c r="AB12" s="2257"/>
      <c r="AC12" s="2257"/>
      <c r="AE12" s="2258"/>
      <c r="AF12" s="2257"/>
    </row>
    <row r="13" spans="1:32" s="92" customFormat="1" ht="15" customHeight="1" x14ac:dyDescent="0.25">
      <c r="A13" s="90"/>
      <c r="C13" s="2254" t="s">
        <v>5496</v>
      </c>
      <c r="D13" s="15"/>
      <c r="E13" s="2255"/>
      <c r="F13" s="15"/>
      <c r="G13" s="15"/>
      <c r="H13" s="15"/>
      <c r="I13" s="15"/>
      <c r="J13" s="15"/>
      <c r="K13" s="2256"/>
      <c r="L13" s="2257"/>
      <c r="M13" s="2257"/>
      <c r="N13" s="2257"/>
      <c r="O13" s="2257"/>
      <c r="P13" s="2257"/>
      <c r="Q13" s="2257"/>
      <c r="R13" s="2257"/>
      <c r="S13" s="2257"/>
      <c r="T13" s="2257"/>
      <c r="U13" s="2257"/>
      <c r="V13" s="2257"/>
      <c r="W13" s="2257"/>
      <c r="X13" s="2257"/>
      <c r="Y13" s="2257"/>
      <c r="Z13" s="2257"/>
      <c r="AA13" s="2257"/>
      <c r="AB13" s="2257"/>
      <c r="AC13" s="2257"/>
      <c r="AE13" s="2258"/>
      <c r="AF13" s="2257"/>
    </row>
    <row r="14" spans="1:32" s="92" customFormat="1" ht="15" customHeight="1" x14ac:dyDescent="0.25">
      <c r="A14" s="90"/>
      <c r="C14" s="2254" t="s">
        <v>5495</v>
      </c>
      <c r="D14" s="15"/>
      <c r="E14" s="2255"/>
      <c r="F14" s="15"/>
      <c r="G14" s="15"/>
      <c r="H14" s="15"/>
      <c r="I14" s="15"/>
      <c r="J14" s="15"/>
      <c r="K14" s="2256"/>
      <c r="L14" s="2257"/>
      <c r="M14" s="2257"/>
      <c r="N14" s="2257"/>
      <c r="O14" s="2257"/>
      <c r="P14" s="2257"/>
      <c r="Q14" s="2257"/>
      <c r="R14" s="2257"/>
      <c r="S14" s="2257"/>
      <c r="T14" s="2257"/>
      <c r="U14" s="2257"/>
      <c r="V14" s="2257"/>
      <c r="W14" s="2257"/>
      <c r="X14" s="2257"/>
      <c r="Y14" s="2257"/>
      <c r="Z14" s="2257"/>
      <c r="AA14" s="2257"/>
      <c r="AB14" s="2257"/>
      <c r="AC14" s="2257"/>
      <c r="AE14" s="2258"/>
      <c r="AF14" s="2257"/>
    </row>
    <row r="15" spans="1:32" s="1196" customFormat="1" ht="15" customHeight="1" x14ac:dyDescent="0.25">
      <c r="A15" s="90" t="str">
        <f t="shared" si="0"/>
        <v>01</v>
      </c>
      <c r="C15" s="1279" t="s">
        <v>1880</v>
      </c>
      <c r="D15" s="272"/>
      <c r="E15" s="357"/>
      <c r="F15" s="272"/>
      <c r="G15" s="272"/>
      <c r="H15" s="272"/>
      <c r="I15" s="272"/>
      <c r="J15" s="272"/>
      <c r="AE15" s="2134"/>
    </row>
    <row r="16" spans="1:32" s="1196" customFormat="1" ht="13.5" customHeight="1" x14ac:dyDescent="0.25">
      <c r="A16" s="90" t="str">
        <f t="shared" si="0"/>
        <v>01</v>
      </c>
      <c r="C16" s="1203" t="s">
        <v>4911</v>
      </c>
      <c r="D16" s="272"/>
      <c r="E16" s="357"/>
      <c r="F16" s="272"/>
      <c r="G16" s="272"/>
      <c r="H16" s="272"/>
      <c r="I16" s="272"/>
      <c r="J16" s="272"/>
      <c r="AE16" s="2134"/>
    </row>
    <row r="17" spans="1:31" s="1196" customFormat="1" ht="12" customHeight="1" x14ac:dyDescent="0.25">
      <c r="A17" s="90" t="str">
        <f t="shared" si="0"/>
        <v>01</v>
      </c>
      <c r="C17" s="1279" t="s">
        <v>1732</v>
      </c>
      <c r="D17" s="272"/>
      <c r="E17" s="357"/>
      <c r="F17" s="272"/>
      <c r="G17" s="272"/>
      <c r="H17" s="272"/>
      <c r="I17" s="272"/>
      <c r="J17" s="272"/>
      <c r="AE17" s="2134"/>
    </row>
    <row r="18" spans="1:31" s="1196" customFormat="1" ht="12" customHeight="1" x14ac:dyDescent="0.25">
      <c r="A18" s="90" t="str">
        <f t="shared" si="0"/>
        <v>01</v>
      </c>
      <c r="C18" s="1279" t="s">
        <v>5497</v>
      </c>
      <c r="D18" s="272"/>
      <c r="E18" s="357"/>
      <c r="F18" s="272"/>
      <c r="G18" s="272"/>
      <c r="H18" s="272"/>
      <c r="I18" s="272"/>
      <c r="J18" s="272"/>
      <c r="AE18" s="2134"/>
    </row>
    <row r="19" spans="1:31" s="1196" customFormat="1" ht="12" customHeight="1" x14ac:dyDescent="0.25">
      <c r="A19" s="90" t="str">
        <f t="shared" si="0"/>
        <v>01</v>
      </c>
      <c r="C19" s="1279" t="s">
        <v>5498</v>
      </c>
      <c r="D19" s="272"/>
      <c r="E19" s="357"/>
      <c r="F19" s="272"/>
      <c r="G19" s="272"/>
      <c r="H19" s="272"/>
      <c r="I19" s="272"/>
      <c r="J19" s="272"/>
      <c r="AE19" s="2134"/>
    </row>
    <row r="20" spans="1:31" s="92" customFormat="1" ht="12.6" customHeight="1" x14ac:dyDescent="0.25">
      <c r="A20" s="90"/>
      <c r="C20" s="14"/>
      <c r="D20" s="14"/>
      <c r="E20" s="14"/>
      <c r="F20" s="14"/>
      <c r="G20" s="14"/>
      <c r="H20" s="14"/>
      <c r="I20" s="14"/>
      <c r="J20" s="14"/>
      <c r="K20" s="14"/>
      <c r="L20" s="14"/>
      <c r="AE20" s="2134"/>
    </row>
    <row r="21" spans="1:31" s="92" customFormat="1" ht="13.15" customHeight="1" x14ac:dyDescent="0.25">
      <c r="A21" s="90"/>
      <c r="C21" s="2" t="s">
        <v>806</v>
      </c>
      <c r="D21" s="2" t="s">
        <v>5503</v>
      </c>
      <c r="E21" s="14"/>
      <c r="F21" s="14"/>
      <c r="G21" s="14"/>
      <c r="H21" s="14"/>
      <c r="I21" s="14"/>
      <c r="J21" s="14"/>
      <c r="K21" s="14"/>
      <c r="L21" s="14"/>
      <c r="AE21" s="2134"/>
    </row>
    <row r="22" spans="1:31" s="92" customFormat="1" ht="15" customHeight="1" x14ac:dyDescent="0.25">
      <c r="A22" s="90" t="str">
        <f t="shared" si="0"/>
        <v>01</v>
      </c>
      <c r="C22" s="14"/>
      <c r="D22" s="14" t="s">
        <v>613</v>
      </c>
      <c r="E22" s="14"/>
      <c r="F22" s="14"/>
      <c r="G22" s="14"/>
      <c r="H22" s="14"/>
      <c r="I22" s="14"/>
      <c r="J22" s="14"/>
      <c r="K22" s="14"/>
      <c r="L22" s="14"/>
      <c r="AE22" s="2134"/>
    </row>
    <row r="23" spans="1:31" s="92" customFormat="1" ht="17.45" customHeight="1" x14ac:dyDescent="0.25">
      <c r="A23" s="90" t="str">
        <f t="shared" si="0"/>
        <v>01</v>
      </c>
      <c r="C23" s="14"/>
      <c r="D23" s="14"/>
      <c r="E23" s="14"/>
      <c r="F23" s="2133"/>
      <c r="G23" s="2132" t="s">
        <v>5021</v>
      </c>
      <c r="H23" s="2133"/>
      <c r="I23" s="2132" t="s">
        <v>5022</v>
      </c>
      <c r="J23" s="2131"/>
      <c r="K23" s="2131" t="s">
        <v>5023</v>
      </c>
      <c r="L23" s="14"/>
      <c r="AE23" s="2134"/>
    </row>
    <row r="24" spans="1:31" s="92" customFormat="1" ht="14.1" customHeight="1" x14ac:dyDescent="0.25">
      <c r="A24" s="90" t="str">
        <f t="shared" si="0"/>
        <v>01</v>
      </c>
      <c r="C24" s="14"/>
      <c r="D24" s="4" t="s">
        <v>614</v>
      </c>
      <c r="E24" s="94"/>
      <c r="F24" s="4"/>
      <c r="G24" s="2496"/>
      <c r="H24" s="2497"/>
      <c r="I24" s="2497"/>
      <c r="J24" s="2498"/>
      <c r="K24" s="2499"/>
      <c r="L24" s="14"/>
      <c r="AE24" s="2134"/>
    </row>
    <row r="25" spans="1:31" s="92" customFormat="1" ht="14.1" customHeight="1" x14ac:dyDescent="0.25">
      <c r="A25" s="90" t="str">
        <f t="shared" si="0"/>
        <v>01</v>
      </c>
      <c r="C25" s="14"/>
      <c r="D25" s="4" t="s">
        <v>615</v>
      </c>
      <c r="E25" s="94"/>
      <c r="F25" s="272"/>
      <c r="G25" s="4" t="s">
        <v>1724</v>
      </c>
      <c r="H25" s="272"/>
      <c r="I25" s="4" t="s">
        <v>1725</v>
      </c>
      <c r="J25" s="4"/>
      <c r="K25" s="4" t="s">
        <v>1130</v>
      </c>
      <c r="L25" s="14"/>
      <c r="AE25" s="2134"/>
    </row>
    <row r="26" spans="1:31" s="92" customFormat="1" ht="17.25" x14ac:dyDescent="0.25">
      <c r="A26" s="90" t="str">
        <f t="shared" si="0"/>
        <v>01</v>
      </c>
      <c r="C26" s="14"/>
      <c r="D26" s="26" t="s">
        <v>1727</v>
      </c>
      <c r="E26" s="94"/>
      <c r="F26" s="272"/>
      <c r="G26" s="26" t="s">
        <v>1726</v>
      </c>
      <c r="H26" s="272"/>
      <c r="I26" s="26" t="s">
        <v>1882</v>
      </c>
      <c r="J26" s="4"/>
      <c r="K26" s="26" t="s">
        <v>1881</v>
      </c>
      <c r="L26" s="14"/>
      <c r="AE26" s="2134"/>
    </row>
    <row r="27" spans="1:31" s="92" customFormat="1" ht="15.6" hidden="1" customHeight="1" x14ac:dyDescent="0.25">
      <c r="A27" s="90" t="str">
        <f t="shared" si="0"/>
        <v>01</v>
      </c>
      <c r="C27" s="14"/>
      <c r="D27" s="4"/>
      <c r="E27" s="94"/>
      <c r="F27" s="14"/>
      <c r="G27" s="1199" t="s">
        <v>1737</v>
      </c>
      <c r="H27" s="14"/>
      <c r="I27" s="1199" t="s">
        <v>1738</v>
      </c>
      <c r="J27" s="4"/>
      <c r="K27" s="1199" t="s">
        <v>1846</v>
      </c>
      <c r="L27" s="14"/>
      <c r="AE27" s="2134"/>
    </row>
    <row r="28" spans="1:31" s="92" customFormat="1" ht="15.75" x14ac:dyDescent="0.25">
      <c r="A28" s="90" t="str">
        <f t="shared" si="0"/>
        <v>01</v>
      </c>
      <c r="B28" s="92">
        <v>105</v>
      </c>
      <c r="C28" s="14"/>
      <c r="D28" s="94">
        <f>+YEAR(Data!$A$2)+1</f>
        <v>2023</v>
      </c>
      <c r="E28" s="94"/>
      <c r="F28" s="96"/>
      <c r="G28" s="480">
        <v>0</v>
      </c>
      <c r="H28" s="96"/>
      <c r="I28" s="480"/>
      <c r="J28" s="96"/>
      <c r="K28" s="480"/>
      <c r="L28" s="14"/>
      <c r="M28" s="92" t="str">
        <f>+__Agy301</f>
        <v>01</v>
      </c>
      <c r="N28" s="92" t="s">
        <v>827</v>
      </c>
      <c r="O28" s="742" t="e">
        <f>+#REF!</f>
        <v>#REF!</v>
      </c>
      <c r="P28" s="742" t="e">
        <f>+#REF!</f>
        <v>#REF!</v>
      </c>
      <c r="Q28" s="742" t="e">
        <f>+#REF!</f>
        <v>#REF!</v>
      </c>
      <c r="R28" s="742" t="e">
        <f>+#REF!</f>
        <v>#REF!</v>
      </c>
      <c r="S28" s="742" t="e">
        <f>+#REF!</f>
        <v>#REF!</v>
      </c>
      <c r="T28" s="742" t="e">
        <f>+#REF!</f>
        <v>#REF!</v>
      </c>
      <c r="U28" s="742" t="e">
        <f>+#REF!</f>
        <v>#REF!</v>
      </c>
      <c r="V28" s="742" t="e">
        <f>+#REF!</f>
        <v>#REF!</v>
      </c>
      <c r="W28" s="742" t="e">
        <f>+#REF!</f>
        <v>#REF!</v>
      </c>
      <c r="X28" s="742" t="e">
        <f>+#REF!</f>
        <v>#REF!</v>
      </c>
      <c r="Y28" s="742" t="e">
        <f>+#REF!</f>
        <v>#REF!</v>
      </c>
      <c r="Z28" s="742" t="e">
        <f>+#REF!</f>
        <v>#REF!</v>
      </c>
      <c r="AA28" s="742" t="e">
        <f>+#REF!</f>
        <v>#REF!</v>
      </c>
      <c r="AB28" s="742" t="e">
        <f>+#REF!</f>
        <v>#REF!</v>
      </c>
      <c r="AE28" s="2134" t="s">
        <v>5024</v>
      </c>
    </row>
    <row r="29" spans="1:31" s="92" customFormat="1" ht="14.1" customHeight="1" x14ac:dyDescent="0.25">
      <c r="A29" s="90" t="str">
        <f t="shared" si="0"/>
        <v>01</v>
      </c>
      <c r="B29" s="92">
        <v>110</v>
      </c>
      <c r="C29" s="14"/>
      <c r="D29" s="94">
        <f>D28+1</f>
        <v>2024</v>
      </c>
      <c r="E29" s="94"/>
      <c r="F29" s="96"/>
      <c r="G29" s="480"/>
      <c r="H29" s="96"/>
      <c r="I29" s="480"/>
      <c r="J29" s="96"/>
      <c r="K29" s="480"/>
      <c r="L29" s="14"/>
      <c r="M29" s="92" t="str">
        <f>+M28</f>
        <v>01</v>
      </c>
      <c r="N29" s="92" t="s">
        <v>828</v>
      </c>
      <c r="O29" s="742" t="e">
        <f>+#REF!+$G$28+$I$28+$K$28</f>
        <v>#REF!</v>
      </c>
      <c r="P29" s="742" t="e">
        <f>+#REF!+$G$29+$I$29+$K$29</f>
        <v>#REF!</v>
      </c>
      <c r="Q29" s="742" t="e">
        <f>+#REF!+$G$30+$I$30+$K$30</f>
        <v>#REF!</v>
      </c>
      <c r="R29" s="742" t="e">
        <f>+#REF!+$G$31+$I$31+$K$31</f>
        <v>#REF!</v>
      </c>
      <c r="S29" s="742" t="e">
        <f>+#REF!+$G$32+$I$32+$K$32</f>
        <v>#REF!</v>
      </c>
      <c r="T29" s="742" t="e">
        <f>+#REF!+$G$33+$I$33+$K$33</f>
        <v>#REF!</v>
      </c>
      <c r="U29" s="742" t="e">
        <f>+#REF!+$G$34+$I$34+$K$34</f>
        <v>#REF!</v>
      </c>
      <c r="V29" s="742" t="e">
        <f>+#REF!+$G$35+$I$35+$K$35</f>
        <v>#REF!</v>
      </c>
      <c r="W29" s="742" t="e">
        <f>+#REF!+$G$36+$I$36+$K$36</f>
        <v>#REF!</v>
      </c>
      <c r="X29" s="742" t="e">
        <f>+#REF!+$G$37+$I$37+$K$37</f>
        <v>#REF!</v>
      </c>
      <c r="Y29" s="742" t="e">
        <f>+#REF!+$G$38+$I$38+$K$38</f>
        <v>#REF!</v>
      </c>
      <c r="Z29" s="742" t="e">
        <f>+#REF!+$G$39+$I$39+$K$39</f>
        <v>#REF!</v>
      </c>
      <c r="AA29" s="742" t="e">
        <f>+#REF!+$G$40+$I$40+$K$40</f>
        <v>#REF!</v>
      </c>
      <c r="AB29" s="742" t="e">
        <f>+#REF!+$G$41+$I$41+$K$41</f>
        <v>#REF!</v>
      </c>
      <c r="AC29" s="742" t="e">
        <f>+#REF!+G45+I45+K45</f>
        <v>#REF!</v>
      </c>
      <c r="AE29" s="2134" t="s">
        <v>5025</v>
      </c>
    </row>
    <row r="30" spans="1:31" s="92" customFormat="1" ht="14.1" customHeight="1" x14ac:dyDescent="0.25">
      <c r="A30" s="90" t="str">
        <f t="shared" si="0"/>
        <v>01</v>
      </c>
      <c r="B30" s="92">
        <v>115</v>
      </c>
      <c r="C30" s="14"/>
      <c r="D30" s="94">
        <f>D29+1</f>
        <v>2025</v>
      </c>
      <c r="E30" s="94"/>
      <c r="F30" s="96"/>
      <c r="G30" s="480"/>
      <c r="H30" s="96"/>
      <c r="I30" s="480"/>
      <c r="J30" s="96"/>
      <c r="K30" s="480"/>
      <c r="L30" s="14"/>
      <c r="O30" s="742"/>
      <c r="AE30" s="2134" t="s">
        <v>5026</v>
      </c>
    </row>
    <row r="31" spans="1:31" s="92" customFormat="1" ht="14.1" customHeight="1" x14ac:dyDescent="0.25">
      <c r="A31" s="90" t="str">
        <f t="shared" ref="A31:A53" si="1">AgyIdx</f>
        <v>01</v>
      </c>
      <c r="B31" s="92">
        <v>120</v>
      </c>
      <c r="C31" s="14"/>
      <c r="D31" s="94">
        <f>D30+1</f>
        <v>2026</v>
      </c>
      <c r="E31" s="94"/>
      <c r="F31" s="96"/>
      <c r="G31" s="480"/>
      <c r="H31" s="96"/>
      <c r="I31" s="480"/>
      <c r="J31" s="96"/>
      <c r="K31" s="480"/>
      <c r="L31" s="14"/>
      <c r="O31" s="742"/>
      <c r="AE31" s="2134" t="s">
        <v>5027</v>
      </c>
    </row>
    <row r="32" spans="1:31" s="92" customFormat="1" ht="14.1" customHeight="1" x14ac:dyDescent="0.25">
      <c r="A32" s="90" t="str">
        <f t="shared" si="1"/>
        <v>01</v>
      </c>
      <c r="B32" s="92">
        <v>125</v>
      </c>
      <c r="C32" s="14"/>
      <c r="D32" s="94">
        <f>D31+1</f>
        <v>2027</v>
      </c>
      <c r="E32" s="94"/>
      <c r="F32" s="96"/>
      <c r="G32" s="480"/>
      <c r="H32" s="96"/>
      <c r="I32" s="480"/>
      <c r="J32" s="96"/>
      <c r="K32" s="480"/>
      <c r="L32" s="14"/>
      <c r="O32" s="742"/>
      <c r="AE32" s="2134" t="s">
        <v>5028</v>
      </c>
    </row>
    <row r="33" spans="1:31" s="92" customFormat="1" ht="14.1" customHeight="1" x14ac:dyDescent="0.25">
      <c r="A33" s="90" t="str">
        <f t="shared" si="1"/>
        <v>01</v>
      </c>
      <c r="B33" s="92">
        <v>130</v>
      </c>
      <c r="C33" s="100">
        <f>D32+1</f>
        <v>2028</v>
      </c>
      <c r="D33" s="97" t="str">
        <f>(C33)&amp;" - "&amp;(C33+4)</f>
        <v>2028 - 2032</v>
      </c>
      <c r="E33" s="94"/>
      <c r="F33" s="96"/>
      <c r="G33" s="480"/>
      <c r="H33" s="96"/>
      <c r="I33" s="480"/>
      <c r="J33" s="96"/>
      <c r="K33" s="480"/>
      <c r="L33" s="14"/>
      <c r="O33" s="742"/>
      <c r="AE33" s="2134" t="s">
        <v>5029</v>
      </c>
    </row>
    <row r="34" spans="1:31" s="92" customFormat="1" ht="14.1" customHeight="1" x14ac:dyDescent="0.25">
      <c r="A34" s="90" t="str">
        <f t="shared" si="1"/>
        <v>01</v>
      </c>
      <c r="B34" s="92">
        <v>135</v>
      </c>
      <c r="C34" s="100">
        <f t="shared" ref="C34:C42" si="2">C33+5</f>
        <v>2033</v>
      </c>
      <c r="D34" s="97" t="str">
        <f>(C34)&amp;" - "&amp;(C34+4)</f>
        <v>2033 - 2037</v>
      </c>
      <c r="E34" s="94"/>
      <c r="F34" s="96"/>
      <c r="G34" s="480">
        <v>0</v>
      </c>
      <c r="H34" s="96"/>
      <c r="I34" s="480">
        <v>0</v>
      </c>
      <c r="J34" s="96"/>
      <c r="K34" s="480">
        <v>0</v>
      </c>
      <c r="L34" s="14"/>
      <c r="O34" s="742"/>
      <c r="AE34" s="2134" t="s">
        <v>5030</v>
      </c>
    </row>
    <row r="35" spans="1:31" s="92" customFormat="1" ht="14.1" customHeight="1" x14ac:dyDescent="0.25">
      <c r="A35" s="90" t="str">
        <f t="shared" si="1"/>
        <v>01</v>
      </c>
      <c r="B35" s="92">
        <v>140</v>
      </c>
      <c r="C35" s="100">
        <f t="shared" si="2"/>
        <v>2038</v>
      </c>
      <c r="D35" s="97" t="str">
        <f>(C35)&amp;" - "&amp;(C35+4)</f>
        <v>2038 - 2042</v>
      </c>
      <c r="E35" s="94"/>
      <c r="F35" s="96"/>
      <c r="G35" s="480"/>
      <c r="H35" s="96"/>
      <c r="I35" s="480">
        <v>0</v>
      </c>
      <c r="J35" s="96"/>
      <c r="K35" s="480">
        <v>0</v>
      </c>
      <c r="L35" s="14"/>
      <c r="O35" s="742"/>
      <c r="AE35" s="2134" t="s">
        <v>5031</v>
      </c>
    </row>
    <row r="36" spans="1:31" s="92" customFormat="1" ht="14.1" customHeight="1" x14ac:dyDescent="0.25">
      <c r="A36" s="90" t="str">
        <f t="shared" si="1"/>
        <v>01</v>
      </c>
      <c r="B36" s="92">
        <v>145</v>
      </c>
      <c r="C36" s="100">
        <f t="shared" si="2"/>
        <v>2043</v>
      </c>
      <c r="D36" s="97" t="str">
        <f t="shared" ref="D36:D41" si="3">(C36)&amp;" - "&amp;(C36+4)</f>
        <v>2043 - 2047</v>
      </c>
      <c r="E36" s="94"/>
      <c r="F36" s="96"/>
      <c r="G36" s="480">
        <v>0</v>
      </c>
      <c r="H36" s="96"/>
      <c r="I36" s="480"/>
      <c r="J36" s="96"/>
      <c r="K36" s="480">
        <v>0</v>
      </c>
      <c r="L36" s="14"/>
      <c r="O36" s="742"/>
      <c r="AE36" s="2134" t="s">
        <v>5032</v>
      </c>
    </row>
    <row r="37" spans="1:31" s="92" customFormat="1" ht="14.1" customHeight="1" x14ac:dyDescent="0.25">
      <c r="A37" s="90" t="str">
        <f t="shared" si="1"/>
        <v>01</v>
      </c>
      <c r="B37" s="92">
        <v>150</v>
      </c>
      <c r="C37" s="100">
        <f t="shared" si="2"/>
        <v>2048</v>
      </c>
      <c r="D37" s="97" t="str">
        <f t="shared" si="3"/>
        <v>2048 - 2052</v>
      </c>
      <c r="E37" s="94"/>
      <c r="F37" s="96"/>
      <c r="G37" s="480">
        <v>0</v>
      </c>
      <c r="H37" s="96"/>
      <c r="I37" s="480"/>
      <c r="J37" s="96"/>
      <c r="K37" s="480"/>
      <c r="L37" s="14"/>
      <c r="O37" s="742"/>
      <c r="AE37" s="2134" t="s">
        <v>5033</v>
      </c>
    </row>
    <row r="38" spans="1:31" s="92" customFormat="1" ht="14.1" customHeight="1" x14ac:dyDescent="0.25">
      <c r="A38" s="90" t="str">
        <f t="shared" si="1"/>
        <v>01</v>
      </c>
      <c r="B38" s="92">
        <v>155</v>
      </c>
      <c r="C38" s="100">
        <f t="shared" si="2"/>
        <v>2053</v>
      </c>
      <c r="D38" s="97" t="str">
        <f t="shared" si="3"/>
        <v>2053 - 2057</v>
      </c>
      <c r="E38" s="94"/>
      <c r="F38" s="96"/>
      <c r="G38" s="480">
        <v>0</v>
      </c>
      <c r="H38" s="96"/>
      <c r="I38" s="480"/>
      <c r="J38" s="96"/>
      <c r="K38" s="480"/>
      <c r="L38" s="14"/>
      <c r="O38" s="742"/>
      <c r="AE38" s="2134" t="s">
        <v>5034</v>
      </c>
    </row>
    <row r="39" spans="1:31" s="92" customFormat="1" ht="14.1" customHeight="1" x14ac:dyDescent="0.25">
      <c r="A39" s="90" t="str">
        <f t="shared" si="1"/>
        <v>01</v>
      </c>
      <c r="B39" s="92">
        <v>160</v>
      </c>
      <c r="C39" s="100">
        <f t="shared" si="2"/>
        <v>2058</v>
      </c>
      <c r="D39" s="97" t="str">
        <f t="shared" si="3"/>
        <v>2058 - 2062</v>
      </c>
      <c r="E39" s="94"/>
      <c r="F39" s="96"/>
      <c r="G39" s="480"/>
      <c r="H39" s="96"/>
      <c r="I39" s="480"/>
      <c r="J39" s="96"/>
      <c r="K39" s="480"/>
      <c r="L39" s="14"/>
      <c r="O39" s="742"/>
      <c r="AE39" s="2134" t="s">
        <v>5035</v>
      </c>
    </row>
    <row r="40" spans="1:31" s="92" customFormat="1" ht="14.1" customHeight="1" x14ac:dyDescent="0.25">
      <c r="A40" s="90" t="str">
        <f t="shared" si="1"/>
        <v>01</v>
      </c>
      <c r="B40" s="92">
        <v>165</v>
      </c>
      <c r="C40" s="100">
        <f t="shared" si="2"/>
        <v>2063</v>
      </c>
      <c r="D40" s="97" t="str">
        <f t="shared" si="3"/>
        <v>2063 - 2067</v>
      </c>
      <c r="E40" s="94"/>
      <c r="F40" s="96"/>
      <c r="G40" s="480"/>
      <c r="H40" s="96"/>
      <c r="I40" s="480"/>
      <c r="J40" s="96"/>
      <c r="K40" s="480"/>
      <c r="L40" s="14"/>
      <c r="O40" s="742"/>
      <c r="AE40" s="2134" t="s">
        <v>5036</v>
      </c>
    </row>
    <row r="41" spans="1:31" s="92" customFormat="1" ht="14.1" customHeight="1" x14ac:dyDescent="0.25">
      <c r="A41" s="90" t="str">
        <f t="shared" si="1"/>
        <v>01</v>
      </c>
      <c r="B41" s="92">
        <v>170</v>
      </c>
      <c r="C41" s="100">
        <f t="shared" si="2"/>
        <v>2068</v>
      </c>
      <c r="D41" s="97" t="str">
        <f t="shared" si="3"/>
        <v>2068 - 2072</v>
      </c>
      <c r="E41" s="94"/>
      <c r="F41" s="96"/>
      <c r="G41" s="1198"/>
      <c r="H41" s="96"/>
      <c r="I41" s="1198"/>
      <c r="J41" s="96"/>
      <c r="K41" s="1198"/>
      <c r="L41" s="14"/>
      <c r="O41" s="742"/>
      <c r="AE41" s="2134" t="s">
        <v>5037</v>
      </c>
    </row>
    <row r="42" spans="1:31" s="92" customFormat="1" ht="14.1" customHeight="1" thickBot="1" x14ac:dyDescent="0.3">
      <c r="A42" s="90" t="str">
        <f t="shared" si="1"/>
        <v>01</v>
      </c>
      <c r="B42" s="92">
        <v>175</v>
      </c>
      <c r="C42" s="100">
        <f t="shared" si="2"/>
        <v>2073</v>
      </c>
      <c r="D42" s="97" t="str">
        <f>(C42)&amp;" - " &amp;"Beyond"</f>
        <v>2073 - Beyond</v>
      </c>
      <c r="E42" s="94"/>
      <c r="F42" s="96"/>
      <c r="G42" s="1197"/>
      <c r="H42" s="96"/>
      <c r="I42" s="1197"/>
      <c r="J42" s="96"/>
      <c r="K42" s="1197"/>
      <c r="L42" s="14"/>
      <c r="O42" s="742"/>
      <c r="AE42" s="2134" t="s">
        <v>5038</v>
      </c>
    </row>
    <row r="43" spans="1:31" s="92" customFormat="1" ht="4.3499999999999996" customHeight="1" x14ac:dyDescent="0.25">
      <c r="A43" s="90" t="str">
        <f t="shared" si="1"/>
        <v>01</v>
      </c>
      <c r="C43" s="14"/>
      <c r="D43" s="97"/>
      <c r="E43" s="94"/>
      <c r="F43" s="96"/>
      <c r="G43" s="96"/>
      <c r="H43" s="96"/>
      <c r="I43" s="96"/>
      <c r="J43" s="96"/>
      <c r="K43" s="96"/>
      <c r="L43" s="14"/>
      <c r="O43" s="742"/>
      <c r="AE43" s="2134"/>
    </row>
    <row r="44" spans="1:31" s="92" customFormat="1" ht="14.1" customHeight="1" x14ac:dyDescent="0.3">
      <c r="A44" s="90" t="str">
        <f t="shared" si="1"/>
        <v>01</v>
      </c>
      <c r="B44" s="92">
        <v>180</v>
      </c>
      <c r="C44" s="14"/>
      <c r="D44" s="1200"/>
      <c r="E44" s="94"/>
      <c r="F44" s="96"/>
      <c r="G44" s="96"/>
      <c r="H44" s="96"/>
      <c r="I44" s="96"/>
      <c r="J44" s="96"/>
      <c r="K44" s="96"/>
      <c r="L44" s="14"/>
      <c r="AE44" s="2134"/>
    </row>
    <row r="45" spans="1:31" s="92" customFormat="1" ht="14.1" customHeight="1" x14ac:dyDescent="0.25">
      <c r="A45" s="90" t="str">
        <f t="shared" si="1"/>
        <v>01</v>
      </c>
      <c r="B45" s="92">
        <v>185</v>
      </c>
      <c r="C45" s="14"/>
      <c r="D45" s="272" t="s">
        <v>1731</v>
      </c>
      <c r="E45" s="94"/>
      <c r="F45" s="96"/>
      <c r="G45" s="480">
        <v>0</v>
      </c>
      <c r="H45" s="96"/>
      <c r="I45" s="480"/>
      <c r="J45" s="96"/>
      <c r="K45" s="1195">
        <v>0</v>
      </c>
      <c r="L45" s="14"/>
      <c r="AE45" s="2134" t="s">
        <v>1731</v>
      </c>
    </row>
    <row r="46" spans="1:31" s="92" customFormat="1" ht="4.9000000000000004" customHeight="1" x14ac:dyDescent="0.25">
      <c r="A46" s="90" t="str">
        <f t="shared" si="1"/>
        <v>01</v>
      </c>
      <c r="C46" s="14"/>
      <c r="E46" s="94"/>
      <c r="F46" s="96"/>
      <c r="G46" s="96"/>
      <c r="H46" s="96"/>
      <c r="I46" s="96"/>
      <c r="J46" s="96"/>
      <c r="K46" s="1268"/>
      <c r="L46" s="14"/>
      <c r="AE46" s="2134"/>
    </row>
    <row r="47" spans="1:31" s="92" customFormat="1" ht="16.5" thickBot="1" x14ac:dyDescent="0.3">
      <c r="A47" s="90" t="str">
        <f t="shared" si="1"/>
        <v>01</v>
      </c>
      <c r="B47" s="92">
        <v>190</v>
      </c>
      <c r="C47" s="14"/>
      <c r="D47" s="272" t="s">
        <v>5499</v>
      </c>
      <c r="E47" s="94"/>
      <c r="F47" s="96"/>
      <c r="G47" s="101">
        <f>SUM(G28:G46)</f>
        <v>0</v>
      </c>
      <c r="H47" s="96"/>
      <c r="I47" s="101">
        <f>SUM(I28:I46)</f>
        <v>0</v>
      </c>
      <c r="J47" s="96"/>
      <c r="K47" s="101">
        <f>SUM(K28:K46)</f>
        <v>0</v>
      </c>
      <c r="L47" s="14"/>
      <c r="AE47" s="2134"/>
    </row>
    <row r="48" spans="1:31" s="92" customFormat="1" ht="16.5" thickTop="1" x14ac:dyDescent="0.25">
      <c r="A48" s="90" t="str">
        <f t="shared" si="1"/>
        <v>01</v>
      </c>
      <c r="C48" s="14"/>
      <c r="D48" s="14"/>
      <c r="E48" s="14"/>
      <c r="F48" s="14"/>
      <c r="G48" s="14"/>
      <c r="H48" s="14"/>
      <c r="I48" s="14"/>
      <c r="J48" s="14"/>
      <c r="K48" s="14"/>
      <c r="L48" s="14"/>
      <c r="AE48" s="2134"/>
    </row>
    <row r="49" spans="1:32" s="92" customFormat="1" ht="15" customHeight="1" x14ac:dyDescent="0.25">
      <c r="A49" s="90" t="str">
        <f t="shared" si="1"/>
        <v>01</v>
      </c>
      <c r="C49" s="14"/>
      <c r="D49" s="1202" t="s">
        <v>1733</v>
      </c>
      <c r="E49" s="272" t="s">
        <v>5500</v>
      </c>
      <c r="F49" s="14"/>
      <c r="G49" s="14"/>
      <c r="H49" s="14"/>
      <c r="I49" s="14"/>
      <c r="J49" s="14"/>
      <c r="K49" s="14"/>
      <c r="L49" s="14"/>
      <c r="AE49" s="2134"/>
    </row>
    <row r="50" spans="1:32" s="92" customFormat="1" ht="15" customHeight="1" x14ac:dyDescent="0.25">
      <c r="A50" s="90"/>
      <c r="C50" s="1277" t="s">
        <v>350</v>
      </c>
      <c r="D50" s="754" t="s">
        <v>5501</v>
      </c>
      <c r="E50" s="754"/>
      <c r="F50" s="754"/>
      <c r="G50" s="754"/>
      <c r="H50" s="754"/>
      <c r="I50" s="754"/>
      <c r="J50" s="754"/>
      <c r="K50" s="754"/>
      <c r="L50" s="14"/>
      <c r="AE50" s="2134"/>
    </row>
    <row r="51" spans="1:32" s="92" customFormat="1" ht="15.75" x14ac:dyDescent="0.25">
      <c r="A51" s="90"/>
      <c r="C51" s="1277"/>
      <c r="D51" s="1278" t="s">
        <v>5502</v>
      </c>
      <c r="E51" s="272"/>
      <c r="F51" s="272"/>
      <c r="G51" s="272"/>
      <c r="H51" s="272"/>
      <c r="I51" s="272"/>
      <c r="J51" s="272"/>
      <c r="K51" s="272"/>
      <c r="L51" s="14"/>
      <c r="AE51" s="2134"/>
    </row>
    <row r="52" spans="1:32" s="92" customFormat="1" ht="15.75" x14ac:dyDescent="0.25">
      <c r="A52" s="90"/>
      <c r="C52" s="1277"/>
      <c r="D52" s="1278"/>
      <c r="E52" s="272"/>
      <c r="F52" s="272"/>
      <c r="G52" s="272"/>
      <c r="H52" s="272"/>
      <c r="I52" s="272"/>
      <c r="J52" s="272"/>
      <c r="K52" s="272"/>
      <c r="L52" s="14"/>
      <c r="AE52" s="2134"/>
    </row>
    <row r="53" spans="1:32" s="92" customFormat="1" ht="15.75" x14ac:dyDescent="0.25">
      <c r="A53" s="90" t="str">
        <f t="shared" si="1"/>
        <v>01</v>
      </c>
      <c r="C53" s="2333" t="s">
        <v>5674</v>
      </c>
      <c r="D53" s="1190"/>
      <c r="E53" s="1190"/>
      <c r="F53" s="1190"/>
      <c r="G53" s="2333"/>
      <c r="H53" s="2333"/>
      <c r="I53" s="2333"/>
      <c r="J53" s="2333"/>
      <c r="K53" s="2333"/>
      <c r="L53" s="2333"/>
      <c r="AE53" s="2134"/>
    </row>
    <row r="54" spans="1:32" ht="17.45" customHeight="1" x14ac:dyDescent="0.25">
      <c r="A54" s="90"/>
      <c r="C54" s="2260"/>
    </row>
    <row r="55" spans="1:32" ht="18" customHeight="1" x14ac:dyDescent="0.25">
      <c r="A55" s="90"/>
      <c r="C55" s="2260" t="s">
        <v>5747</v>
      </c>
    </row>
    <row r="56" spans="1:32" ht="17.45" customHeight="1" x14ac:dyDescent="0.25">
      <c r="A56" s="90"/>
      <c r="C56" s="2260"/>
      <c r="D56" s="2260"/>
      <c r="E56" s="43" t="s">
        <v>5544</v>
      </c>
      <c r="G56" s="2313"/>
      <c r="H56" s="1999"/>
      <c r="J56" s="43" t="s">
        <v>5543</v>
      </c>
      <c r="K56" s="2313"/>
      <c r="AE56" s="1443" t="str">
        <f>IF(AND(ISBLANK($G$56),ISBLANK($K$56))=TRUE,"Answer Missing"," ")</f>
        <v>Answer Missing</v>
      </c>
    </row>
    <row r="57" spans="1:32" customFormat="1" ht="20.45" customHeight="1" x14ac:dyDescent="0.2">
      <c r="C57" s="272" t="s">
        <v>5752</v>
      </c>
      <c r="D57" s="43"/>
    </row>
    <row r="58" spans="1:32" ht="13.15" customHeight="1" x14ac:dyDescent="0.25">
      <c r="A58" s="90"/>
      <c r="C58" s="2260" t="s">
        <v>5669</v>
      </c>
      <c r="G58" s="2313"/>
      <c r="H58" s="2313"/>
      <c r="I58" s="2313"/>
      <c r="J58" s="2313"/>
      <c r="K58" s="2313"/>
      <c r="L58" s="2313"/>
      <c r="M58" s="2313"/>
      <c r="N58" s="2313"/>
      <c r="O58" s="2313"/>
      <c r="P58" s="2313"/>
      <c r="Q58" s="2313"/>
      <c r="R58" s="2313"/>
      <c r="S58" s="2313"/>
      <c r="T58" s="2313"/>
      <c r="U58" s="2313"/>
      <c r="V58" s="2313"/>
      <c r="W58" s="2313"/>
      <c r="X58" s="2313"/>
      <c r="Y58" s="2313"/>
      <c r="Z58" s="2313"/>
      <c r="AA58" s="2313"/>
      <c r="AB58" s="2313"/>
      <c r="AC58" s="2313"/>
      <c r="AD58" s="2313"/>
      <c r="AE58" s="1443"/>
    </row>
    <row r="59" spans="1:32" ht="24" customHeight="1" x14ac:dyDescent="0.25">
      <c r="A59" s="90"/>
      <c r="C59" s="2260" t="s">
        <v>5748</v>
      </c>
      <c r="G59" s="2314"/>
      <c r="H59" s="2314"/>
      <c r="I59" s="2314"/>
      <c r="J59" s="2314"/>
      <c r="K59" s="2314"/>
      <c r="L59" s="2314"/>
      <c r="M59" s="2314"/>
      <c r="N59" s="2314"/>
      <c r="O59" s="2314"/>
      <c r="P59" s="2314"/>
      <c r="Q59" s="2314"/>
      <c r="R59" s="2314"/>
      <c r="S59" s="2314"/>
      <c r="T59" s="2314"/>
      <c r="U59" s="2314"/>
      <c r="V59" s="2314"/>
      <c r="W59" s="2314"/>
      <c r="X59" s="2314"/>
      <c r="Y59" s="2314"/>
      <c r="Z59" s="2314"/>
      <c r="AA59" s="2314"/>
      <c r="AB59" s="2314"/>
      <c r="AC59" s="2314"/>
      <c r="AD59" s="2314"/>
      <c r="AE59" s="1443"/>
    </row>
    <row r="60" spans="1:32" ht="16.899999999999999" customHeight="1" x14ac:dyDescent="0.25">
      <c r="A60" s="90"/>
      <c r="C60" s="43" t="s">
        <v>5749</v>
      </c>
      <c r="E60" s="2359"/>
      <c r="F60" s="2359"/>
      <c r="G60" s="2359"/>
      <c r="H60" s="2314"/>
      <c r="I60" s="1945" t="s">
        <v>5750</v>
      </c>
      <c r="J60" s="2314"/>
      <c r="K60" s="2361"/>
      <c r="L60" s="2314"/>
      <c r="M60" s="2314"/>
      <c r="N60" s="2314"/>
      <c r="O60" s="2314"/>
      <c r="P60" s="2314"/>
      <c r="Q60" s="2314"/>
      <c r="R60" s="2314"/>
      <c r="S60" s="2314"/>
      <c r="T60" s="2314"/>
      <c r="U60" s="2314"/>
      <c r="V60" s="2314"/>
      <c r="W60" s="2314"/>
      <c r="X60" s="2314"/>
      <c r="Y60" s="2314"/>
      <c r="Z60" s="2314"/>
      <c r="AA60" s="2314"/>
      <c r="AB60" s="2314"/>
      <c r="AC60" s="2314"/>
      <c r="AD60" s="2314"/>
      <c r="AE60" s="1443"/>
    </row>
    <row r="61" spans="1:32" ht="17.45" customHeight="1" x14ac:dyDescent="0.25">
      <c r="A61" s="90"/>
      <c r="C61" s="2260"/>
      <c r="D61" s="2260"/>
      <c r="G61" s="2314"/>
      <c r="H61" s="2314"/>
      <c r="I61" s="2314"/>
      <c r="J61" s="2314"/>
      <c r="K61" s="2314"/>
      <c r="L61" s="2314"/>
      <c r="M61" s="2314"/>
      <c r="N61" s="2314"/>
      <c r="O61" s="2314"/>
      <c r="P61" s="2314"/>
      <c r="Q61" s="2314"/>
      <c r="R61" s="2314"/>
      <c r="S61" s="2314"/>
      <c r="T61" s="2314"/>
      <c r="U61" s="2314"/>
      <c r="V61" s="2314"/>
      <c r="W61" s="2314"/>
      <c r="X61" s="2314"/>
      <c r="Y61" s="2314"/>
      <c r="Z61" s="2314"/>
      <c r="AA61" s="2314"/>
      <c r="AB61" s="2314"/>
      <c r="AC61" s="2314"/>
      <c r="AD61" s="2314"/>
      <c r="AE61" s="1443"/>
    </row>
    <row r="62" spans="1:32" ht="17.45" customHeight="1" x14ac:dyDescent="0.25">
      <c r="A62" s="90"/>
      <c r="C62" s="2260" t="s">
        <v>5751</v>
      </c>
    </row>
    <row r="63" spans="1:32" ht="17.45" customHeight="1" x14ac:dyDescent="0.25">
      <c r="A63" s="90"/>
      <c r="C63" s="2260"/>
      <c r="D63" s="2355" t="s">
        <v>5754</v>
      </c>
      <c r="E63" s="2313"/>
      <c r="F63" s="2356" t="s">
        <v>5543</v>
      </c>
      <c r="G63" s="2360"/>
      <c r="I63" s="2355" t="s">
        <v>345</v>
      </c>
      <c r="K63" s="2358"/>
      <c r="L63" s="2357"/>
      <c r="AE63" s="1443" t="str">
        <f>IF(AND(ISBLANK($E$63),ISBLANK($G$63),ISBLANK($K$63))=TRUE,"Answer Missing"," ")</f>
        <v>Answer Missing</v>
      </c>
    </row>
    <row r="64" spans="1:32" ht="22.15" customHeight="1" x14ac:dyDescent="0.25">
      <c r="A64" s="90"/>
      <c r="C64" s="272" t="s">
        <v>5753</v>
      </c>
      <c r="D64" s="1892"/>
      <c r="E64" s="1892"/>
      <c r="F64" s="1892"/>
      <c r="G64" s="1892"/>
      <c r="H64" s="1892"/>
      <c r="I64" s="1892"/>
      <c r="J64"/>
      <c r="L64"/>
      <c r="M64"/>
      <c r="N64"/>
      <c r="O64"/>
      <c r="P64"/>
      <c r="Q64"/>
      <c r="R64"/>
      <c r="S64"/>
      <c r="T64"/>
      <c r="U64"/>
      <c r="V64"/>
      <c r="W64"/>
      <c r="X64"/>
      <c r="Y64"/>
      <c r="Z64"/>
      <c r="AA64"/>
      <c r="AB64"/>
      <c r="AC64"/>
      <c r="AD64"/>
      <c r="AE64"/>
      <c r="AF64"/>
    </row>
    <row r="65" spans="1:31" ht="14.45" customHeight="1" x14ac:dyDescent="0.25">
      <c r="A65" s="90"/>
      <c r="C65" s="2260" t="s">
        <v>5628</v>
      </c>
      <c r="D65" s="2260"/>
      <c r="G65" s="2313"/>
      <c r="H65" s="2479"/>
      <c r="I65" s="2479"/>
      <c r="J65" s="2479"/>
      <c r="K65" s="2479"/>
      <c r="L65" s="2479"/>
      <c r="M65" s="2479"/>
      <c r="N65" s="2479"/>
      <c r="O65" s="2479"/>
      <c r="P65" s="2479"/>
      <c r="Q65" s="2479"/>
      <c r="R65" s="2479"/>
      <c r="S65" s="2479"/>
      <c r="T65" s="2479"/>
      <c r="U65" s="2479"/>
      <c r="V65" s="2479"/>
      <c r="W65" s="2479"/>
      <c r="X65" s="2479"/>
      <c r="Y65" s="2479"/>
      <c r="Z65" s="2479"/>
      <c r="AA65" s="2479"/>
      <c r="AB65" s="2479"/>
      <c r="AC65" s="2479"/>
      <c r="AD65" s="2479"/>
      <c r="AE65" s="1443"/>
    </row>
    <row r="66" spans="1:31" ht="25.15" customHeight="1" x14ac:dyDescent="0.25">
      <c r="A66" s="90"/>
      <c r="C66" s="2260" t="s">
        <v>5757</v>
      </c>
      <c r="G66" s="2314"/>
      <c r="H66" s="2314"/>
      <c r="I66" s="2314"/>
      <c r="J66" s="2314"/>
      <c r="K66" s="2314"/>
    </row>
    <row r="67" spans="1:31" ht="17.45" customHeight="1" x14ac:dyDescent="0.25">
      <c r="A67" s="90"/>
      <c r="C67" s="43" t="s">
        <v>5749</v>
      </c>
      <c r="E67" s="2359"/>
      <c r="F67" s="2359"/>
      <c r="G67" s="2359"/>
      <c r="H67" s="2314"/>
      <c r="I67" s="1945" t="s">
        <v>5750</v>
      </c>
      <c r="J67" s="2314"/>
      <c r="K67" s="2361"/>
    </row>
    <row r="68" spans="1:31" ht="17.45" customHeight="1" x14ac:dyDescent="0.25">
      <c r="A68" s="90"/>
      <c r="C68" s="2260"/>
      <c r="D68" s="2260"/>
    </row>
    <row r="69" spans="1:31" x14ac:dyDescent="0.2">
      <c r="C69" s="2260" t="s">
        <v>616</v>
      </c>
      <c r="D69" s="2260" t="s">
        <v>5504</v>
      </c>
    </row>
    <row r="70" spans="1:31" x14ac:dyDescent="0.2">
      <c r="C70" s="2260"/>
      <c r="D70" s="2260"/>
    </row>
    <row r="71" spans="1:31" x14ac:dyDescent="0.2">
      <c r="C71" s="2260" t="s">
        <v>5675</v>
      </c>
      <c r="D71" s="2260"/>
    </row>
    <row r="72" spans="1:31" ht="19.899999999999999" customHeight="1" x14ac:dyDescent="0.2">
      <c r="C72" s="2260"/>
      <c r="D72" s="2260"/>
      <c r="E72" s="43" t="s">
        <v>5544</v>
      </c>
      <c r="G72" s="2313"/>
      <c r="H72" s="1999"/>
      <c r="J72" s="43" t="s">
        <v>5543</v>
      </c>
      <c r="K72" s="2313"/>
      <c r="AE72" s="1443" t="str">
        <f>IF(AND(ISBLANK($G$72),ISBLANK($K$72))=TRUE,"Answer Missing"," ")</f>
        <v>Answer Missing</v>
      </c>
    </row>
    <row r="73" spans="1:31" ht="10.15" customHeight="1" x14ac:dyDescent="0.2">
      <c r="C73" s="2260"/>
      <c r="D73" s="2260"/>
    </row>
    <row r="74" spans="1:31" x14ac:dyDescent="0.2">
      <c r="C74" s="2260" t="s">
        <v>5676</v>
      </c>
      <c r="D74" s="2260"/>
    </row>
    <row r="75" spans="1:31" x14ac:dyDescent="0.2">
      <c r="C75" s="2260"/>
      <c r="D75" s="2260"/>
    </row>
    <row r="76" spans="1:31" ht="19.149999999999999" customHeight="1" x14ac:dyDescent="0.2">
      <c r="C76" s="2260" t="s">
        <v>5545</v>
      </c>
    </row>
    <row r="77" spans="1:31" ht="18" customHeight="1" x14ac:dyDescent="0.2">
      <c r="C77" s="2260"/>
      <c r="D77" s="2260"/>
      <c r="E77" s="43" t="s">
        <v>5544</v>
      </c>
      <c r="G77" s="2313"/>
      <c r="H77" s="1999"/>
      <c r="J77" s="43" t="s">
        <v>5543</v>
      </c>
      <c r="K77" s="2313"/>
      <c r="AE77" s="1443" t="str">
        <f>IF(AND(ISBLANK($G$77),ISBLANK($K$77))=TRUE,"Answer Missing"," ")</f>
        <v>Answer Missing</v>
      </c>
    </row>
    <row r="78" spans="1:31" ht="21" customHeight="1" x14ac:dyDescent="0.2">
      <c r="C78" s="272" t="s">
        <v>5755</v>
      </c>
      <c r="E78"/>
      <c r="F78"/>
      <c r="G78"/>
      <c r="H78"/>
      <c r="I78"/>
      <c r="J78"/>
      <c r="K78"/>
      <c r="L78"/>
      <c r="M78"/>
      <c r="N78"/>
      <c r="O78"/>
      <c r="P78"/>
      <c r="Q78"/>
      <c r="R78"/>
      <c r="S78"/>
      <c r="T78"/>
      <c r="U78"/>
      <c r="V78"/>
      <c r="W78"/>
      <c r="X78"/>
      <c r="Y78"/>
      <c r="Z78"/>
      <c r="AA78"/>
      <c r="AB78"/>
      <c r="AC78"/>
      <c r="AD78"/>
      <c r="AE78"/>
    </row>
    <row r="79" spans="1:31" ht="16.899999999999999" customHeight="1" x14ac:dyDescent="0.2">
      <c r="C79" s="2260" t="s">
        <v>5670</v>
      </c>
      <c r="D79" s="2260"/>
      <c r="G79" s="2313"/>
      <c r="H79" s="2313"/>
      <c r="I79" s="2313"/>
      <c r="J79" s="2313"/>
      <c r="K79" s="2313"/>
      <c r="L79" s="2313"/>
      <c r="M79" s="2313"/>
      <c r="N79" s="2313"/>
      <c r="O79" s="2313"/>
      <c r="P79" s="2313"/>
      <c r="Q79" s="2313"/>
      <c r="R79" s="2313"/>
      <c r="S79" s="2313"/>
      <c r="T79" s="2313"/>
      <c r="U79" s="2313"/>
      <c r="V79" s="2313"/>
      <c r="W79" s="2313"/>
      <c r="X79" s="2313"/>
      <c r="Y79" s="2313"/>
      <c r="Z79" s="2313"/>
      <c r="AA79" s="2313"/>
      <c r="AB79" s="2313"/>
      <c r="AC79" s="2313"/>
      <c r="AD79" s="2313"/>
      <c r="AE79" s="1443"/>
    </row>
    <row r="80" spans="1:31" ht="25.9" customHeight="1" x14ac:dyDescent="0.2">
      <c r="C80" s="2260" t="s">
        <v>5760</v>
      </c>
      <c r="G80" s="2314"/>
      <c r="H80" s="2314"/>
      <c r="I80" s="2314"/>
      <c r="J80" s="2314"/>
      <c r="K80" s="2314"/>
      <c r="L80" s="2314"/>
      <c r="M80" s="2314"/>
      <c r="N80" s="2314"/>
      <c r="O80" s="2314"/>
      <c r="P80" s="2314"/>
      <c r="Q80" s="2314"/>
      <c r="R80" s="2314"/>
      <c r="S80" s="2314"/>
      <c r="T80" s="2314"/>
      <c r="U80" s="2314"/>
      <c r="V80" s="2314"/>
      <c r="W80" s="2314"/>
      <c r="X80" s="2314"/>
      <c r="Y80" s="2314"/>
      <c r="Z80" s="2314"/>
      <c r="AA80" s="2314"/>
      <c r="AB80" s="2314"/>
      <c r="AC80" s="2314"/>
      <c r="AD80" s="2314"/>
      <c r="AE80" s="1443"/>
    </row>
    <row r="81" spans="2:31" x14ac:dyDescent="0.2">
      <c r="C81" s="43" t="s">
        <v>5749</v>
      </c>
      <c r="E81" s="2359"/>
      <c r="F81" s="2359"/>
      <c r="G81" s="2359"/>
      <c r="H81" s="2314"/>
      <c r="I81" s="1945" t="s">
        <v>5750</v>
      </c>
      <c r="J81" s="2314"/>
      <c r="K81" s="2361"/>
      <c r="L81" s="2314"/>
      <c r="M81" s="2314"/>
      <c r="N81" s="2314"/>
      <c r="O81" s="2314"/>
      <c r="P81" s="2314"/>
      <c r="Q81" s="2314"/>
      <c r="R81" s="2314"/>
      <c r="S81" s="2314"/>
      <c r="T81" s="2314"/>
      <c r="U81" s="2314"/>
      <c r="V81" s="2314"/>
      <c r="W81" s="2314"/>
      <c r="X81" s="2314"/>
      <c r="Y81" s="2314"/>
      <c r="Z81" s="2314"/>
      <c r="AA81" s="2314"/>
      <c r="AB81" s="2314"/>
      <c r="AC81" s="2314"/>
      <c r="AD81" s="2314"/>
      <c r="AE81" s="1443"/>
    </row>
    <row r="82" spans="2:31" x14ac:dyDescent="0.2">
      <c r="C82" s="2260"/>
      <c r="D82" s="2260"/>
      <c r="G82" s="2314"/>
      <c r="H82" s="2314"/>
      <c r="I82" s="2314"/>
      <c r="J82" s="2314"/>
      <c r="K82" s="2314"/>
      <c r="L82" s="2314"/>
      <c r="M82" s="2314"/>
      <c r="N82" s="2314"/>
      <c r="O82" s="2314"/>
      <c r="P82" s="2314"/>
      <c r="Q82" s="2314"/>
      <c r="R82" s="2314"/>
      <c r="S82" s="2314"/>
      <c r="T82" s="2314"/>
      <c r="U82" s="2314"/>
      <c r="V82" s="2314"/>
      <c r="W82" s="2314"/>
      <c r="X82" s="2314"/>
      <c r="Y82" s="2314"/>
      <c r="Z82" s="2314"/>
      <c r="AA82" s="2314"/>
      <c r="AB82" s="2314"/>
      <c r="AC82" s="2314"/>
      <c r="AD82" s="2314"/>
      <c r="AE82" s="1443"/>
    </row>
    <row r="83" spans="2:31" ht="26.45" customHeight="1" x14ac:dyDescent="0.2">
      <c r="C83" s="2260" t="s">
        <v>5756</v>
      </c>
    </row>
    <row r="84" spans="2:31" ht="21" customHeight="1" x14ac:dyDescent="0.2">
      <c r="C84" s="2260"/>
      <c r="D84" s="2355" t="s">
        <v>5754</v>
      </c>
      <c r="E84" s="2313"/>
      <c r="F84" s="2356" t="s">
        <v>5543</v>
      </c>
      <c r="G84" s="2360"/>
      <c r="I84" s="2355" t="s">
        <v>345</v>
      </c>
      <c r="K84" s="2358"/>
      <c r="L84" s="2357"/>
      <c r="AE84" s="1443" t="str">
        <f>IF(AND(ISBLANK($E$84),ISBLANK($G$84),ISBLANK($K$84))=TRUE,"Answer Missing"," ")</f>
        <v>Answer Missing</v>
      </c>
    </row>
    <row r="85" spans="2:31" ht="28.9" customHeight="1" x14ac:dyDescent="0.2">
      <c r="C85" t="s">
        <v>5758</v>
      </c>
      <c r="E85"/>
      <c r="F85"/>
      <c r="G85"/>
      <c r="H85"/>
      <c r="I85"/>
      <c r="J85"/>
      <c r="K85"/>
      <c r="L85"/>
      <c r="AE85" s="1443"/>
    </row>
    <row r="86" spans="2:31" ht="16.899999999999999" customHeight="1" x14ac:dyDescent="0.2">
      <c r="C86" s="2260" t="s">
        <v>5546</v>
      </c>
      <c r="D86" s="2260"/>
      <c r="G86" s="2313"/>
      <c r="H86" s="2313"/>
      <c r="I86" s="2313"/>
      <c r="J86" s="2313"/>
      <c r="K86" s="2313"/>
      <c r="L86" s="2313"/>
      <c r="M86" s="2313"/>
      <c r="N86" s="2313"/>
      <c r="O86" s="2313"/>
      <c r="P86" s="2313"/>
      <c r="Q86" s="2313"/>
      <c r="R86" s="2313"/>
      <c r="S86" s="2313"/>
      <c r="T86" s="2313"/>
      <c r="U86" s="2313"/>
      <c r="V86" s="2313"/>
      <c r="W86" s="2313"/>
      <c r="X86" s="2313"/>
      <c r="Y86" s="2313"/>
      <c r="Z86" s="2313"/>
      <c r="AA86" s="2313"/>
      <c r="AB86" s="2313"/>
      <c r="AC86" s="2313"/>
      <c r="AD86" s="2313"/>
      <c r="AE86" s="1443"/>
    </row>
    <row r="87" spans="2:31" ht="32.450000000000003" customHeight="1" x14ac:dyDescent="0.2">
      <c r="C87" s="2260" t="s">
        <v>5759</v>
      </c>
      <c r="G87" s="2314"/>
      <c r="H87" s="2314"/>
      <c r="I87" s="2314"/>
      <c r="J87" s="2314"/>
      <c r="K87" s="2314"/>
    </row>
    <row r="88" spans="2:31" ht="16.899999999999999" customHeight="1" x14ac:dyDescent="0.2">
      <c r="C88" s="43" t="s">
        <v>5749</v>
      </c>
      <c r="E88" s="1997"/>
      <c r="F88" s="1997"/>
      <c r="G88" s="1997"/>
      <c r="H88" s="2314"/>
      <c r="I88" s="1945" t="s">
        <v>5750</v>
      </c>
      <c r="J88" s="2314"/>
      <c r="K88" s="2361"/>
    </row>
    <row r="89" spans="2:31" x14ac:dyDescent="0.2">
      <c r="C89" s="2260"/>
      <c r="D89" s="2260"/>
    </row>
    <row r="90" spans="2:31" x14ac:dyDescent="0.2">
      <c r="C90" s="2260"/>
      <c r="D90" s="2260"/>
    </row>
    <row r="91" spans="2:31" x14ac:dyDescent="0.2">
      <c r="C91" s="2260"/>
      <c r="D91" s="2260"/>
    </row>
    <row r="93" spans="2:31" ht="15" x14ac:dyDescent="0.2">
      <c r="B93" s="443" t="str">
        <f ca="1">MID(CELL("filename",B24),FIND("]",CELL("filename",B24))+1,256)</f>
        <v>301</v>
      </c>
      <c r="C93" s="443" t="s">
        <v>449</v>
      </c>
      <c r="D93" s="443"/>
    </row>
    <row r="94" spans="2:31" ht="15" x14ac:dyDescent="0.2">
      <c r="B94" s="443" t="s">
        <v>446</v>
      </c>
      <c r="C94" s="443" t="str">
        <f t="shared" ref="C94:C103" ca="1" si="4">IF(ISNA(INDEX(ErrorTable,MATCH($B$93&amp;$B94&amp;FALSE,ErrorKey,0),6)),"",INDEX(ErrorTable,MATCH($B$93&amp;$B94&amp;FALSE,ErrorKey,0),6))</f>
        <v/>
      </c>
      <c r="D94" s="443"/>
    </row>
    <row r="95" spans="2:31" ht="15" x14ac:dyDescent="0.2">
      <c r="B95" s="443" t="s">
        <v>447</v>
      </c>
      <c r="C95" s="443" t="str">
        <f t="shared" ca="1" si="4"/>
        <v/>
      </c>
      <c r="D95" s="443"/>
    </row>
    <row r="96" spans="2:31" ht="15" x14ac:dyDescent="0.2">
      <c r="B96" s="443" t="s">
        <v>448</v>
      </c>
      <c r="C96" s="443" t="str">
        <f t="shared" ca="1" si="4"/>
        <v/>
      </c>
      <c r="D96" s="443"/>
    </row>
    <row r="97" spans="2:4" ht="15" x14ac:dyDescent="0.2">
      <c r="B97" s="443" t="s">
        <v>450</v>
      </c>
      <c r="C97" s="443" t="str">
        <f t="shared" ca="1" si="4"/>
        <v/>
      </c>
      <c r="D97" s="443"/>
    </row>
    <row r="98" spans="2:4" ht="15" x14ac:dyDescent="0.2">
      <c r="B98" s="443" t="s">
        <v>451</v>
      </c>
      <c r="C98" s="443" t="str">
        <f t="shared" ca="1" si="4"/>
        <v/>
      </c>
      <c r="D98" s="443"/>
    </row>
    <row r="99" spans="2:4" ht="15" x14ac:dyDescent="0.2">
      <c r="B99" s="443" t="s">
        <v>452</v>
      </c>
      <c r="C99" s="443" t="str">
        <f t="shared" ca="1" si="4"/>
        <v/>
      </c>
      <c r="D99" s="443"/>
    </row>
    <row r="100" spans="2:4" ht="15" x14ac:dyDescent="0.2">
      <c r="B100" s="443" t="s">
        <v>453</v>
      </c>
      <c r="C100" s="443" t="str">
        <f t="shared" ca="1" si="4"/>
        <v/>
      </c>
      <c r="D100" s="443"/>
    </row>
    <row r="101" spans="2:4" ht="15" x14ac:dyDescent="0.2">
      <c r="B101" s="443" t="s">
        <v>454</v>
      </c>
      <c r="C101" s="443" t="str">
        <f t="shared" ca="1" si="4"/>
        <v/>
      </c>
      <c r="D101" s="443"/>
    </row>
    <row r="102" spans="2:4" ht="15" x14ac:dyDescent="0.2">
      <c r="B102" s="443" t="s">
        <v>455</v>
      </c>
      <c r="C102" s="443" t="str">
        <f t="shared" ca="1" si="4"/>
        <v/>
      </c>
      <c r="D102" s="443"/>
    </row>
    <row r="103" spans="2:4" ht="15" x14ac:dyDescent="0.2">
      <c r="B103" s="443" t="s">
        <v>456</v>
      </c>
      <c r="C103" s="443" t="str">
        <f t="shared" ca="1" si="4"/>
        <v/>
      </c>
      <c r="D103" s="443"/>
    </row>
  </sheetData>
  <sheetProtection algorithmName="SHA-512" hashValue="D6KiE5mq6Z0isXr0L0/MqlKdIiRCN+oKYLvectHR10DdK1rrGSgWGuFqhQKNV+iAY7advLZZu7zwKhMiXbNB8w==" saltValue="+JFvfxc5cEyj93JDIonnoA==" spinCount="100000" sheet="1" autoFilter="0"/>
  <customSheetViews>
    <customSheetView guid="{B08879A4-635B-4C39-9937-AC7883D562FC}" showGridLines="0" fitToPage="1" hiddenRows="1" hiddenColumns="1" topLeftCell="C1">
      <selection activeCell="AH26" sqref="AH26"/>
      <pageMargins left="0.75" right="0.5" top="0.5" bottom="0.5" header="0.5" footer="0.5"/>
      <pageSetup scale="82" orientation="portrait" r:id="rId1"/>
      <headerFooter alignWithMargins="0">
        <oddHeader xml:space="preserve">&amp;C &amp;R
</oddHeader>
        <oddFooter>&amp;R&amp;A</oddFooter>
      </headerFooter>
    </customSheetView>
    <customSheetView guid="{1250FD07-FF56-4A9D-AF9E-C27124A7EBE9}" showGridLines="0" fitToPage="1" showRuler="0">
      <selection sqref="A1:L1"/>
      <pageMargins left="0.75" right="0.5" top="0.5" bottom="0.5" header="0.5" footer="0.5"/>
      <pageSetup scale="81" orientation="portrait" horizontalDpi="300" verticalDpi="300" r:id="rId2"/>
      <headerFooter alignWithMargins="0">
        <oddHeader xml:space="preserve">&amp;C &amp;R
</oddHeader>
        <oddFooter>&amp;R&amp;A</oddFooter>
      </headerFooter>
    </customSheetView>
    <customSheetView guid="{BEA4BE86-04D1-4C96-9358-7A260B9D2B2D}" showGridLines="0" fitToPage="1" showRuler="0">
      <selection sqref="A1:L1"/>
      <pageMargins left="0.75" right="0.5" top="0.5" bottom="0.5" header="0.5" footer="0.5"/>
      <pageSetup scale="81" orientation="portrait" horizontalDpi="300" verticalDpi="300" r:id="rId3"/>
      <headerFooter alignWithMargins="0">
        <oddHeader xml:space="preserve">&amp;C &amp;R
</oddHeader>
        <oddFooter>&amp;R&amp;A</oddFooter>
      </headerFooter>
    </customSheetView>
    <customSheetView guid="{9FCFC836-1CA5-48BF-958D-24D2EA94B219}" showGridLines="0" fitToPage="1" printArea="1" hiddenRows="1" hiddenColumns="1" topLeftCell="C1">
      <selection activeCell="AH26" sqref="AH26"/>
      <pageMargins left="0.75" right="0.5" top="0.5" bottom="0.5" header="0.5" footer="0.5"/>
      <pageSetup scale="82" orientation="portrait" r:id="rId4"/>
      <headerFooter alignWithMargins="0">
        <oddHeader xml:space="preserve">&amp;C &amp;R
</oddHeader>
        <oddFooter>&amp;R&amp;A</oddFooter>
      </headerFooter>
    </customSheetView>
  </customSheetViews>
  <mergeCells count="10">
    <mergeCell ref="H65:AD65"/>
    <mergeCell ref="L1:L3"/>
    <mergeCell ref="G5:K5"/>
    <mergeCell ref="G6:K6"/>
    <mergeCell ref="G7:K7"/>
    <mergeCell ref="C1:K1"/>
    <mergeCell ref="C2:K2"/>
    <mergeCell ref="C3:K3"/>
    <mergeCell ref="G24:K24"/>
    <mergeCell ref="G8:K8"/>
  </mergeCells>
  <phoneticPr fontId="15" type="noConversion"/>
  <conditionalFormatting sqref="L1:L3">
    <cfRule type="cellIs" dxfId="149" priority="11" stopIfTrue="1" operator="equal">
      <formula>"na"</formula>
    </cfRule>
  </conditionalFormatting>
  <conditionalFormatting sqref="AE56 AE58:AE61">
    <cfRule type="containsText" dxfId="148" priority="10" stopIfTrue="1" operator="containsText" text="Answer Missing">
      <formula>NOT(ISERROR(SEARCH("Answer Missing",AE56)))</formula>
    </cfRule>
  </conditionalFormatting>
  <conditionalFormatting sqref="AE65">
    <cfRule type="containsText" dxfId="147" priority="8" stopIfTrue="1" operator="containsText" text="Answer Missing">
      <formula>NOT(ISERROR(SEARCH("Answer Missing",AE65)))</formula>
    </cfRule>
  </conditionalFormatting>
  <conditionalFormatting sqref="AE77 AE79:AE82">
    <cfRule type="containsText" dxfId="146" priority="7" stopIfTrue="1" operator="containsText" text="Answer Missing">
      <formula>NOT(ISERROR(SEARCH("Answer Missing",AE77)))</formula>
    </cfRule>
  </conditionalFormatting>
  <conditionalFormatting sqref="AE85">
    <cfRule type="containsText" dxfId="145" priority="6" stopIfTrue="1" operator="containsText" text="Answer Missing">
      <formula>NOT(ISERROR(SEARCH("Answer Missing",AE85)))</formula>
    </cfRule>
  </conditionalFormatting>
  <conditionalFormatting sqref="AE86">
    <cfRule type="containsText" dxfId="144" priority="5" stopIfTrue="1" operator="containsText" text="Answer Missing">
      <formula>NOT(ISERROR(SEARCH("Answer Missing",AE86)))</formula>
    </cfRule>
  </conditionalFormatting>
  <conditionalFormatting sqref="AD1:AD3">
    <cfRule type="cellIs" dxfId="143" priority="4" stopIfTrue="1" operator="equal">
      <formula>"na"</formula>
    </cfRule>
  </conditionalFormatting>
  <conditionalFormatting sqref="AE72">
    <cfRule type="containsText" dxfId="142" priority="3" stopIfTrue="1" operator="containsText" text="Answer Missing">
      <formula>NOT(ISERROR(SEARCH("Answer Missing",AE72)))</formula>
    </cfRule>
  </conditionalFormatting>
  <conditionalFormatting sqref="AE63">
    <cfRule type="containsText" dxfId="141" priority="2" stopIfTrue="1" operator="containsText" text="Answer Missing">
      <formula>NOT(ISERROR(SEARCH("Answer Missing",AE63)))</formula>
    </cfRule>
  </conditionalFormatting>
  <conditionalFormatting sqref="AE84">
    <cfRule type="containsText" dxfId="140" priority="1" stopIfTrue="1" operator="containsText" text="Answer Missing">
      <formula>NOT(ISERROR(SEARCH("Answer Missing",AE84)))</formula>
    </cfRule>
  </conditionalFormatting>
  <dataValidations disablePrompts="1" count="1">
    <dataValidation type="decimal" operator="lessThanOrEqual" allowBlank="1" showInputMessage="1" showErrorMessage="1" errorTitle="Invalid data!" error="Amount must be negative." sqref="G45 I45 K45" xr:uid="{00000000-0002-0000-0B00-000000000000}">
      <formula1>0</formula1>
    </dataValidation>
  </dataValidations>
  <hyperlinks>
    <hyperlink ref="C1:K1" location="Index!A1" display="Index!A1" xr:uid="{00000000-0004-0000-0B00-000000000000}"/>
  </hyperlinks>
  <pageMargins left="0.75" right="0.5" top="0.5" bottom="0.5" header="0.5" footer="0.5"/>
  <pageSetup scale="78" orientation="portrait" r:id="rId5"/>
  <headerFooter alignWithMargins="0">
    <oddHeader xml:space="preserve">&amp;C &amp;R
</oddHeader>
    <oddFooter>&amp;R&amp;A</oddFooter>
  </headerFooter>
  <ignoredErrors>
    <ignoredError sqref="C50"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Y56"/>
  <sheetViews>
    <sheetView showGridLines="0" topLeftCell="B1" zoomScaleNormal="100" workbookViewId="0">
      <selection activeCell="E7" sqref="E7:E8"/>
    </sheetView>
  </sheetViews>
  <sheetFormatPr defaultColWidth="16.5703125" defaultRowHeight="12.75" x14ac:dyDescent="0.2"/>
  <cols>
    <col min="1" max="1" width="5.42578125" style="493" hidden="1" customWidth="1"/>
    <col min="2" max="2" width="16.5703125" style="494" customWidth="1"/>
    <col min="3" max="3" width="1.42578125" style="494" customWidth="1"/>
    <col min="4" max="4" width="11.5703125" style="494" customWidth="1"/>
    <col min="5" max="5" width="15.5703125" style="494" customWidth="1"/>
    <col min="6" max="6" width="1.42578125" style="494" customWidth="1"/>
    <col min="7" max="7" width="15.5703125" style="494" customWidth="1"/>
    <col min="8" max="8" width="1.42578125" style="494" customWidth="1"/>
    <col min="9" max="9" width="15.5703125" style="494" customWidth="1"/>
    <col min="10" max="10" width="1.42578125" style="494" customWidth="1"/>
    <col min="11" max="11" width="15.5703125" style="494" customWidth="1"/>
    <col min="12" max="12" width="1.42578125" style="494" customWidth="1"/>
    <col min="13" max="13" width="15.5703125" style="494" customWidth="1"/>
    <col min="14" max="14" width="1.42578125" style="494" customWidth="1"/>
    <col min="15" max="15" width="15.5703125" style="494" customWidth="1"/>
    <col min="16" max="16" width="4.5703125" style="494" customWidth="1"/>
    <col min="17" max="19" width="9.42578125" style="494" customWidth="1"/>
    <col min="20" max="20" width="21.7109375" style="494" bestFit="1" customWidth="1"/>
    <col min="21" max="21" width="10.28515625" style="494" bestFit="1" customWidth="1"/>
    <col min="22" max="22" width="13.85546875" style="494" customWidth="1"/>
    <col min="23" max="24" width="9.42578125" style="494" customWidth="1"/>
    <col min="25" max="25" width="10.5703125" style="494" customWidth="1"/>
    <col min="26" max="33" width="9.42578125" style="494" customWidth="1"/>
    <col min="34" max="16384" width="16.5703125" style="494"/>
  </cols>
  <sheetData>
    <row r="1" spans="1:22" s="16" customFormat="1" ht="25.15" customHeight="1" x14ac:dyDescent="0.25">
      <c r="A1" s="481"/>
      <c r="B1" s="2449" t="str">
        <f>+Index!$A$1</f>
        <v xml:space="preserve">                                                               Office of the State Controller                                                                </v>
      </c>
      <c r="C1" s="2449"/>
      <c r="D1" s="2449"/>
      <c r="E1" s="2449"/>
      <c r="F1" s="2449"/>
      <c r="G1" s="2449"/>
      <c r="H1" s="2449"/>
      <c r="I1" s="2449"/>
      <c r="J1" s="2449"/>
      <c r="K1" s="2449"/>
      <c r="L1" s="2449"/>
      <c r="M1" s="2449"/>
      <c r="N1" s="2449"/>
      <c r="O1" s="2449"/>
      <c r="P1" s="1423" t="str">
        <f>IF(Index!$B$28="na","NA","")</f>
        <v/>
      </c>
    </row>
    <row r="2" spans="1:22" s="16" customFormat="1" ht="15" customHeight="1" x14ac:dyDescent="0.25">
      <c r="A2" s="481"/>
      <c r="B2" s="2508" t="str">
        <f>+Index!$A$2</f>
        <v>2022 ACFR Worksheets</v>
      </c>
      <c r="C2" s="2508"/>
      <c r="D2" s="2508"/>
      <c r="E2" s="2508"/>
      <c r="F2" s="2508"/>
      <c r="G2" s="2508"/>
      <c r="H2" s="2508"/>
      <c r="I2" s="2508"/>
      <c r="J2" s="2508"/>
      <c r="K2" s="2508"/>
      <c r="L2" s="2508"/>
      <c r="M2" s="2508"/>
      <c r="N2" s="2508"/>
      <c r="O2" s="2508"/>
      <c r="P2" s="1423"/>
    </row>
    <row r="3" spans="1:22" s="16" customFormat="1" ht="15" customHeight="1" x14ac:dyDescent="0.25">
      <c r="A3" s="481"/>
      <c r="B3" s="2508" t="s">
        <v>3498</v>
      </c>
      <c r="C3" s="2508"/>
      <c r="D3" s="2508"/>
      <c r="E3" s="2508"/>
      <c r="F3" s="2508"/>
      <c r="G3" s="2508"/>
      <c r="H3" s="2508"/>
      <c r="I3" s="2508"/>
      <c r="J3" s="2508"/>
      <c r="K3" s="2508"/>
      <c r="L3" s="2508"/>
      <c r="M3" s="2508"/>
      <c r="N3" s="2508"/>
      <c r="O3" s="2508"/>
      <c r="P3" s="1423"/>
    </row>
    <row r="4" spans="1:22" s="102" customFormat="1" ht="15" customHeight="1" x14ac:dyDescent="0.25">
      <c r="A4" s="202"/>
      <c r="B4" s="2508" t="s">
        <v>1100</v>
      </c>
      <c r="C4" s="2508"/>
      <c r="D4" s="2508"/>
      <c r="E4" s="2508"/>
      <c r="F4" s="2508"/>
      <c r="G4" s="2508"/>
      <c r="H4" s="2508"/>
      <c r="I4" s="2508"/>
      <c r="J4" s="2508"/>
      <c r="K4" s="2508"/>
      <c r="L4" s="2508"/>
      <c r="M4" s="2508"/>
      <c r="N4" s="2508"/>
      <c r="O4" s="2508"/>
      <c r="P4" s="429"/>
      <c r="T4" s="494"/>
      <c r="U4" s="494"/>
      <c r="V4" s="494"/>
    </row>
    <row r="5" spans="1:22" s="102" customFormat="1" ht="12.75" customHeight="1" x14ac:dyDescent="0.25">
      <c r="A5" s="202"/>
      <c r="B5" s="429"/>
      <c r="C5" s="429"/>
      <c r="D5" s="429"/>
      <c r="E5" s="429"/>
      <c r="F5" s="429"/>
      <c r="G5" s="429"/>
      <c r="H5" s="429"/>
      <c r="I5" s="2509"/>
      <c r="J5" s="2509"/>
      <c r="K5" s="2509"/>
      <c r="L5" s="2509"/>
      <c r="M5" s="2509"/>
      <c r="N5" s="2509"/>
      <c r="O5" s="2509"/>
      <c r="P5" s="429"/>
      <c r="T5" s="494"/>
      <c r="U5" s="494"/>
      <c r="V5" s="494"/>
    </row>
    <row r="6" spans="1:22" s="102" customFormat="1" ht="14.85" customHeight="1" x14ac:dyDescent="0.2">
      <c r="A6" s="202"/>
      <c r="D6" s="202"/>
      <c r="I6" s="103" t="s">
        <v>327</v>
      </c>
      <c r="J6" s="482"/>
      <c r="K6" s="2500" t="str">
        <f>+Index!$E$10</f>
        <v>01</v>
      </c>
      <c r="L6" s="2500"/>
      <c r="M6" s="2500"/>
      <c r="N6" s="2500"/>
      <c r="O6" s="2500"/>
      <c r="T6" s="494"/>
      <c r="U6" s="494"/>
      <c r="V6" s="494"/>
    </row>
    <row r="7" spans="1:22" s="102" customFormat="1" ht="14.85" customHeight="1" x14ac:dyDescent="0.2">
      <c r="A7" s="202"/>
      <c r="B7" s="2104" t="s">
        <v>4968</v>
      </c>
      <c r="C7" s="494"/>
      <c r="D7" s="2199" t="s">
        <v>4969</v>
      </c>
      <c r="E7" s="2507"/>
      <c r="I7" s="103" t="s">
        <v>1154</v>
      </c>
      <c r="J7" s="482"/>
      <c r="K7" s="2501" t="str">
        <f>+Index!$E$11</f>
        <v>North Carolina General Assembly</v>
      </c>
      <c r="L7" s="2501"/>
      <c r="M7" s="2501"/>
      <c r="N7" s="2501"/>
      <c r="O7" s="2501"/>
      <c r="T7" s="494"/>
      <c r="U7" s="494"/>
      <c r="V7" s="494"/>
    </row>
    <row r="8" spans="1:22" s="102" customFormat="1" ht="14.85" customHeight="1" x14ac:dyDescent="0.2">
      <c r="A8" s="202"/>
      <c r="B8" s="759" t="s">
        <v>477</v>
      </c>
      <c r="C8" s="202"/>
      <c r="D8" s="2101">
        <v>5200</v>
      </c>
      <c r="E8" s="2507"/>
      <c r="I8" s="103" t="s">
        <v>972</v>
      </c>
      <c r="J8" s="482"/>
      <c r="K8" s="2502" t="str">
        <f>CONCATENATE(Index!$E$12," ",Index!$E$14)</f>
        <v xml:space="preserve"> </v>
      </c>
      <c r="L8" s="2502"/>
      <c r="M8" s="2502"/>
      <c r="N8" s="2502"/>
      <c r="O8" s="2502"/>
      <c r="T8" s="494"/>
      <c r="U8" s="494"/>
      <c r="V8" s="494"/>
    </row>
    <row r="9" spans="1:22" s="102" customFormat="1" ht="14.85" customHeight="1" x14ac:dyDescent="0.2">
      <c r="A9" s="202"/>
      <c r="B9" s="759"/>
      <c r="C9" s="202"/>
      <c r="D9" s="772"/>
      <c r="E9" s="769"/>
      <c r="I9" s="103" t="s">
        <v>348</v>
      </c>
      <c r="J9" s="482"/>
      <c r="K9" s="2502">
        <f>+Index!$E$13</f>
        <v>0</v>
      </c>
      <c r="L9" s="2502"/>
      <c r="M9" s="2502"/>
      <c r="N9" s="2502"/>
      <c r="O9" s="2502"/>
      <c r="T9" s="494"/>
      <c r="U9" s="494"/>
      <c r="V9" s="494"/>
    </row>
    <row r="10" spans="1:22" s="102" customFormat="1" ht="6" customHeight="1" thickBot="1" x14ac:dyDescent="0.25">
      <c r="A10" s="202"/>
      <c r="B10" s="107"/>
      <c r="C10" s="107"/>
      <c r="D10" s="107"/>
      <c r="E10" s="107"/>
      <c r="F10" s="107"/>
      <c r="G10" s="107"/>
      <c r="H10" s="107"/>
      <c r="I10" s="107"/>
      <c r="J10" s="107"/>
      <c r="K10" s="107"/>
      <c r="L10" s="107"/>
      <c r="M10" s="107"/>
      <c r="N10" s="107"/>
      <c r="O10" s="107"/>
      <c r="T10" s="494"/>
      <c r="U10" s="494"/>
      <c r="V10" s="494"/>
    </row>
    <row r="11" spans="1:22" s="102" customFormat="1" ht="5.25" customHeight="1" x14ac:dyDescent="0.2">
      <c r="A11" s="202"/>
      <c r="T11" s="494"/>
      <c r="U11" s="494"/>
      <c r="V11" s="494"/>
    </row>
    <row r="12" spans="1:22" s="102" customFormat="1" ht="12" customHeight="1" x14ac:dyDescent="0.2">
      <c r="A12" s="202"/>
      <c r="B12" s="483"/>
      <c r="C12" s="483"/>
      <c r="D12" s="484"/>
      <c r="E12" s="484" t="s">
        <v>1160</v>
      </c>
      <c r="F12" s="484"/>
      <c r="G12" s="484" t="s">
        <v>648</v>
      </c>
      <c r="H12" s="484"/>
      <c r="I12" s="484"/>
      <c r="J12" s="484"/>
      <c r="K12" s="484"/>
      <c r="L12" s="484"/>
      <c r="M12" s="484" t="s">
        <v>1160</v>
      </c>
      <c r="N12" s="483"/>
      <c r="O12" s="484" t="s">
        <v>422</v>
      </c>
      <c r="T12" s="494"/>
      <c r="U12" s="494"/>
      <c r="V12" s="494"/>
    </row>
    <row r="13" spans="1:22" s="102" customFormat="1" ht="12" customHeight="1" x14ac:dyDescent="0.2">
      <c r="A13" s="202"/>
      <c r="B13" s="484"/>
      <c r="C13" s="484"/>
      <c r="D13" s="484"/>
      <c r="E13" s="485" t="str">
        <f>+TEXT(Data!$A$3,"mmmm d, yyyy")</f>
        <v>July 1, 2021</v>
      </c>
      <c r="F13" s="484"/>
      <c r="G13" s="486" t="s">
        <v>1052</v>
      </c>
      <c r="H13" s="484"/>
      <c r="I13" s="486" t="s">
        <v>1050</v>
      </c>
      <c r="J13" s="484"/>
      <c r="K13" s="486" t="s">
        <v>1059</v>
      </c>
      <c r="L13" s="484"/>
      <c r="M13" s="485" t="str">
        <f>+TEXT(Data!$A$2,"mmmm d, yyyy")</f>
        <v>June 30, 2022</v>
      </c>
      <c r="N13" s="483"/>
      <c r="O13" s="486" t="s">
        <v>423</v>
      </c>
      <c r="T13" s="494"/>
      <c r="U13" s="494"/>
      <c r="V13" s="494"/>
    </row>
    <row r="14" spans="1:22" s="102" customFormat="1" ht="12" customHeight="1" x14ac:dyDescent="0.2">
      <c r="A14" s="202"/>
      <c r="B14" s="484"/>
      <c r="C14" s="484"/>
      <c r="D14" s="484"/>
      <c r="E14" s="2137"/>
      <c r="F14" s="484"/>
      <c r="G14" s="2138" t="s">
        <v>4970</v>
      </c>
      <c r="H14" s="2139"/>
      <c r="I14" s="2138" t="s">
        <v>5132</v>
      </c>
      <c r="J14" s="2139"/>
      <c r="K14" s="2138" t="s">
        <v>5133</v>
      </c>
      <c r="L14" s="2139"/>
      <c r="M14" s="2140"/>
      <c r="N14" s="2141"/>
      <c r="O14" s="2138" t="s">
        <v>5039</v>
      </c>
      <c r="T14" s="2104"/>
      <c r="U14" s="2142"/>
      <c r="V14" s="494"/>
    </row>
    <row r="15" spans="1:22" s="102" customFormat="1" ht="11.1" customHeight="1" x14ac:dyDescent="0.2">
      <c r="A15" s="202"/>
      <c r="B15" s="483"/>
      <c r="C15" s="483"/>
      <c r="D15" s="484"/>
      <c r="E15" s="766" t="s">
        <v>118</v>
      </c>
      <c r="F15" s="767"/>
      <c r="G15" s="766" t="s">
        <v>119</v>
      </c>
      <c r="H15" s="767"/>
      <c r="I15" s="766" t="s">
        <v>996</v>
      </c>
      <c r="J15" s="767"/>
      <c r="K15" s="766" t="s">
        <v>997</v>
      </c>
      <c r="L15" s="767"/>
      <c r="M15" s="766" t="s">
        <v>998</v>
      </c>
      <c r="N15" s="767"/>
      <c r="O15" s="766" t="s">
        <v>999</v>
      </c>
      <c r="T15" s="494"/>
      <c r="U15" s="494"/>
      <c r="V15" s="494"/>
    </row>
    <row r="16" spans="1:22" s="102" customFormat="1" ht="12.75" customHeight="1" x14ac:dyDescent="0.2">
      <c r="A16" s="202"/>
      <c r="B16" s="1192" t="s">
        <v>3969</v>
      </c>
      <c r="C16" s="487"/>
      <c r="D16" s="488"/>
      <c r="E16" s="489"/>
      <c r="F16" s="489"/>
      <c r="G16" s="489"/>
      <c r="H16" s="489"/>
      <c r="I16" s="489"/>
      <c r="J16" s="489"/>
      <c r="K16" s="489"/>
      <c r="L16" s="489"/>
      <c r="M16" s="489"/>
      <c r="N16" s="489"/>
      <c r="O16" s="489"/>
      <c r="T16" s="494"/>
      <c r="U16" s="494"/>
      <c r="V16" s="494"/>
    </row>
    <row r="17" spans="2:25" s="102" customFormat="1" ht="14.1" customHeight="1" x14ac:dyDescent="0.2">
      <c r="B17" s="490" t="s">
        <v>506</v>
      </c>
      <c r="C17" s="483"/>
      <c r="D17" s="488"/>
      <c r="E17" s="276"/>
      <c r="F17" s="489"/>
      <c r="G17" s="276"/>
      <c r="H17" s="489"/>
      <c r="I17" s="276"/>
      <c r="J17" s="489"/>
      <c r="K17" s="276"/>
      <c r="L17" s="489"/>
      <c r="M17" s="491">
        <f t="shared" ref="M17:M23" si="0">E17+G17+I17+K17</f>
        <v>0</v>
      </c>
      <c r="N17" s="489"/>
      <c r="O17" s="276"/>
      <c r="S17" s="202"/>
      <c r="T17" s="2142">
        <v>22610100</v>
      </c>
      <c r="U17" s="2105">
        <v>21610100</v>
      </c>
      <c r="V17" s="2105" t="s">
        <v>4969</v>
      </c>
      <c r="W17" s="501"/>
      <c r="X17" s="501"/>
      <c r="Y17" s="501"/>
    </row>
    <row r="18" spans="2:25" s="102" customFormat="1" ht="14.1" customHeight="1" x14ac:dyDescent="0.2">
      <c r="B18" s="490" t="s">
        <v>45</v>
      </c>
      <c r="C18" s="483"/>
      <c r="D18" s="488"/>
      <c r="E18" s="276"/>
      <c r="F18" s="489"/>
      <c r="G18" s="276"/>
      <c r="H18" s="489"/>
      <c r="I18" s="276"/>
      <c r="J18" s="489"/>
      <c r="K18" s="276"/>
      <c r="L18" s="489"/>
      <c r="M18" s="491">
        <f t="shared" si="0"/>
        <v>0</v>
      </c>
      <c r="N18" s="489"/>
      <c r="O18" s="276"/>
      <c r="S18" s="202"/>
      <c r="T18" s="2142">
        <v>22610300</v>
      </c>
      <c r="U18" s="2105">
        <v>21610300</v>
      </c>
      <c r="V18" s="2105" t="s">
        <v>4969</v>
      </c>
      <c r="W18" s="501"/>
      <c r="X18" s="501"/>
      <c r="Y18" s="501"/>
    </row>
    <row r="19" spans="2:25" s="102" customFormat="1" ht="14.1" customHeight="1" x14ac:dyDescent="0.2">
      <c r="B19" s="1310" t="s">
        <v>4692</v>
      </c>
      <c r="C19" s="483"/>
      <c r="D19" s="488"/>
      <c r="E19" s="276"/>
      <c r="F19" s="489"/>
      <c r="G19" s="276"/>
      <c r="H19" s="489"/>
      <c r="I19" s="276"/>
      <c r="J19" s="489"/>
      <c r="K19" s="276"/>
      <c r="L19" s="489"/>
      <c r="M19" s="491">
        <f t="shared" si="0"/>
        <v>0</v>
      </c>
      <c r="N19" s="489"/>
      <c r="O19" s="276"/>
      <c r="S19" s="202"/>
      <c r="T19" s="2104">
        <v>22610400</v>
      </c>
      <c r="U19" s="2105">
        <v>21610400</v>
      </c>
      <c r="V19" s="2105" t="s">
        <v>4969</v>
      </c>
      <c r="W19" s="501"/>
      <c r="X19" s="501"/>
      <c r="Y19" s="501"/>
    </row>
    <row r="20" spans="2:25" s="102" customFormat="1" ht="14.1" customHeight="1" x14ac:dyDescent="0.2">
      <c r="B20" s="490" t="s">
        <v>507</v>
      </c>
      <c r="C20" s="483"/>
      <c r="D20" s="488"/>
      <c r="E20" s="276"/>
      <c r="F20" s="489"/>
      <c r="G20" s="276"/>
      <c r="H20" s="489"/>
      <c r="I20" s="276"/>
      <c r="J20" s="489"/>
      <c r="K20" s="276"/>
      <c r="L20" s="489"/>
      <c r="M20" s="491">
        <f>E20+G20+I20+K20</f>
        <v>0</v>
      </c>
      <c r="N20" s="489"/>
      <c r="O20" s="276"/>
      <c r="S20" s="202"/>
      <c r="T20" s="2142">
        <v>22610500</v>
      </c>
      <c r="U20" s="2105">
        <v>21610500</v>
      </c>
      <c r="V20" s="2105" t="s">
        <v>4969</v>
      </c>
      <c r="W20" s="501"/>
      <c r="X20" s="501"/>
      <c r="Y20" s="501"/>
    </row>
    <row r="21" spans="2:25" s="102" customFormat="1" ht="14.1" customHeight="1" x14ac:dyDescent="0.2">
      <c r="B21" s="490" t="s">
        <v>1301</v>
      </c>
      <c r="C21" s="483"/>
      <c r="D21" s="488"/>
      <c r="E21" s="276"/>
      <c r="F21" s="489"/>
      <c r="G21" s="276"/>
      <c r="H21" s="489"/>
      <c r="I21" s="276"/>
      <c r="J21" s="489"/>
      <c r="K21" s="276"/>
      <c r="L21" s="489"/>
      <c r="M21" s="491">
        <f t="shared" si="0"/>
        <v>0</v>
      </c>
      <c r="N21" s="489"/>
      <c r="O21" s="276"/>
      <c r="S21" s="202"/>
      <c r="T21" s="2142">
        <v>22610600</v>
      </c>
      <c r="U21" s="2105">
        <v>21610600</v>
      </c>
      <c r="V21" s="2105" t="s">
        <v>4969</v>
      </c>
      <c r="W21" s="501"/>
      <c r="X21" s="501"/>
      <c r="Y21" s="501"/>
    </row>
    <row r="22" spans="2:25" s="102" customFormat="1" ht="14.1" customHeight="1" x14ac:dyDescent="0.2">
      <c r="B22" s="2505" t="s">
        <v>3836</v>
      </c>
      <c r="C22" s="2506"/>
      <c r="D22" s="2506"/>
      <c r="E22" s="276"/>
      <c r="F22" s="489"/>
      <c r="G22" s="276"/>
      <c r="H22" s="489"/>
      <c r="I22" s="276"/>
      <c r="J22" s="489"/>
      <c r="K22" s="276"/>
      <c r="L22" s="489"/>
      <c r="M22" s="491">
        <f t="shared" si="0"/>
        <v>0</v>
      </c>
      <c r="N22" s="489"/>
      <c r="O22" s="731"/>
      <c r="S22" s="202"/>
      <c r="T22" s="2142">
        <v>22611000</v>
      </c>
      <c r="U22" s="2105"/>
      <c r="V22" s="2105" t="s">
        <v>4969</v>
      </c>
      <c r="W22" s="501"/>
      <c r="X22" s="501"/>
      <c r="Y22" s="501"/>
    </row>
    <row r="23" spans="2:25" s="102" customFormat="1" ht="14.1" customHeight="1" thickBot="1" x14ac:dyDescent="0.25">
      <c r="B23" s="2505" t="s">
        <v>3837</v>
      </c>
      <c r="C23" s="2506"/>
      <c r="D23" s="2506"/>
      <c r="E23" s="752"/>
      <c r="F23" s="489"/>
      <c r="G23" s="752"/>
      <c r="H23" s="489"/>
      <c r="I23" s="752"/>
      <c r="J23" s="489"/>
      <c r="K23" s="752"/>
      <c r="L23" s="489"/>
      <c r="M23" s="755">
        <f t="shared" si="0"/>
        <v>0</v>
      </c>
      <c r="N23" s="489"/>
      <c r="O23" s="753"/>
      <c r="S23" s="202"/>
      <c r="T23" s="2142">
        <v>22612000</v>
      </c>
      <c r="U23" s="494"/>
      <c r="V23" s="2105" t="s">
        <v>4969</v>
      </c>
      <c r="W23" s="501"/>
      <c r="X23" s="501"/>
      <c r="Y23" s="501"/>
    </row>
    <row r="24" spans="2:25" s="102" customFormat="1" ht="14.1" customHeight="1" x14ac:dyDescent="0.2">
      <c r="B24" s="483" t="s">
        <v>1061</v>
      </c>
      <c r="C24" s="487"/>
      <c r="D24" s="488"/>
      <c r="E24" s="276"/>
      <c r="F24" s="489"/>
      <c r="G24" s="276"/>
      <c r="H24" s="489"/>
      <c r="I24" s="276"/>
      <c r="J24" s="489"/>
      <c r="K24" s="276"/>
      <c r="L24" s="489"/>
      <c r="M24" s="491">
        <f t="shared" ref="M24:M34" si="1">E24+G24+I24+K24</f>
        <v>0</v>
      </c>
      <c r="N24" s="489"/>
      <c r="O24" s="276"/>
      <c r="S24" s="202"/>
      <c r="T24" s="2142">
        <v>22140000</v>
      </c>
      <c r="U24" s="2105">
        <v>21140000</v>
      </c>
      <c r="V24" s="2105"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4" s="501"/>
      <c r="X24" s="501"/>
      <c r="Y24" s="501"/>
    </row>
    <row r="25" spans="2:25" s="102" customFormat="1" ht="14.1" customHeight="1" x14ac:dyDescent="0.2">
      <c r="B25" s="1192" t="s">
        <v>3817</v>
      </c>
      <c r="C25" s="487"/>
      <c r="D25" s="488"/>
      <c r="E25" s="276"/>
      <c r="F25" s="489"/>
      <c r="G25" s="276"/>
      <c r="H25" s="489"/>
      <c r="I25" s="276"/>
      <c r="J25" s="489"/>
      <c r="K25" s="276"/>
      <c r="L25" s="489"/>
      <c r="M25" s="491">
        <f t="shared" si="1"/>
        <v>0</v>
      </c>
      <c r="N25" s="489"/>
      <c r="O25" s="276"/>
      <c r="S25" s="202"/>
      <c r="T25" s="2142">
        <v>22150000</v>
      </c>
      <c r="U25" s="2105">
        <v>21150000</v>
      </c>
      <c r="V25" s="2105"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5" s="501"/>
      <c r="X25" s="501"/>
      <c r="Y25" s="501"/>
    </row>
    <row r="26" spans="2:25" s="102" customFormat="1" ht="14.1" customHeight="1" x14ac:dyDescent="0.2">
      <c r="B26" s="483" t="s">
        <v>1062</v>
      </c>
      <c r="C26" s="487"/>
      <c r="D26" s="488"/>
      <c r="E26" s="276"/>
      <c r="F26" s="489"/>
      <c r="G26" s="276"/>
      <c r="H26" s="489"/>
      <c r="I26" s="276"/>
      <c r="J26" s="489"/>
      <c r="K26" s="276"/>
      <c r="L26" s="489"/>
      <c r="M26" s="491">
        <f t="shared" si="1"/>
        <v>0</v>
      </c>
      <c r="N26" s="489"/>
      <c r="O26" s="276"/>
      <c r="S26" s="202"/>
      <c r="T26" s="2142">
        <v>22199000</v>
      </c>
      <c r="U26" s="2105">
        <v>21191000</v>
      </c>
      <c r="V26" s="2105"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6" s="501"/>
      <c r="X26" s="501"/>
      <c r="Y26" s="501"/>
    </row>
    <row r="27" spans="2:25" s="102" customFormat="1" ht="14.1" customHeight="1" x14ac:dyDescent="0.2">
      <c r="B27" s="483" t="s">
        <v>4595</v>
      </c>
      <c r="C27" s="487"/>
      <c r="D27" s="488"/>
      <c r="E27" s="276"/>
      <c r="F27" s="489"/>
      <c r="G27" s="276"/>
      <c r="H27" s="489"/>
      <c r="I27" s="276"/>
      <c r="J27" s="489"/>
      <c r="K27" s="276"/>
      <c r="L27" s="489"/>
      <c r="M27" s="491">
        <f>E27+G27+I27+K27</f>
        <v>0</v>
      </c>
      <c r="N27" s="489"/>
      <c r="O27" s="276"/>
      <c r="S27" s="202"/>
      <c r="T27" s="2142">
        <v>22320000</v>
      </c>
      <c r="U27" s="2105">
        <v>21320000</v>
      </c>
      <c r="V27" s="2105" t="s">
        <v>4969</v>
      </c>
      <c r="W27" s="501"/>
      <c r="X27" s="501"/>
      <c r="Y27" s="501"/>
    </row>
    <row r="28" spans="2:25" s="102" customFormat="1" ht="14.1" customHeight="1" x14ac:dyDescent="0.2">
      <c r="B28" s="1192" t="s">
        <v>5477</v>
      </c>
      <c r="C28" s="487"/>
      <c r="D28" s="492"/>
      <c r="E28" s="276"/>
      <c r="F28" s="489"/>
      <c r="G28" s="276"/>
      <c r="H28" s="489"/>
      <c r="I28" s="276"/>
      <c r="J28" s="489"/>
      <c r="K28" s="276"/>
      <c r="L28" s="489"/>
      <c r="M28" s="491">
        <f t="shared" si="1"/>
        <v>0</v>
      </c>
      <c r="N28" s="489"/>
      <c r="O28" s="276"/>
      <c r="S28" s="202"/>
      <c r="T28" s="2142">
        <v>22410000</v>
      </c>
      <c r="U28" s="2105">
        <v>21410000</v>
      </c>
      <c r="V28" s="2105" t="s">
        <v>4969</v>
      </c>
      <c r="W28" s="501"/>
      <c r="X28" s="501"/>
      <c r="Y28" s="501"/>
    </row>
    <row r="29" spans="2:25" s="102" customFormat="1" ht="14.1" customHeight="1" x14ac:dyDescent="0.2">
      <c r="B29" s="483" t="s">
        <v>1226</v>
      </c>
      <c r="C29" s="487"/>
      <c r="D29" s="492"/>
      <c r="E29" s="276"/>
      <c r="F29" s="489"/>
      <c r="G29" s="276"/>
      <c r="H29" s="489"/>
      <c r="I29" s="276"/>
      <c r="J29" s="489"/>
      <c r="K29" s="276"/>
      <c r="L29" s="489"/>
      <c r="M29" s="491">
        <f t="shared" si="1"/>
        <v>0</v>
      </c>
      <c r="N29" s="489"/>
      <c r="O29" s="276"/>
      <c r="S29" s="202"/>
      <c r="T29" s="2142">
        <v>22191900</v>
      </c>
      <c r="U29" s="2105">
        <v>21191900</v>
      </c>
      <c r="V29" s="2105"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9" s="501"/>
      <c r="X29" s="501"/>
      <c r="Y29" s="501"/>
    </row>
    <row r="30" spans="2:25" s="102" customFormat="1" ht="14.1" customHeight="1" x14ac:dyDescent="0.2">
      <c r="B30" s="1192" t="s">
        <v>4593</v>
      </c>
      <c r="C30" s="487"/>
      <c r="D30" s="492"/>
      <c r="E30" s="276"/>
      <c r="F30" s="489"/>
      <c r="G30" s="276"/>
      <c r="H30" s="489"/>
      <c r="I30" s="276"/>
      <c r="J30" s="489"/>
      <c r="K30" s="276"/>
      <c r="L30" s="489"/>
      <c r="M30" s="491">
        <f>E30+G30+I30+K30</f>
        <v>0</v>
      </c>
      <c r="N30" s="489"/>
      <c r="O30" s="276"/>
      <c r="S30" s="202"/>
      <c r="T30" s="2142">
        <v>22192500</v>
      </c>
      <c r="U30" s="2105">
        <v>21192500</v>
      </c>
      <c r="V30" s="2105" t="s">
        <v>4969</v>
      </c>
      <c r="W30" s="501"/>
      <c r="X30" s="501"/>
      <c r="Y30" s="501"/>
    </row>
    <row r="31" spans="2:25" s="102" customFormat="1" ht="14.1" customHeight="1" x14ac:dyDescent="0.25">
      <c r="B31" s="1468" t="s">
        <v>3792</v>
      </c>
      <c r="C31" s="487"/>
      <c r="D31" s="492"/>
      <c r="E31" s="277"/>
      <c r="F31" s="489"/>
      <c r="G31" s="277"/>
      <c r="H31" s="489"/>
      <c r="I31" s="277"/>
      <c r="J31" s="489"/>
      <c r="K31" s="277"/>
      <c r="L31" s="489"/>
      <c r="M31" s="491">
        <f t="shared" si="1"/>
        <v>0</v>
      </c>
      <c r="N31" s="489"/>
      <c r="O31" s="277"/>
      <c r="S31" s="202"/>
      <c r="T31" s="2142">
        <v>22192000</v>
      </c>
      <c r="U31" s="2105">
        <v>21192000</v>
      </c>
      <c r="V31" s="2105"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1" s="501"/>
      <c r="X31" s="501"/>
      <c r="Y31" s="501"/>
    </row>
    <row r="32" spans="2:25" s="102" customFormat="1" ht="14.1" customHeight="1" x14ac:dyDescent="0.2">
      <c r="B32" s="1192" t="s">
        <v>1715</v>
      </c>
      <c r="C32" s="487"/>
      <c r="D32" s="492"/>
      <c r="E32" s="1191"/>
      <c r="F32" s="489"/>
      <c r="G32" s="1191"/>
      <c r="H32" s="489"/>
      <c r="I32" s="1191"/>
      <c r="J32" s="489"/>
      <c r="K32" s="1191"/>
      <c r="L32" s="489"/>
      <c r="M32" s="491">
        <f t="shared" si="1"/>
        <v>0</v>
      </c>
      <c r="N32" s="489"/>
      <c r="O32" s="1191"/>
      <c r="S32" s="202"/>
      <c r="T32" s="2142"/>
      <c r="U32" s="2105"/>
      <c r="V32" s="2105"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2" s="501"/>
      <c r="X32" s="501"/>
      <c r="Y32" s="501"/>
    </row>
    <row r="33" spans="1:25" s="102" customFormat="1" ht="14.1" customHeight="1" thickBot="1" x14ac:dyDescent="0.3">
      <c r="B33" s="1192" t="s">
        <v>3862</v>
      </c>
      <c r="C33" s="487"/>
      <c r="D33" s="492"/>
      <c r="E33" s="752"/>
      <c r="F33" s="489"/>
      <c r="G33" s="752"/>
      <c r="H33" s="489"/>
      <c r="I33" s="752"/>
      <c r="J33" s="489"/>
      <c r="K33" s="752"/>
      <c r="L33" s="489"/>
      <c r="M33" s="755">
        <f t="shared" si="1"/>
        <v>0</v>
      </c>
      <c r="N33" s="489"/>
      <c r="O33" s="752"/>
      <c r="S33" s="202"/>
      <c r="T33" s="494"/>
      <c r="U33" s="494"/>
      <c r="V33" s="2143"/>
      <c r="W33" s="501"/>
      <c r="X33" s="501"/>
      <c r="Y33" s="501"/>
    </row>
    <row r="34" spans="1:25" s="102" customFormat="1" ht="14.1" customHeight="1" x14ac:dyDescent="0.25">
      <c r="B34" s="1192" t="s">
        <v>5478</v>
      </c>
      <c r="C34" s="487"/>
      <c r="D34" s="492"/>
      <c r="E34" s="757"/>
      <c r="F34" s="489"/>
      <c r="G34" s="757"/>
      <c r="H34" s="489"/>
      <c r="I34" s="757"/>
      <c r="J34" s="489"/>
      <c r="K34" s="757"/>
      <c r="L34" s="489"/>
      <c r="M34" s="491">
        <f t="shared" si="1"/>
        <v>0</v>
      </c>
      <c r="N34" s="489"/>
      <c r="O34" s="731"/>
      <c r="S34" s="202"/>
      <c r="T34" s="2142">
        <v>21622000</v>
      </c>
      <c r="U34" s="2142"/>
      <c r="V34" s="2105" t="s">
        <v>4969</v>
      </c>
      <c r="W34" s="501"/>
      <c r="X34" s="501"/>
      <c r="Y34" s="501"/>
    </row>
    <row r="35" spans="1:25" s="102" customFormat="1" ht="24.6" customHeight="1" x14ac:dyDescent="0.2">
      <c r="A35" s="202"/>
      <c r="B35" s="2503" t="s">
        <v>4594</v>
      </c>
      <c r="C35" s="2504"/>
      <c r="D35" s="2504"/>
      <c r="E35" s="276"/>
      <c r="F35" s="489"/>
      <c r="G35" s="276"/>
      <c r="H35" s="489"/>
      <c r="I35" s="276"/>
      <c r="J35" s="489"/>
      <c r="K35" s="276"/>
      <c r="L35" s="489"/>
      <c r="M35" s="491">
        <f>E35+G35+I35+K35</f>
        <v>0</v>
      </c>
      <c r="N35" s="489"/>
      <c r="O35" s="731"/>
      <c r="T35" s="2142">
        <v>21910000</v>
      </c>
      <c r="U35" s="2142"/>
      <c r="V35" s="2105" t="s">
        <v>4969</v>
      </c>
    </row>
    <row r="36" spans="1:25" s="102" customFormat="1" ht="14.1" customHeight="1" x14ac:dyDescent="0.2">
      <c r="A36" s="202"/>
      <c r="B36" s="490" t="s">
        <v>655</v>
      </c>
      <c r="C36" s="487"/>
      <c r="D36" s="488"/>
      <c r="E36" s="277"/>
      <c r="F36" s="489"/>
      <c r="G36" s="277"/>
      <c r="H36" s="489"/>
      <c r="I36" s="277"/>
      <c r="J36" s="489"/>
      <c r="K36" s="277"/>
      <c r="L36" s="489"/>
      <c r="M36" s="491">
        <f>E36+G36+I36+K36</f>
        <v>0</v>
      </c>
      <c r="N36" s="489"/>
      <c r="O36" s="732"/>
      <c r="T36" s="2142">
        <v>21910100</v>
      </c>
      <c r="U36" s="2142"/>
      <c r="V36" s="2105" t="s">
        <v>4969</v>
      </c>
    </row>
    <row r="37" spans="1:25" s="102" customFormat="1" ht="14.1" customHeight="1" x14ac:dyDescent="0.2">
      <c r="A37" s="202"/>
      <c r="B37" s="490" t="s">
        <v>4595</v>
      </c>
      <c r="C37" s="487"/>
      <c r="D37" s="488"/>
      <c r="E37" s="277"/>
      <c r="F37" s="489"/>
      <c r="G37" s="277"/>
      <c r="H37" s="489"/>
      <c r="I37" s="277"/>
      <c r="J37" s="489"/>
      <c r="K37" s="277"/>
      <c r="L37" s="489"/>
      <c r="M37" s="491">
        <f>E37+G37+I37+K37</f>
        <v>0</v>
      </c>
      <c r="N37" s="489"/>
      <c r="O37" s="732"/>
      <c r="T37" s="2142" t="s">
        <v>5040</v>
      </c>
      <c r="U37" s="2142"/>
      <c r="V37" s="2105" t="s">
        <v>4969</v>
      </c>
    </row>
    <row r="38" spans="1:25" s="102" customFormat="1" ht="14.1" customHeight="1" x14ac:dyDescent="0.2">
      <c r="A38" s="202"/>
      <c r="B38" s="1310" t="s">
        <v>4692</v>
      </c>
      <c r="C38" s="487"/>
      <c r="D38" s="488"/>
      <c r="E38" s="277"/>
      <c r="F38" s="489"/>
      <c r="G38" s="277"/>
      <c r="H38" s="489"/>
      <c r="I38" s="277"/>
      <c r="J38" s="489"/>
      <c r="K38" s="277"/>
      <c r="L38" s="489"/>
      <c r="M38" s="491">
        <f>E38+G38+I38+K38</f>
        <v>0</v>
      </c>
      <c r="N38" s="489"/>
      <c r="O38" s="732"/>
      <c r="T38" s="2142" t="s">
        <v>5041</v>
      </c>
      <c r="U38" s="2142"/>
      <c r="V38" s="2105" t="s">
        <v>4969</v>
      </c>
    </row>
    <row r="39" spans="1:25" s="102" customFormat="1" ht="14.1" customHeight="1" x14ac:dyDescent="0.2">
      <c r="A39" s="202"/>
      <c r="B39" s="490" t="s">
        <v>444</v>
      </c>
      <c r="C39" s="487"/>
      <c r="D39" s="488"/>
      <c r="E39" s="277"/>
      <c r="F39" s="489"/>
      <c r="G39" s="277"/>
      <c r="H39" s="489"/>
      <c r="I39" s="277"/>
      <c r="J39" s="489"/>
      <c r="K39" s="277"/>
      <c r="L39" s="489"/>
      <c r="M39" s="491">
        <f>E39+G39+I39+K39</f>
        <v>0</v>
      </c>
      <c r="N39" s="489"/>
      <c r="O39" s="732"/>
      <c r="T39" s="2142">
        <v>21910200</v>
      </c>
      <c r="U39" s="2142"/>
      <c r="V39" s="2105" t="s">
        <v>4969</v>
      </c>
    </row>
    <row r="40" spans="1:25" s="102" customFormat="1" ht="9" customHeight="1" x14ac:dyDescent="0.2">
      <c r="A40" s="202"/>
      <c r="B40" s="490"/>
      <c r="C40" s="487"/>
      <c r="D40" s="488"/>
      <c r="E40" s="749"/>
      <c r="F40" s="489"/>
      <c r="G40" s="749"/>
      <c r="H40" s="489"/>
      <c r="I40" s="749"/>
      <c r="J40" s="489"/>
      <c r="K40" s="749"/>
      <c r="L40" s="489"/>
      <c r="M40" s="489"/>
      <c r="N40" s="489"/>
      <c r="O40" s="489"/>
      <c r="T40" s="2142"/>
      <c r="U40" s="2142"/>
      <c r="V40" s="494"/>
    </row>
    <row r="41" spans="1:25" ht="12.75" customHeight="1" x14ac:dyDescent="0.2">
      <c r="B41" s="881" t="s">
        <v>5480</v>
      </c>
      <c r="T41" s="2142"/>
      <c r="U41" s="2142"/>
    </row>
    <row r="42" spans="1:25" ht="5.0999999999999996" customHeight="1" x14ac:dyDescent="0.2">
      <c r="B42" s="758"/>
    </row>
    <row r="43" spans="1:25" x14ac:dyDescent="0.2">
      <c r="B43" s="754" t="s">
        <v>5479</v>
      </c>
      <c r="C43" s="24"/>
      <c r="D43" s="495"/>
      <c r="E43" s="24"/>
      <c r="F43" s="24"/>
      <c r="G43" s="24"/>
      <c r="H43" s="496"/>
      <c r="I43" s="497" t="s">
        <v>969</v>
      </c>
      <c r="J43" s="498"/>
      <c r="K43" s="500"/>
      <c r="L43" s="498"/>
      <c r="M43" s="497" t="s">
        <v>970</v>
      </c>
      <c r="N43" s="495"/>
      <c r="O43" s="500"/>
    </row>
    <row r="46" spans="1:25" ht="15" x14ac:dyDescent="0.2">
      <c r="A46" s="440" t="str">
        <f ca="1">MID(CELL("filename",A1),FIND("]",CELL("filename",A1))+1,256)</f>
        <v>305</v>
      </c>
      <c r="B46" s="443" t="s">
        <v>449</v>
      </c>
      <c r="C46" s="440"/>
    </row>
    <row r="47" spans="1:25" ht="15" x14ac:dyDescent="0.2">
      <c r="A47" s="440" t="s">
        <v>446</v>
      </c>
      <c r="B47" s="443" t="str">
        <f ca="1">IF(ISNA(INDEX(ErrorTable,MATCH($A$46&amp;$A47&amp;FALSE,ErrorKey,0),6)),"",INDEX(ErrorTable,MATCH($A$46&amp;$A47&amp;FALSE,ErrorKey,0),6))</f>
        <v/>
      </c>
      <c r="C47" s="440"/>
    </row>
    <row r="48" spans="1:25" ht="15" x14ac:dyDescent="0.2">
      <c r="A48" s="440" t="s">
        <v>447</v>
      </c>
      <c r="B48" s="443" t="str">
        <f t="shared" ref="B48:B56" ca="1" si="2">IF(ISNA(INDEX(ErrorTable,MATCH($A$46&amp;$A48&amp;FALSE,ErrorKey,0),6)),"",INDEX(ErrorTable,MATCH($A$46&amp;$A48&amp;FALSE,ErrorKey,0),6))</f>
        <v/>
      </c>
      <c r="C48" s="440"/>
    </row>
    <row r="49" spans="1:3" ht="15" x14ac:dyDescent="0.2">
      <c r="A49" s="440" t="s">
        <v>448</v>
      </c>
      <c r="B49" s="443" t="str">
        <f t="shared" ca="1" si="2"/>
        <v/>
      </c>
      <c r="C49" s="440"/>
    </row>
    <row r="50" spans="1:3" ht="15" x14ac:dyDescent="0.2">
      <c r="A50" s="440" t="s">
        <v>450</v>
      </c>
      <c r="B50" s="443" t="str">
        <f t="shared" ca="1" si="2"/>
        <v/>
      </c>
      <c r="C50" s="440"/>
    </row>
    <row r="51" spans="1:3" ht="15" x14ac:dyDescent="0.2">
      <c r="A51" s="440" t="s">
        <v>451</v>
      </c>
      <c r="B51" s="443" t="str">
        <f t="shared" ca="1" si="2"/>
        <v/>
      </c>
      <c r="C51" s="440"/>
    </row>
    <row r="52" spans="1:3" ht="15" x14ac:dyDescent="0.2">
      <c r="A52" s="440" t="s">
        <v>452</v>
      </c>
      <c r="B52" s="443" t="str">
        <f t="shared" ca="1" si="2"/>
        <v/>
      </c>
      <c r="C52" s="440"/>
    </row>
    <row r="53" spans="1:3" ht="15" x14ac:dyDescent="0.2">
      <c r="A53" s="440" t="s">
        <v>453</v>
      </c>
      <c r="B53" s="443" t="str">
        <f t="shared" ca="1" si="2"/>
        <v/>
      </c>
      <c r="C53" s="440"/>
    </row>
    <row r="54" spans="1:3" ht="15" x14ac:dyDescent="0.2">
      <c r="A54" s="440" t="s">
        <v>454</v>
      </c>
      <c r="B54" s="443" t="str">
        <f t="shared" ca="1" si="2"/>
        <v/>
      </c>
      <c r="C54" s="440"/>
    </row>
    <row r="55" spans="1:3" ht="15" x14ac:dyDescent="0.2">
      <c r="A55" s="440" t="s">
        <v>455</v>
      </c>
      <c r="B55" s="443" t="str">
        <f t="shared" ca="1" si="2"/>
        <v/>
      </c>
      <c r="C55" s="440"/>
    </row>
    <row r="56" spans="1:3" ht="15" x14ac:dyDescent="0.2">
      <c r="A56" s="440" t="s">
        <v>456</v>
      </c>
      <c r="B56" s="443" t="str">
        <f t="shared" ca="1" si="2"/>
        <v/>
      </c>
      <c r="C56" s="440"/>
    </row>
  </sheetData>
  <sheetProtection algorithmName="SHA-512" hashValue="PMAOVG7sXtrAG0cAr5znuwXu82KGnpgls6yXj7LEX3eg/6fzfDrbQvQx6V7/npdWwVNW5bu7tfUnEo2l4Evl5Q==" saltValue="NgUJn4fzay98KEWkIBGTeA==" spinCount="100000" sheet="1" objects="1" scenarios="1" autoFilter="0"/>
  <customSheetViews>
    <customSheetView guid="{B08879A4-635B-4C39-9937-AC7883D562FC}" showGridLines="0" fitToPage="1" hiddenColumns="1" topLeftCell="B4">
      <selection activeCell="E16" sqref="E16"/>
      <pageMargins left="0.5" right="0.5" top="0.5" bottom="0.5" header="0.5" footer="0.25"/>
      <pageSetup orientation="landscape" r:id="rId1"/>
      <headerFooter alignWithMargins="0">
        <oddFooter>&amp;R&amp;A</oddFooter>
      </headerFooter>
    </customSheetView>
    <customSheetView guid="{9FCFC836-1CA5-48BF-958D-24D2EA94B219}" showGridLines="0" fitToPage="1" hiddenColumns="1" topLeftCell="B4">
      <selection activeCell="E16" sqref="E16"/>
      <pageMargins left="0.5" right="0.5" top="0.5" bottom="0.5" header="0.5" footer="0.25"/>
      <pageSetup orientation="landscape" r:id="rId2"/>
      <headerFooter alignWithMargins="0">
        <oddFooter>&amp;R&amp;A</oddFooter>
      </headerFooter>
    </customSheetView>
  </customSheetViews>
  <mergeCells count="13">
    <mergeCell ref="B1:O1"/>
    <mergeCell ref="B2:O2"/>
    <mergeCell ref="B3:O3"/>
    <mergeCell ref="B4:O4"/>
    <mergeCell ref="I5:O5"/>
    <mergeCell ref="K6:O6"/>
    <mergeCell ref="K7:O7"/>
    <mergeCell ref="K8:O8"/>
    <mergeCell ref="B35:D35"/>
    <mergeCell ref="B22:D22"/>
    <mergeCell ref="B23:D23"/>
    <mergeCell ref="K9:O9"/>
    <mergeCell ref="E7:E8"/>
  </mergeCells>
  <phoneticPr fontId="15" type="noConversion"/>
  <conditionalFormatting sqref="P1:P3">
    <cfRule type="cellIs" dxfId="139" priority="1" stopIfTrue="1" operator="equal">
      <formula>"na"</formula>
    </cfRule>
  </conditionalFormatting>
  <dataValidations xWindow="234" yWindow="289" count="5">
    <dataValidation type="decimal" operator="lessThanOrEqual" allowBlank="1" showInputMessage="1" showErrorMessage="1" errorTitle="Invalid data!" error="Amount must be negative." sqref="K17:K21 E22 I22 K23:K40" xr:uid="{00000000-0002-0000-0C00-000000000000}">
      <formula1>0</formula1>
    </dataValidation>
    <dataValidation type="decimal" operator="greaterThanOrEqual" allowBlank="1" showInputMessage="1" showErrorMessage="1" errorTitle="Invalid data!" error="Amount must be positive!" sqref="I17:I21 I23:I40" xr:uid="{00000000-0002-0000-0C00-000001000000}">
      <formula1>0</formula1>
    </dataValidation>
    <dataValidation type="decimal" operator="greaterThanOrEqual" allowBlank="1" showInputMessage="1" showErrorMessage="1" errorTitle="Invalid data!" error="Amount must be positive." sqref="K22" xr:uid="{00000000-0002-0000-0C00-000002000000}">
      <formula1>0</formula1>
    </dataValidation>
    <dataValidation type="textLength" operator="equal" allowBlank="1" showInputMessage="1" showErrorMessage="1" errorTitle="Invalid data!" error="GASB number must be 4 digits." promptTitle="Long-Term Liabilities GASB Num" prompt="For primary government governmental fund types, the GASB fund number for Long-Term Liabilities should be 5200." sqref="D8:D9" xr:uid="{00000000-0002-0000-0C00-000003000000}">
      <formula1>4</formula1>
    </dataValidation>
    <dataValidation type="list" allowBlank="1" showInputMessage="1" showErrorMessage="1" sqref="D7" xr:uid="{1CD89224-60F5-459B-BB78-31E04112806F}">
      <formula1>"No Function,General government,Primary and secondary education, Higher education, Health and human services,Economic development, Environment and natural resources, Public safety, Transportation, Agriculture"</formula1>
    </dataValidation>
  </dataValidations>
  <hyperlinks>
    <hyperlink ref="B1:O1" location="Index!A1" display="Index!A1" xr:uid="{00000000-0004-0000-0C00-000000000000}"/>
  </hyperlinks>
  <pageMargins left="0.5" right="0.5" top="0.5" bottom="0.5" header="0.5" footer="0.25"/>
  <pageSetup scale="94" orientation="landscape" r:id="rId3"/>
  <headerFooter alignWithMargins="0">
    <oddFooter>&amp;R&amp;A</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5">
    <pageSetUpPr fitToPage="1"/>
  </sheetPr>
  <dimension ref="A1:Y58"/>
  <sheetViews>
    <sheetView showGridLines="0" zoomScale="90" zoomScaleNormal="90" workbookViewId="0">
      <selection activeCell="O36" sqref="O36"/>
    </sheetView>
  </sheetViews>
  <sheetFormatPr defaultColWidth="16.5703125" defaultRowHeight="12.75" x14ac:dyDescent="0.2"/>
  <cols>
    <col min="1" max="1" width="5.42578125" style="493" customWidth="1"/>
    <col min="2" max="2" width="18.5703125" style="494" customWidth="1"/>
    <col min="3" max="3" width="1.42578125" style="494" customWidth="1"/>
    <col min="4" max="4" width="11.42578125" style="494" customWidth="1"/>
    <col min="5" max="5" width="16.5703125" style="494" bestFit="1" customWidth="1"/>
    <col min="6" max="6" width="1.42578125" style="494" customWidth="1"/>
    <col min="7" max="7" width="16.42578125" style="494" customWidth="1"/>
    <col min="8" max="8" width="1.42578125" style="494" customWidth="1"/>
    <col min="9" max="9" width="16.85546875" style="494" customWidth="1"/>
    <col min="10" max="10" width="1.42578125" style="494" customWidth="1"/>
    <col min="11" max="11" width="17.140625" style="494" customWidth="1"/>
    <col min="12" max="12" width="1.42578125" style="494" customWidth="1"/>
    <col min="13" max="13" width="16.85546875" style="494" customWidth="1"/>
    <col min="14" max="14" width="1.42578125" style="494" customWidth="1"/>
    <col min="15" max="15" width="16.5703125" style="494" customWidth="1"/>
    <col min="16" max="16" width="4.5703125" style="494" customWidth="1"/>
    <col min="17" max="17" width="4.42578125" style="494" customWidth="1"/>
    <col min="18" max="18" width="6.42578125" style="494" customWidth="1"/>
    <col min="19" max="19" width="5.42578125" style="494" customWidth="1"/>
    <col min="20" max="20" width="22.28515625" style="2145" bestFit="1" customWidth="1"/>
    <col min="21" max="21" width="11" style="2145" customWidth="1"/>
    <col min="22" max="22" width="16.5703125" style="494" customWidth="1"/>
    <col min="23" max="23" width="9.42578125" style="494" customWidth="1"/>
    <col min="24" max="24" width="10.42578125" style="494" customWidth="1"/>
    <col min="25" max="25" width="10.5703125" style="494" customWidth="1"/>
    <col min="26" max="32" width="9.42578125" style="494" customWidth="1"/>
    <col min="33" max="16384" width="16.5703125" style="494"/>
  </cols>
  <sheetData>
    <row r="1" spans="1:23" s="16" customFormat="1" ht="15" customHeight="1" x14ac:dyDescent="0.25">
      <c r="A1" s="481"/>
      <c r="B1" s="2449" t="str">
        <f>+Index!$A$1</f>
        <v xml:space="preserve">                                                               Office of the State Controller                                                                </v>
      </c>
      <c r="C1" s="2449"/>
      <c r="D1" s="2449"/>
      <c r="E1" s="2449"/>
      <c r="F1" s="2449"/>
      <c r="G1" s="2449"/>
      <c r="H1" s="2449"/>
      <c r="I1" s="2449"/>
      <c r="J1" s="2449"/>
      <c r="K1" s="2449"/>
      <c r="L1" s="2449"/>
      <c r="M1" s="2449"/>
      <c r="N1" s="2449"/>
      <c r="O1" s="2449"/>
      <c r="P1" s="2510" t="str">
        <f>IF(Index!$B$30="na","NA","")</f>
        <v/>
      </c>
      <c r="T1" s="2144"/>
      <c r="U1" s="2144"/>
      <c r="W1" s="2162" t="s">
        <v>5056</v>
      </c>
    </row>
    <row r="2" spans="1:23" s="16" customFormat="1" ht="15" customHeight="1" x14ac:dyDescent="0.25">
      <c r="A2" s="481"/>
      <c r="B2" s="2508" t="str">
        <f>+Index!$A$2</f>
        <v>2022 ACFR Worksheets</v>
      </c>
      <c r="C2" s="2508"/>
      <c r="D2" s="2508"/>
      <c r="E2" s="2508"/>
      <c r="F2" s="2508"/>
      <c r="G2" s="2508"/>
      <c r="H2" s="2508"/>
      <c r="I2" s="2508"/>
      <c r="J2" s="2508"/>
      <c r="K2" s="2508"/>
      <c r="L2" s="2508"/>
      <c r="M2" s="2508"/>
      <c r="N2" s="2508"/>
      <c r="O2" s="2508"/>
      <c r="P2" s="2510"/>
      <c r="T2" s="2144"/>
      <c r="U2" s="2144"/>
    </row>
    <row r="3" spans="1:23" s="16" customFormat="1" ht="15" customHeight="1" x14ac:dyDescent="0.25">
      <c r="A3" s="481"/>
      <c r="B3" s="2508" t="s">
        <v>1457</v>
      </c>
      <c r="C3" s="2508"/>
      <c r="D3" s="2508"/>
      <c r="E3" s="2508"/>
      <c r="F3" s="2508"/>
      <c r="G3" s="2508"/>
      <c r="H3" s="2508"/>
      <c r="I3" s="2508"/>
      <c r="J3" s="2508"/>
      <c r="K3" s="2508"/>
      <c r="L3" s="2508"/>
      <c r="M3" s="2508"/>
      <c r="N3" s="2508"/>
      <c r="O3" s="2508"/>
      <c r="P3" s="2510"/>
      <c r="T3" s="2144"/>
      <c r="U3" s="2144"/>
    </row>
    <row r="4" spans="1:23" s="16" customFormat="1" ht="15" customHeight="1" x14ac:dyDescent="0.25">
      <c r="A4" s="481"/>
      <c r="B4" s="2508" t="s">
        <v>922</v>
      </c>
      <c r="C4" s="2508"/>
      <c r="D4" s="2508"/>
      <c r="E4" s="2508"/>
      <c r="F4" s="2508"/>
      <c r="G4" s="2508"/>
      <c r="H4" s="2508"/>
      <c r="I4" s="2508"/>
      <c r="J4" s="2508"/>
      <c r="K4" s="2508"/>
      <c r="L4" s="2508"/>
      <c r="M4" s="2508"/>
      <c r="N4" s="2508"/>
      <c r="O4" s="2508"/>
      <c r="P4" s="102"/>
      <c r="T4" s="2144"/>
      <c r="U4" s="2144"/>
    </row>
    <row r="5" spans="1:23" s="16" customFormat="1" ht="15" customHeight="1" x14ac:dyDescent="0.25">
      <c r="A5" s="481"/>
      <c r="B5" s="429"/>
      <c r="C5" s="429"/>
      <c r="D5" s="429"/>
      <c r="E5" s="429"/>
      <c r="F5" s="429"/>
      <c r="G5" s="429"/>
      <c r="H5" s="429"/>
      <c r="I5" s="2509" t="s">
        <v>3499</v>
      </c>
      <c r="J5" s="2509"/>
      <c r="K5" s="2509"/>
      <c r="L5" s="2509"/>
      <c r="M5" s="2509"/>
      <c r="N5" s="2509"/>
      <c r="O5" s="2509"/>
      <c r="P5" s="102"/>
      <c r="T5" s="2144"/>
      <c r="U5" s="2144"/>
    </row>
    <row r="6" spans="1:23" s="102" customFormat="1" ht="15" customHeight="1" x14ac:dyDescent="0.2">
      <c r="A6" s="202"/>
      <c r="D6" s="202"/>
      <c r="I6" s="103" t="s">
        <v>327</v>
      </c>
      <c r="J6" s="482"/>
      <c r="K6" s="2500" t="str">
        <f>+Index!$E$10</f>
        <v>01</v>
      </c>
      <c r="L6" s="2500"/>
      <c r="M6" s="2500"/>
      <c r="N6" s="2500"/>
      <c r="O6" s="2500"/>
      <c r="T6" s="2145"/>
      <c r="U6" s="2145"/>
    </row>
    <row r="7" spans="1:23" s="102" customFormat="1" ht="15" customHeight="1" x14ac:dyDescent="0.2">
      <c r="A7" s="202"/>
      <c r="E7" s="2507" t="s">
        <v>1013</v>
      </c>
      <c r="I7" s="103" t="s">
        <v>1154</v>
      </c>
      <c r="J7" s="482"/>
      <c r="K7" s="2501" t="str">
        <f>+Index!$E$11</f>
        <v>North Carolina General Assembly</v>
      </c>
      <c r="L7" s="2501"/>
      <c r="M7" s="2501"/>
      <c r="N7" s="2501"/>
      <c r="O7" s="2501"/>
      <c r="T7" s="2145"/>
      <c r="U7" s="2145"/>
    </row>
    <row r="8" spans="1:23" s="102" customFormat="1" ht="15" customHeight="1" x14ac:dyDescent="0.2">
      <c r="A8" s="202"/>
      <c r="B8" s="102" t="s">
        <v>477</v>
      </c>
      <c r="C8" s="202"/>
      <c r="D8" s="499"/>
      <c r="E8" s="2507"/>
      <c r="I8" s="103" t="s">
        <v>972</v>
      </c>
      <c r="J8" s="482"/>
      <c r="K8" s="2502" t="str">
        <f>CONCATENATE(Index!$E$12," ",Index!$E$14)</f>
        <v xml:space="preserve"> </v>
      </c>
      <c r="L8" s="2502"/>
      <c r="M8" s="2502"/>
      <c r="N8" s="2502"/>
      <c r="O8" s="2502"/>
      <c r="T8" s="2145"/>
      <c r="U8" s="2145"/>
    </row>
    <row r="9" spans="1:23" s="102" customFormat="1" ht="15" customHeight="1" x14ac:dyDescent="0.2">
      <c r="A9" s="202"/>
      <c r="B9" s="1241" t="s">
        <v>1832</v>
      </c>
      <c r="C9" s="1242"/>
      <c r="D9" s="1243"/>
      <c r="E9" s="1244"/>
      <c r="I9" s="103" t="s">
        <v>348</v>
      </c>
      <c r="J9" s="482"/>
      <c r="K9" s="2502">
        <f>+Index!$E$13</f>
        <v>0</v>
      </c>
      <c r="L9" s="2502"/>
      <c r="M9" s="2502"/>
      <c r="N9" s="2502"/>
      <c r="O9" s="2502"/>
      <c r="T9" s="2145"/>
      <c r="U9" s="2145"/>
    </row>
    <row r="10" spans="1:23" s="102" customFormat="1" ht="6.75" customHeight="1" thickBot="1" x14ac:dyDescent="0.25">
      <c r="A10" s="202"/>
      <c r="B10" s="107"/>
      <c r="C10" s="107"/>
      <c r="D10" s="107"/>
      <c r="E10" s="107"/>
      <c r="F10" s="107"/>
      <c r="G10" s="107"/>
      <c r="H10" s="107"/>
      <c r="I10" s="107"/>
      <c r="J10" s="107"/>
      <c r="K10" s="107"/>
      <c r="L10" s="107"/>
      <c r="M10" s="107"/>
      <c r="N10" s="107"/>
      <c r="O10" s="107"/>
      <c r="T10" s="2145"/>
      <c r="U10" s="2145"/>
    </row>
    <row r="11" spans="1:23" s="102" customFormat="1" ht="5.25" customHeight="1" x14ac:dyDescent="0.2">
      <c r="A11" s="202"/>
      <c r="T11" s="2145"/>
      <c r="U11" s="2145"/>
    </row>
    <row r="12" spans="1:23" s="102" customFormat="1" ht="12" customHeight="1" x14ac:dyDescent="0.2">
      <c r="A12" s="202"/>
      <c r="B12" s="1192"/>
      <c r="C12" s="483"/>
      <c r="D12" s="484"/>
      <c r="E12" s="484" t="s">
        <v>1160</v>
      </c>
      <c r="F12" s="484"/>
      <c r="G12" s="484" t="s">
        <v>648</v>
      </c>
      <c r="H12" s="484"/>
      <c r="I12" s="484"/>
      <c r="J12" s="484"/>
      <c r="K12" s="484"/>
      <c r="L12" s="484"/>
      <c r="M12" s="484" t="s">
        <v>1160</v>
      </c>
      <c r="N12" s="483"/>
      <c r="O12" s="484" t="s">
        <v>422</v>
      </c>
      <c r="T12" s="2145"/>
      <c r="U12" s="2145"/>
    </row>
    <row r="13" spans="1:23" s="102" customFormat="1" ht="12" customHeight="1" x14ac:dyDescent="0.2">
      <c r="A13" s="202"/>
      <c r="B13" s="484"/>
      <c r="C13" s="484"/>
      <c r="D13" s="484"/>
      <c r="E13" s="485" t="str">
        <f>+TEXT(Data!$A$3,"mmmm d, yyyy")</f>
        <v>July 1, 2021</v>
      </c>
      <c r="F13" s="484"/>
      <c r="G13" s="486" t="s">
        <v>1052</v>
      </c>
      <c r="H13" s="484"/>
      <c r="I13" s="486" t="s">
        <v>1050</v>
      </c>
      <c r="J13" s="484"/>
      <c r="K13" s="486" t="s">
        <v>1059</v>
      </c>
      <c r="L13" s="484"/>
      <c r="M13" s="485" t="str">
        <f>+TEXT(Data!$A$2,"mmmm d, yyyy")</f>
        <v>June 30, 2022</v>
      </c>
      <c r="N13" s="483"/>
      <c r="O13" s="486" t="s">
        <v>423</v>
      </c>
      <c r="T13" s="2145"/>
      <c r="U13" s="2145"/>
    </row>
    <row r="14" spans="1:23" s="102" customFormat="1" ht="12" customHeight="1" x14ac:dyDescent="0.2">
      <c r="A14" s="202"/>
      <c r="B14" s="484"/>
      <c r="C14" s="484"/>
      <c r="D14" s="484"/>
      <c r="E14" s="2137"/>
      <c r="F14" s="484"/>
      <c r="G14" s="2138" t="s">
        <v>4970</v>
      </c>
      <c r="H14" s="2139"/>
      <c r="I14" s="2138" t="s">
        <v>5132</v>
      </c>
      <c r="J14" s="2139"/>
      <c r="K14" s="2138" t="s">
        <v>5133</v>
      </c>
      <c r="L14" s="2139"/>
      <c r="M14" s="2140"/>
      <c r="N14" s="2141"/>
      <c r="O14" s="2138" t="s">
        <v>5039</v>
      </c>
      <c r="T14" s="2142"/>
      <c r="U14" s="2142"/>
    </row>
    <row r="15" spans="1:23" s="102" customFormat="1" ht="12" customHeight="1" x14ac:dyDescent="0.2">
      <c r="A15" s="202"/>
      <c r="B15" s="483"/>
      <c r="C15" s="483"/>
      <c r="D15" s="484"/>
      <c r="E15" s="484" t="s">
        <v>118</v>
      </c>
      <c r="F15" s="483"/>
      <c r="G15" s="484" t="s">
        <v>119</v>
      </c>
      <c r="H15" s="483"/>
      <c r="I15" s="484" t="s">
        <v>996</v>
      </c>
      <c r="J15" s="483"/>
      <c r="K15" s="484" t="s">
        <v>997</v>
      </c>
      <c r="L15" s="483"/>
      <c r="M15" s="484" t="s">
        <v>998</v>
      </c>
      <c r="N15" s="483"/>
      <c r="O15" s="484" t="s">
        <v>999</v>
      </c>
      <c r="T15" s="2145"/>
      <c r="U15" s="2145"/>
    </row>
    <row r="16" spans="1:23" s="102" customFormat="1" ht="14.1" customHeight="1" x14ac:dyDescent="0.2">
      <c r="A16" s="202"/>
      <c r="B16" s="1192" t="s">
        <v>3969</v>
      </c>
      <c r="C16" s="483"/>
      <c r="D16" s="492"/>
      <c r="E16" s="501"/>
      <c r="F16" s="501"/>
      <c r="G16" s="501"/>
      <c r="H16" s="501"/>
      <c r="I16" s="501"/>
      <c r="J16" s="501"/>
      <c r="K16" s="501"/>
      <c r="L16" s="501"/>
      <c r="M16" s="501"/>
      <c r="N16" s="501"/>
      <c r="O16" s="501"/>
      <c r="T16" s="2145"/>
      <c r="U16" s="2145"/>
    </row>
    <row r="17" spans="1:25" s="102" customFormat="1" ht="14.1" customHeight="1" x14ac:dyDescent="0.2">
      <c r="A17" s="102">
        <v>1</v>
      </c>
      <c r="B17" s="490" t="s">
        <v>1170</v>
      </c>
      <c r="C17" s="483"/>
      <c r="D17" s="488"/>
      <c r="E17" s="276" t="str">
        <f t="shared" ref="E17:E41" si="0">IFERROR(INDEX(PY905Data,MATCH($A17,PY905Row,0),MATCH($K$6,PY905Col,0)),"")</f>
        <v/>
      </c>
      <c r="F17" s="489"/>
      <c r="G17" s="276"/>
      <c r="H17" s="489"/>
      <c r="I17" s="276"/>
      <c r="J17" s="489"/>
      <c r="K17" s="276"/>
      <c r="L17" s="489"/>
      <c r="M17" s="491">
        <f>SUM(E17:L17)</f>
        <v>0</v>
      </c>
      <c r="N17" s="489"/>
      <c r="O17" s="276"/>
      <c r="S17" s="202"/>
      <c r="T17" s="2145">
        <v>22610000</v>
      </c>
      <c r="U17" s="2146">
        <v>21610000</v>
      </c>
      <c r="V17" s="501"/>
      <c r="W17" s="501"/>
      <c r="X17" s="501"/>
      <c r="Y17" s="501"/>
    </row>
    <row r="18" spans="1:25" s="102" customFormat="1" ht="14.1" customHeight="1" x14ac:dyDescent="0.2">
      <c r="A18" s="102">
        <v>2</v>
      </c>
      <c r="B18" s="1310" t="s">
        <v>45</v>
      </c>
      <c r="C18" s="483"/>
      <c r="D18" s="488"/>
      <c r="E18" s="276" t="str">
        <f t="shared" si="0"/>
        <v/>
      </c>
      <c r="F18" s="489"/>
      <c r="G18" s="276"/>
      <c r="H18" s="489"/>
      <c r="I18" s="276"/>
      <c r="J18" s="489"/>
      <c r="K18" s="276"/>
      <c r="L18" s="489"/>
      <c r="M18" s="491">
        <f>SUM(E18:L18)</f>
        <v>0</v>
      </c>
      <c r="N18" s="489"/>
      <c r="O18" s="276"/>
      <c r="S18" s="202"/>
      <c r="T18" s="2145">
        <v>22610300</v>
      </c>
      <c r="U18" s="2146">
        <v>21610300</v>
      </c>
      <c r="V18" s="501"/>
      <c r="W18" s="501"/>
      <c r="X18" s="501"/>
      <c r="Y18" s="501"/>
    </row>
    <row r="19" spans="1:25" s="102" customFormat="1" ht="14.1" customHeight="1" x14ac:dyDescent="0.2">
      <c r="A19" s="102">
        <v>23</v>
      </c>
      <c r="B19" s="1310" t="s">
        <v>4692</v>
      </c>
      <c r="C19" s="483"/>
      <c r="D19" s="488"/>
      <c r="E19" s="276" t="str">
        <f t="shared" si="0"/>
        <v/>
      </c>
      <c r="F19" s="489"/>
      <c r="G19" s="276"/>
      <c r="H19" s="489"/>
      <c r="I19" s="276"/>
      <c r="J19" s="489"/>
      <c r="K19" s="276"/>
      <c r="L19" s="489"/>
      <c r="M19" s="491">
        <f>SUM(E19:L19)</f>
        <v>0</v>
      </c>
      <c r="N19" s="489"/>
      <c r="O19" s="276"/>
      <c r="S19" s="202"/>
      <c r="T19" s="2145">
        <v>22610400</v>
      </c>
      <c r="U19" s="2146">
        <v>21610400</v>
      </c>
      <c r="V19" s="501"/>
      <c r="W19" s="501"/>
      <c r="X19" s="501"/>
      <c r="Y19" s="501"/>
    </row>
    <row r="20" spans="1:25" s="102" customFormat="1" ht="14.1" customHeight="1" x14ac:dyDescent="0.2">
      <c r="A20" s="102">
        <v>3</v>
      </c>
      <c r="B20" s="490" t="s">
        <v>507</v>
      </c>
      <c r="C20" s="483"/>
      <c r="D20" s="488"/>
      <c r="E20" s="276" t="str">
        <f t="shared" si="0"/>
        <v/>
      </c>
      <c r="F20" s="489"/>
      <c r="G20" s="277"/>
      <c r="H20" s="489"/>
      <c r="I20" s="277"/>
      <c r="J20" s="489"/>
      <c r="K20" s="277"/>
      <c r="L20" s="489"/>
      <c r="M20" s="491">
        <f>SUM(E20:L20)</f>
        <v>0</v>
      </c>
      <c r="N20" s="489"/>
      <c r="O20" s="277"/>
      <c r="S20" s="202"/>
      <c r="T20" s="2145">
        <v>22610500</v>
      </c>
      <c r="U20" s="2146">
        <v>21610500</v>
      </c>
      <c r="V20" s="501"/>
      <c r="W20" s="501"/>
      <c r="X20" s="501"/>
      <c r="Y20" s="501"/>
    </row>
    <row r="21" spans="1:25" s="102" customFormat="1" ht="14.1" customHeight="1" x14ac:dyDescent="0.2">
      <c r="A21" s="102">
        <v>4</v>
      </c>
      <c r="B21" s="1310" t="s">
        <v>1301</v>
      </c>
      <c r="C21" s="483"/>
      <c r="D21" s="488"/>
      <c r="E21" s="276" t="str">
        <f t="shared" si="0"/>
        <v/>
      </c>
      <c r="F21" s="489"/>
      <c r="G21" s="276"/>
      <c r="H21" s="489"/>
      <c r="I21" s="276"/>
      <c r="J21" s="489"/>
      <c r="K21" s="276"/>
      <c r="L21" s="489"/>
      <c r="M21" s="491">
        <f>SUM(E21:L21)</f>
        <v>0</v>
      </c>
      <c r="N21" s="489"/>
      <c r="O21" s="276"/>
      <c r="S21" s="202"/>
      <c r="T21" s="2145">
        <v>22610600</v>
      </c>
      <c r="U21" s="2146">
        <v>21610600</v>
      </c>
      <c r="V21" s="501"/>
      <c r="W21" s="501"/>
      <c r="X21" s="501"/>
      <c r="Y21" s="501"/>
    </row>
    <row r="22" spans="1:25" s="102" customFormat="1" ht="14.1" customHeight="1" x14ac:dyDescent="0.2">
      <c r="A22" s="102">
        <v>5</v>
      </c>
      <c r="B22" s="2505" t="s">
        <v>3836</v>
      </c>
      <c r="C22" s="2506"/>
      <c r="D22" s="2506"/>
      <c r="E22" s="276" t="str">
        <f t="shared" si="0"/>
        <v/>
      </c>
      <c r="F22" s="489"/>
      <c r="G22" s="276"/>
      <c r="H22" s="489"/>
      <c r="I22" s="276"/>
      <c r="J22" s="489"/>
      <c r="K22" s="276"/>
      <c r="L22" s="489"/>
      <c r="M22" s="491">
        <f t="shared" ref="M22:M41" si="1">SUM(E22:L22)</f>
        <v>0</v>
      </c>
      <c r="N22" s="489"/>
      <c r="O22" s="731"/>
      <c r="S22" s="202"/>
      <c r="T22" s="2142">
        <v>22611000</v>
      </c>
      <c r="U22" s="2146"/>
      <c r="V22" s="501"/>
      <c r="W22" s="501"/>
      <c r="X22" s="501"/>
      <c r="Y22" s="501"/>
    </row>
    <row r="23" spans="1:25" s="102" customFormat="1" ht="14.1" customHeight="1" thickBot="1" x14ac:dyDescent="0.25">
      <c r="A23" s="102">
        <v>6</v>
      </c>
      <c r="B23" s="1310" t="s">
        <v>3837</v>
      </c>
      <c r="C23" s="483"/>
      <c r="D23" s="483"/>
      <c r="E23" s="752" t="str">
        <f t="shared" si="0"/>
        <v/>
      </c>
      <c r="F23" s="489"/>
      <c r="G23" s="752"/>
      <c r="H23" s="489"/>
      <c r="I23" s="752"/>
      <c r="J23" s="489"/>
      <c r="K23" s="752"/>
      <c r="L23" s="489"/>
      <c r="M23" s="755">
        <f t="shared" si="1"/>
        <v>0</v>
      </c>
      <c r="N23" s="489"/>
      <c r="O23" s="753"/>
      <c r="S23" s="202"/>
      <c r="T23" s="2142">
        <v>22612000</v>
      </c>
      <c r="U23" s="2146"/>
      <c r="V23" s="501"/>
      <c r="W23" s="501"/>
      <c r="X23" s="501"/>
      <c r="Y23" s="501"/>
    </row>
    <row r="24" spans="1:25" s="102" customFormat="1" ht="14.1" customHeight="1" x14ac:dyDescent="0.2">
      <c r="A24" s="102">
        <v>7</v>
      </c>
      <c r="B24" s="483" t="s">
        <v>1061</v>
      </c>
      <c r="C24" s="487"/>
      <c r="D24" s="488"/>
      <c r="E24" s="276" t="str">
        <f t="shared" si="0"/>
        <v/>
      </c>
      <c r="F24" s="489"/>
      <c r="G24" s="276"/>
      <c r="H24" s="489"/>
      <c r="I24" s="276"/>
      <c r="J24" s="489"/>
      <c r="K24" s="276"/>
      <c r="L24" s="489"/>
      <c r="M24" s="491">
        <f t="shared" si="1"/>
        <v>0</v>
      </c>
      <c r="N24" s="489"/>
      <c r="O24" s="276"/>
      <c r="S24" s="202"/>
      <c r="T24" s="2142">
        <v>22140000</v>
      </c>
      <c r="U24" s="2105">
        <v>21140000</v>
      </c>
      <c r="V24" s="501"/>
      <c r="W24" s="501"/>
      <c r="X24" s="501"/>
      <c r="Y24" s="501"/>
    </row>
    <row r="25" spans="1:25" s="102" customFormat="1" ht="14.1" customHeight="1" x14ac:dyDescent="0.2">
      <c r="A25" s="102">
        <v>8</v>
      </c>
      <c r="B25" s="483" t="s">
        <v>1062</v>
      </c>
      <c r="C25" s="487"/>
      <c r="D25" s="488"/>
      <c r="E25" s="276" t="str">
        <f t="shared" si="0"/>
        <v/>
      </c>
      <c r="F25" s="489"/>
      <c r="G25" s="276"/>
      <c r="H25" s="489"/>
      <c r="I25" s="276"/>
      <c r="J25" s="489"/>
      <c r="K25" s="276"/>
      <c r="L25" s="489"/>
      <c r="M25" s="491">
        <f t="shared" si="1"/>
        <v>0</v>
      </c>
      <c r="N25" s="489"/>
      <c r="O25" s="276"/>
      <c r="S25" s="202"/>
      <c r="T25" s="2142">
        <v>22199000</v>
      </c>
      <c r="U25" s="2105">
        <v>21191000</v>
      </c>
      <c r="V25" s="501"/>
      <c r="W25" s="501"/>
      <c r="X25" s="501"/>
      <c r="Y25" s="501"/>
    </row>
    <row r="26" spans="1:25" s="102" customFormat="1" ht="14.1" customHeight="1" x14ac:dyDescent="0.2">
      <c r="A26" s="102">
        <v>22</v>
      </c>
      <c r="B26" s="483" t="s">
        <v>4595</v>
      </c>
      <c r="C26" s="487"/>
      <c r="D26" s="488"/>
      <c r="E26" s="276" t="str">
        <f t="shared" si="0"/>
        <v/>
      </c>
      <c r="F26" s="489"/>
      <c r="G26" s="276"/>
      <c r="H26" s="489"/>
      <c r="I26" s="276"/>
      <c r="J26" s="489"/>
      <c r="K26" s="276"/>
      <c r="L26" s="489"/>
      <c r="M26" s="491">
        <f>SUM(E26:L26)</f>
        <v>0</v>
      </c>
      <c r="N26" s="489"/>
      <c r="O26" s="276"/>
      <c r="S26" s="202"/>
      <c r="T26" s="2142">
        <v>22320000</v>
      </c>
      <c r="U26" s="2105">
        <v>21320000</v>
      </c>
      <c r="V26" s="501"/>
      <c r="W26" s="501"/>
      <c r="X26" s="501"/>
      <c r="Y26" s="501"/>
    </row>
    <row r="27" spans="1:25" s="102" customFormat="1" ht="14.1" customHeight="1" x14ac:dyDescent="0.2">
      <c r="A27" s="102">
        <v>10</v>
      </c>
      <c r="B27" s="1192" t="s">
        <v>5477</v>
      </c>
      <c r="C27" s="487"/>
      <c r="D27" s="492"/>
      <c r="E27" s="276" t="str">
        <f t="shared" si="0"/>
        <v/>
      </c>
      <c r="F27" s="489"/>
      <c r="G27" s="276"/>
      <c r="H27" s="489"/>
      <c r="I27" s="276"/>
      <c r="J27" s="489"/>
      <c r="K27" s="276"/>
      <c r="L27" s="489"/>
      <c r="M27" s="491">
        <f t="shared" si="1"/>
        <v>0</v>
      </c>
      <c r="N27" s="489"/>
      <c r="O27" s="276"/>
      <c r="S27" s="202"/>
      <c r="T27" s="2142">
        <v>22410000</v>
      </c>
      <c r="U27" s="2105">
        <v>21410000</v>
      </c>
      <c r="V27" s="501"/>
      <c r="W27" s="501"/>
      <c r="X27" s="501"/>
      <c r="Y27" s="501"/>
    </row>
    <row r="28" spans="1:25" s="102" customFormat="1" ht="14.1" customHeight="1" x14ac:dyDescent="0.2">
      <c r="A28" s="102">
        <v>11</v>
      </c>
      <c r="B28" s="483" t="s">
        <v>93</v>
      </c>
      <c r="C28" s="487"/>
      <c r="D28" s="492"/>
      <c r="E28" s="276" t="str">
        <f t="shared" si="0"/>
        <v/>
      </c>
      <c r="F28" s="489"/>
      <c r="G28" s="276"/>
      <c r="H28" s="489"/>
      <c r="I28" s="276"/>
      <c r="J28" s="489"/>
      <c r="K28" s="276"/>
      <c r="L28" s="489"/>
      <c r="M28" s="491">
        <f t="shared" si="1"/>
        <v>0</v>
      </c>
      <c r="N28" s="489"/>
      <c r="O28" s="276"/>
      <c r="S28" s="202"/>
      <c r="T28" s="2142">
        <v>22191500</v>
      </c>
      <c r="U28" s="2105">
        <v>21191500</v>
      </c>
      <c r="V28" s="501"/>
      <c r="W28" s="501"/>
      <c r="X28" s="501"/>
      <c r="Y28" s="501"/>
    </row>
    <row r="29" spans="1:25" s="102" customFormat="1" ht="14.1" customHeight="1" x14ac:dyDescent="0.2">
      <c r="A29" s="102">
        <v>12</v>
      </c>
      <c r="B29" s="483" t="s">
        <v>1456</v>
      </c>
      <c r="C29" s="487"/>
      <c r="D29" s="492"/>
      <c r="E29" s="276" t="str">
        <f t="shared" si="0"/>
        <v/>
      </c>
      <c r="F29" s="489"/>
      <c r="G29" s="276"/>
      <c r="H29" s="489"/>
      <c r="I29" s="276"/>
      <c r="J29" s="489"/>
      <c r="K29" s="276"/>
      <c r="L29" s="489"/>
      <c r="M29" s="491">
        <f t="shared" si="1"/>
        <v>0</v>
      </c>
      <c r="N29" s="489"/>
      <c r="O29" s="276"/>
      <c r="S29" s="202"/>
      <c r="T29" s="2142">
        <v>22191800</v>
      </c>
      <c r="U29" s="2105">
        <v>21191800</v>
      </c>
      <c r="V29" s="501"/>
      <c r="W29" s="501"/>
      <c r="X29" s="501"/>
      <c r="Y29" s="501"/>
    </row>
    <row r="30" spans="1:25" s="102" customFormat="1" ht="14.1" customHeight="1" x14ac:dyDescent="0.2">
      <c r="A30" s="102">
        <v>13</v>
      </c>
      <c r="B30" s="483" t="s">
        <v>1226</v>
      </c>
      <c r="C30" s="487"/>
      <c r="D30" s="492"/>
      <c r="E30" s="276" t="str">
        <f t="shared" si="0"/>
        <v/>
      </c>
      <c r="F30" s="489"/>
      <c r="G30" s="276"/>
      <c r="H30" s="489"/>
      <c r="I30" s="276"/>
      <c r="J30" s="489"/>
      <c r="K30" s="276"/>
      <c r="L30" s="489"/>
      <c r="M30" s="491">
        <f t="shared" si="1"/>
        <v>0</v>
      </c>
      <c r="N30" s="489"/>
      <c r="O30" s="276"/>
      <c r="S30" s="202"/>
      <c r="T30" s="2142">
        <v>22191900</v>
      </c>
      <c r="U30" s="2105">
        <v>21191900</v>
      </c>
      <c r="V30" s="501"/>
      <c r="W30" s="501"/>
      <c r="X30" s="501"/>
      <c r="Y30" s="501"/>
    </row>
    <row r="31" spans="1:25" s="102" customFormat="1" ht="14.1" customHeight="1" x14ac:dyDescent="0.2">
      <c r="A31" s="102">
        <v>25</v>
      </c>
      <c r="B31" s="1192" t="s">
        <v>4593</v>
      </c>
      <c r="C31" s="487"/>
      <c r="D31" s="492"/>
      <c r="E31" s="276" t="str">
        <f t="shared" si="0"/>
        <v/>
      </c>
      <c r="F31" s="489"/>
      <c r="G31" s="276"/>
      <c r="H31" s="489"/>
      <c r="I31" s="276"/>
      <c r="J31" s="489"/>
      <c r="K31" s="276"/>
      <c r="L31" s="489"/>
      <c r="M31" s="491">
        <f>SUM(E31:L31)</f>
        <v>0</v>
      </c>
      <c r="N31" s="489"/>
      <c r="O31" s="276"/>
      <c r="S31" s="202"/>
      <c r="T31" s="2142">
        <v>22192500</v>
      </c>
      <c r="U31" s="2105">
        <v>21192500</v>
      </c>
      <c r="V31" s="501"/>
      <c r="W31" s="501"/>
      <c r="X31" s="501"/>
      <c r="Y31" s="501"/>
    </row>
    <row r="32" spans="1:25" s="102" customFormat="1" ht="14.1" customHeight="1" x14ac:dyDescent="0.2">
      <c r="A32" s="102">
        <v>14</v>
      </c>
      <c r="B32" s="483" t="s">
        <v>80</v>
      </c>
      <c r="C32" s="487"/>
      <c r="D32" s="492"/>
      <c r="E32" s="276" t="str">
        <f t="shared" si="0"/>
        <v/>
      </c>
      <c r="F32" s="489"/>
      <c r="G32" s="276"/>
      <c r="H32" s="489"/>
      <c r="I32" s="276"/>
      <c r="J32" s="489"/>
      <c r="K32" s="276"/>
      <c r="L32" s="489"/>
      <c r="M32" s="491">
        <f t="shared" si="1"/>
        <v>0</v>
      </c>
      <c r="N32" s="489"/>
      <c r="O32" s="277"/>
      <c r="S32" s="202"/>
      <c r="T32" s="2142">
        <v>22192000</v>
      </c>
      <c r="U32" s="2105">
        <v>21192000</v>
      </c>
      <c r="V32" s="501"/>
      <c r="W32" s="501"/>
      <c r="X32" s="501"/>
      <c r="Y32" s="501"/>
    </row>
    <row r="33" spans="1:25" s="102" customFormat="1" ht="14.1" customHeight="1" x14ac:dyDescent="0.2">
      <c r="A33" s="102">
        <v>15</v>
      </c>
      <c r="B33" s="1192" t="s">
        <v>3845</v>
      </c>
      <c r="C33" s="487"/>
      <c r="D33" s="492"/>
      <c r="E33" s="276" t="str">
        <f t="shared" si="0"/>
        <v/>
      </c>
      <c r="F33" s="489"/>
      <c r="G33" s="276"/>
      <c r="H33" s="489"/>
      <c r="I33" s="276"/>
      <c r="J33" s="489"/>
      <c r="K33" s="276"/>
      <c r="L33" s="489"/>
      <c r="M33" s="491">
        <f t="shared" si="1"/>
        <v>0</v>
      </c>
      <c r="N33" s="489"/>
      <c r="O33" s="277"/>
      <c r="S33" s="202"/>
      <c r="T33" s="2142">
        <v>22915000</v>
      </c>
      <c r="U33" s="2105">
        <v>21915000</v>
      </c>
      <c r="V33" s="501"/>
      <c r="W33" s="501"/>
      <c r="X33" s="501"/>
      <c r="Y33" s="501"/>
    </row>
    <row r="34" spans="1:25" s="102" customFormat="1" ht="14.1" customHeight="1" x14ac:dyDescent="0.2">
      <c r="A34" s="102">
        <v>21</v>
      </c>
      <c r="B34" s="1192" t="s">
        <v>4428</v>
      </c>
      <c r="C34" s="487"/>
      <c r="D34" s="492"/>
      <c r="E34" s="276" t="str">
        <f t="shared" si="0"/>
        <v/>
      </c>
      <c r="F34" s="489"/>
      <c r="G34" s="276"/>
      <c r="H34" s="489"/>
      <c r="I34" s="276"/>
      <c r="J34" s="489"/>
      <c r="K34" s="276"/>
      <c r="L34" s="489"/>
      <c r="M34" s="491">
        <f>SUM(E34:L34)</f>
        <v>0</v>
      </c>
      <c r="N34" s="489"/>
      <c r="O34" s="277"/>
      <c r="S34" s="202"/>
      <c r="T34" s="2142">
        <v>22916000</v>
      </c>
      <c r="U34" s="2105">
        <v>21915100</v>
      </c>
      <c r="V34" s="501"/>
      <c r="W34" s="501"/>
      <c r="X34" s="501"/>
      <c r="Y34" s="501"/>
    </row>
    <row r="35" spans="1:25" s="102" customFormat="1" ht="14.1" customHeight="1" x14ac:dyDescent="0.2">
      <c r="A35" s="102">
        <v>16</v>
      </c>
      <c r="B35" s="483" t="s">
        <v>1424</v>
      </c>
      <c r="C35" s="487"/>
      <c r="D35" s="492"/>
      <c r="E35" s="276" t="str">
        <f t="shared" si="0"/>
        <v/>
      </c>
      <c r="F35" s="489"/>
      <c r="G35" s="276"/>
      <c r="H35" s="489"/>
      <c r="I35" s="276"/>
      <c r="J35" s="489"/>
      <c r="K35" s="276"/>
      <c r="L35" s="489"/>
      <c r="M35" s="491">
        <f t="shared" si="1"/>
        <v>0</v>
      </c>
      <c r="N35" s="489"/>
      <c r="O35" s="277"/>
      <c r="S35" s="202"/>
      <c r="T35" s="2105">
        <v>22529100</v>
      </c>
      <c r="U35" s="2105">
        <v>21529100</v>
      </c>
      <c r="V35" s="501"/>
      <c r="W35" s="501"/>
      <c r="X35" s="501"/>
      <c r="Y35" s="501"/>
    </row>
    <row r="36" spans="1:25" s="102" customFormat="1" ht="14.1" customHeight="1" x14ac:dyDescent="0.25">
      <c r="A36" s="102">
        <v>17</v>
      </c>
      <c r="B36" s="1192" t="s">
        <v>3863</v>
      </c>
      <c r="C36" s="487"/>
      <c r="D36" s="492"/>
      <c r="E36" s="276" t="str">
        <f t="shared" si="0"/>
        <v/>
      </c>
      <c r="F36" s="489"/>
      <c r="G36" s="276"/>
      <c r="H36" s="489"/>
      <c r="I36" s="276"/>
      <c r="J36" s="489"/>
      <c r="K36" s="276"/>
      <c r="L36" s="489"/>
      <c r="M36" s="491">
        <f t="shared" si="1"/>
        <v>0</v>
      </c>
      <c r="N36" s="489"/>
      <c r="O36" s="277"/>
      <c r="S36" s="202"/>
      <c r="T36" s="2142"/>
      <c r="U36" s="2142"/>
      <c r="V36" s="501"/>
      <c r="W36" s="501"/>
      <c r="X36" s="501"/>
      <c r="Y36" s="501"/>
    </row>
    <row r="37" spans="1:25" s="102" customFormat="1" ht="25.5" customHeight="1" x14ac:dyDescent="0.2">
      <c r="A37" s="202">
        <v>18</v>
      </c>
      <c r="B37" s="2503" t="s">
        <v>4594</v>
      </c>
      <c r="C37" s="2504"/>
      <c r="D37" s="2504"/>
      <c r="E37" s="276" t="str">
        <f t="shared" si="0"/>
        <v/>
      </c>
      <c r="F37" s="489"/>
      <c r="G37" s="276"/>
      <c r="H37" s="489"/>
      <c r="I37" s="276"/>
      <c r="J37" s="489"/>
      <c r="K37" s="276"/>
      <c r="L37" s="489"/>
      <c r="M37" s="491">
        <f t="shared" si="1"/>
        <v>0</v>
      </c>
      <c r="N37" s="489"/>
      <c r="O37" s="731"/>
      <c r="T37" s="2142">
        <v>21910000</v>
      </c>
      <c r="U37" s="2105"/>
    </row>
    <row r="38" spans="1:25" s="102" customFormat="1" ht="14.1" customHeight="1" x14ac:dyDescent="0.2">
      <c r="A38" s="202">
        <v>19</v>
      </c>
      <c r="B38" s="490" t="s">
        <v>655</v>
      </c>
      <c r="C38" s="487"/>
      <c r="D38" s="488"/>
      <c r="E38" s="276" t="str">
        <f t="shared" si="0"/>
        <v/>
      </c>
      <c r="F38" s="489"/>
      <c r="G38" s="276"/>
      <c r="H38" s="489"/>
      <c r="I38" s="276"/>
      <c r="J38" s="489"/>
      <c r="K38" s="276"/>
      <c r="L38" s="489"/>
      <c r="M38" s="491">
        <f t="shared" si="1"/>
        <v>0</v>
      </c>
      <c r="N38" s="489"/>
      <c r="O38" s="732"/>
      <c r="T38" s="2142">
        <v>21910100</v>
      </c>
      <c r="U38" s="2142"/>
    </row>
    <row r="39" spans="1:25" s="102" customFormat="1" ht="14.1" customHeight="1" x14ac:dyDescent="0.2">
      <c r="A39" s="202">
        <v>26</v>
      </c>
      <c r="B39" s="490" t="s">
        <v>4595</v>
      </c>
      <c r="C39" s="487"/>
      <c r="D39" s="488"/>
      <c r="E39" s="276" t="str">
        <f t="shared" si="0"/>
        <v/>
      </c>
      <c r="F39" s="489"/>
      <c r="G39" s="276"/>
      <c r="H39" s="489"/>
      <c r="I39" s="276"/>
      <c r="J39" s="489"/>
      <c r="K39" s="276"/>
      <c r="L39" s="489"/>
      <c r="M39" s="491">
        <f>SUM(E39:L39)</f>
        <v>0</v>
      </c>
      <c r="N39" s="489"/>
      <c r="O39" s="732"/>
      <c r="T39" s="2142" t="s">
        <v>5040</v>
      </c>
      <c r="U39" s="2142"/>
    </row>
    <row r="40" spans="1:25" s="102" customFormat="1" ht="14.1" customHeight="1" x14ac:dyDescent="0.2">
      <c r="A40" s="202">
        <v>27</v>
      </c>
      <c r="B40" s="1310" t="s">
        <v>4692</v>
      </c>
      <c r="C40" s="487"/>
      <c r="D40" s="488"/>
      <c r="E40" s="276" t="str">
        <f t="shared" si="0"/>
        <v/>
      </c>
      <c r="F40" s="489"/>
      <c r="G40" s="276"/>
      <c r="H40" s="489"/>
      <c r="I40" s="276"/>
      <c r="J40" s="489"/>
      <c r="K40" s="276"/>
      <c r="L40" s="489"/>
      <c r="M40" s="491">
        <f>SUM(E40:L40)</f>
        <v>0</v>
      </c>
      <c r="N40" s="489"/>
      <c r="O40" s="732"/>
      <c r="T40" s="2142" t="s">
        <v>5041</v>
      </c>
      <c r="U40" s="2142"/>
    </row>
    <row r="41" spans="1:25" s="102" customFormat="1" ht="14.1" customHeight="1" x14ac:dyDescent="0.2">
      <c r="A41" s="202">
        <v>20</v>
      </c>
      <c r="B41" s="490" t="s">
        <v>444</v>
      </c>
      <c r="C41" s="487"/>
      <c r="D41" s="488"/>
      <c r="E41" s="276" t="str">
        <f t="shared" si="0"/>
        <v/>
      </c>
      <c r="F41" s="489"/>
      <c r="G41" s="276"/>
      <c r="H41" s="489"/>
      <c r="I41" s="276"/>
      <c r="J41" s="489"/>
      <c r="K41" s="276"/>
      <c r="L41" s="489"/>
      <c r="M41" s="491">
        <f t="shared" si="1"/>
        <v>0</v>
      </c>
      <c r="N41" s="489"/>
      <c r="O41" s="732"/>
      <c r="T41" s="2142">
        <v>21910200</v>
      </c>
      <c r="U41" s="2142"/>
    </row>
    <row r="42" spans="1:25" ht="21" customHeight="1" x14ac:dyDescent="0.2">
      <c r="B42" s="494" t="s">
        <v>5481</v>
      </c>
      <c r="T42" s="2142"/>
      <c r="U42" s="2142"/>
    </row>
    <row r="43" spans="1:25" ht="5.0999999999999996" customHeight="1" x14ac:dyDescent="0.2">
      <c r="T43" s="2142"/>
      <c r="U43" s="2142"/>
    </row>
    <row r="44" spans="1:25" x14ac:dyDescent="0.2">
      <c r="B44" s="754" t="s">
        <v>5482</v>
      </c>
      <c r="C44" s="24"/>
      <c r="D44" s="495"/>
      <c r="E44" s="24"/>
      <c r="F44" s="24"/>
      <c r="G44" s="24"/>
      <c r="H44" s="496"/>
      <c r="I44" s="497" t="s">
        <v>969</v>
      </c>
      <c r="J44" s="498"/>
      <c r="K44" s="500"/>
      <c r="L44" s="498"/>
      <c r="M44" s="497" t="s">
        <v>970</v>
      </c>
      <c r="N44" s="495"/>
      <c r="O44" s="500"/>
    </row>
    <row r="48" spans="1:25" ht="15" x14ac:dyDescent="0.2">
      <c r="A48" s="440" t="str">
        <f ca="1">MID(CELL("filename",A1),FIND("]",CELL("filename",A1))+1,256)</f>
        <v>310</v>
      </c>
      <c r="B48" s="443" t="s">
        <v>449</v>
      </c>
      <c r="C48" s="440"/>
    </row>
    <row r="49" spans="1:3" ht="15" x14ac:dyDescent="0.2">
      <c r="A49" s="440" t="s">
        <v>446</v>
      </c>
      <c r="B49" s="443" t="str">
        <f t="shared" ref="B49:B58" ca="1" si="2">IF(ISNA(INDEX(ErrorTable,MATCH($A$48&amp;$A49&amp;FALSE,ErrorKey,0),6)),"",INDEX(ErrorTable,MATCH($A$48&amp;$A49&amp;FALSE,ErrorKey,0),6))</f>
        <v>Compensated absences must have additions and deletions.</v>
      </c>
      <c r="C49" s="440"/>
    </row>
    <row r="50" spans="1:3" ht="15" x14ac:dyDescent="0.2">
      <c r="A50" s="440" t="s">
        <v>447</v>
      </c>
      <c r="B50" s="443" t="str">
        <f t="shared" ca="1" si="2"/>
        <v>GASB number is blank.</v>
      </c>
      <c r="C50" s="440"/>
    </row>
    <row r="51" spans="1:3" ht="15" x14ac:dyDescent="0.2">
      <c r="A51" s="440" t="s">
        <v>448</v>
      </c>
      <c r="B51" s="443" t="str">
        <f t="shared" ca="1" si="2"/>
        <v/>
      </c>
      <c r="C51" s="440"/>
    </row>
    <row r="52" spans="1:3" ht="15" x14ac:dyDescent="0.2">
      <c r="A52" s="440" t="s">
        <v>450</v>
      </c>
      <c r="B52" s="443" t="str">
        <f t="shared" ca="1" si="2"/>
        <v/>
      </c>
      <c r="C52" s="440"/>
    </row>
    <row r="53" spans="1:3" ht="15" x14ac:dyDescent="0.2">
      <c r="A53" s="440" t="s">
        <v>451</v>
      </c>
      <c r="B53" s="443" t="str">
        <f t="shared" ca="1" si="2"/>
        <v/>
      </c>
      <c r="C53" s="440"/>
    </row>
    <row r="54" spans="1:3" ht="15" x14ac:dyDescent="0.2">
      <c r="A54" s="440" t="s">
        <v>452</v>
      </c>
      <c r="B54" s="443" t="str">
        <f t="shared" ca="1" si="2"/>
        <v/>
      </c>
      <c r="C54" s="440"/>
    </row>
    <row r="55" spans="1:3" ht="15" x14ac:dyDescent="0.2">
      <c r="A55" s="440" t="s">
        <v>453</v>
      </c>
      <c r="B55" s="443" t="str">
        <f t="shared" ca="1" si="2"/>
        <v/>
      </c>
      <c r="C55" s="440"/>
    </row>
    <row r="56" spans="1:3" ht="15" x14ac:dyDescent="0.2">
      <c r="A56" s="440" t="s">
        <v>454</v>
      </c>
      <c r="B56" s="443" t="str">
        <f t="shared" ca="1" si="2"/>
        <v/>
      </c>
      <c r="C56" s="440"/>
    </row>
    <row r="57" spans="1:3" ht="15" x14ac:dyDescent="0.2">
      <c r="A57" s="440" t="s">
        <v>455</v>
      </c>
      <c r="B57" s="443" t="str">
        <f t="shared" ca="1" si="2"/>
        <v/>
      </c>
      <c r="C57" s="440"/>
    </row>
    <row r="58" spans="1:3" ht="15" x14ac:dyDescent="0.2">
      <c r="A58" s="440" t="s">
        <v>456</v>
      </c>
      <c r="B58" s="443" t="str">
        <f t="shared" ca="1" si="2"/>
        <v/>
      </c>
      <c r="C58" s="440"/>
    </row>
  </sheetData>
  <sheetProtection algorithmName="SHA-512" hashValue="p36PDCHtgGRtR+NsiaiL5J6qDNnYyp1tSpB/2r5m8U35OXsRPvQHwf/fk85Rf7XAqI+Z3lxPexTtxzO9HzeWgQ==" saltValue="CaYsmaCavEClEtFeHmEDsA==" spinCount="100000" sheet="1" objects="1" scenarios="1" autoFilter="0"/>
  <customSheetViews>
    <customSheetView guid="{B08879A4-635B-4C39-9937-AC7883D562FC}" showGridLines="0" fitToPage="1" hiddenColumns="1" topLeftCell="B1">
      <selection activeCell="B35" sqref="A35:IV35"/>
      <pageMargins left="0.5" right="0.5" top="0.51" bottom="0.5" header="0.31" footer="0.25"/>
      <pageSetup scale="97" orientation="landscape" r:id="rId1"/>
      <headerFooter alignWithMargins="0">
        <oddFooter>&amp;R&amp;A</oddFooter>
      </headerFooter>
    </customSheetView>
    <customSheetView guid="{9FCFC836-1CA5-48BF-958D-24D2EA94B219}" showGridLines="0" fitToPage="1" hiddenColumns="1" topLeftCell="B1">
      <selection activeCell="B35" sqref="A35:IV35"/>
      <pageMargins left="0.5" right="0.5" top="0.51" bottom="0.5" header="0.31" footer="0.25"/>
      <pageSetup scale="97" orientation="landscape" r:id="rId2"/>
      <headerFooter alignWithMargins="0">
        <oddFooter>&amp;R&amp;A</oddFooter>
      </headerFooter>
    </customSheetView>
  </customSheetViews>
  <mergeCells count="13">
    <mergeCell ref="B37:D37"/>
    <mergeCell ref="B4:O4"/>
    <mergeCell ref="K6:O6"/>
    <mergeCell ref="E7:E8"/>
    <mergeCell ref="K7:O7"/>
    <mergeCell ref="K8:O8"/>
    <mergeCell ref="K9:O9"/>
    <mergeCell ref="B22:D22"/>
    <mergeCell ref="B1:O1"/>
    <mergeCell ref="P1:P3"/>
    <mergeCell ref="B2:O2"/>
    <mergeCell ref="B3:O3"/>
    <mergeCell ref="I5:O5"/>
  </mergeCells>
  <phoneticPr fontId="15" type="noConversion"/>
  <conditionalFormatting sqref="P1:P5">
    <cfRule type="cellIs" dxfId="138" priority="1" stopIfTrue="1" operator="equal">
      <formula>"na"</formula>
    </cfRule>
  </conditionalFormatting>
  <dataValidations count="6">
    <dataValidation type="decimal" operator="lessThan" allowBlank="1" showErrorMessage="1" errorTitle="Deletions Error" error="Deletions must be entered as negative numbers." sqref="K42 K16" xr:uid="{00000000-0002-0000-0D00-000000000000}">
      <formula1>0</formula1>
    </dataValidation>
    <dataValidation type="decimal" operator="lessThanOrEqual" allowBlank="1" showInputMessage="1" showErrorMessage="1" errorTitle="Invalid data!" error="Amount must be negative." sqref="K17:K21 I22 E22 K23:K41" xr:uid="{00000000-0002-0000-0D00-000001000000}">
      <formula1>0</formula1>
    </dataValidation>
    <dataValidation type="decimal" operator="greaterThanOrEqual" allowBlank="1" showInputMessage="1" showErrorMessage="1" errorTitle="Invalid data!" error="Amount must be positive." sqref="I17:I21 K22 I23:I41" xr:uid="{00000000-0002-0000-0D00-000002000000}">
      <formula1>0</formula1>
    </dataValidation>
    <dataValidation type="textLength" operator="equal" allowBlank="1" showInputMessage="1" showErrorMessage="1" errorTitle="Invalid data!" error="GASB number must be 4 digits." sqref="D8:D9" xr:uid="{00000000-0002-0000-0D00-000003000000}">
      <formula1>4</formula1>
    </dataValidation>
    <dataValidation type="decimal" operator="equal" allowBlank="1" showInputMessage="1" showErrorMessage="1" errorTitle="Invalid Data!" error="The current portion of the net pension liability must be zero." sqref="O33" xr:uid="{00000000-0002-0000-0D00-000004000000}">
      <formula1>0</formula1>
    </dataValidation>
    <dataValidation type="decimal" operator="equal" allowBlank="1" showInputMessage="1" showErrorMessage="1" errorTitle="Invalid Data!" error="The current portion of the net OPEB liability must be zero." sqref="O34" xr:uid="{00000000-0002-0000-0D00-000005000000}">
      <formula1>0</formula1>
    </dataValidation>
  </dataValidations>
  <hyperlinks>
    <hyperlink ref="B1:O1" location="Index!A1" display="Index!A1" xr:uid="{00000000-0004-0000-0D00-000000000000}"/>
  </hyperlinks>
  <pageMargins left="0.5" right="0.5" top="0.5" bottom="0.5" header="0.31" footer="0.25"/>
  <pageSetup scale="89" orientation="landscape" r:id="rId3"/>
  <headerFooter alignWithMargins="0">
    <oddFooter>&amp;R&amp;A</oddFooter>
  </headerFooter>
  <ignoredErrors>
    <ignoredError sqref="E17:E25 E27:E28 E26 E29:E41" unlockedFormula="1"/>
  </ignoredErrors>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AE106"/>
  <sheetViews>
    <sheetView showGridLines="0" topLeftCell="B1" zoomScaleNormal="100" workbookViewId="0">
      <selection activeCell="K46" sqref="K46:P46"/>
    </sheetView>
  </sheetViews>
  <sheetFormatPr defaultColWidth="9.42578125" defaultRowHeight="11.25" x14ac:dyDescent="0.2"/>
  <cols>
    <col min="1" max="1" width="0.42578125" style="442" hidden="1" customWidth="1"/>
    <col min="2" max="2" width="2.5703125" style="19" customWidth="1"/>
    <col min="3" max="3" width="6.5703125" style="19" customWidth="1"/>
    <col min="4" max="4" width="5.5703125" style="19" customWidth="1"/>
    <col min="5" max="5" width="11" style="19" customWidth="1"/>
    <col min="6" max="6" width="3.5703125" style="19" customWidth="1"/>
    <col min="7" max="7" width="16.5703125" style="19" customWidth="1"/>
    <col min="8" max="8" width="1.5703125" style="19" customWidth="1"/>
    <col min="9" max="9" width="16.5703125" style="19" customWidth="1"/>
    <col min="10" max="15" width="3.5703125" style="19" customWidth="1"/>
    <col min="16" max="16" width="2.5703125" style="19" customWidth="1"/>
    <col min="17" max="17" width="4.5703125" style="19" customWidth="1"/>
    <col min="18" max="18" width="0" style="19" hidden="1" customWidth="1"/>
    <col min="19" max="20" width="9.42578125" style="19" hidden="1" customWidth="1"/>
    <col min="21" max="22" width="9.42578125" style="19"/>
    <col min="23" max="23" width="9.42578125" style="2149"/>
    <col min="24" max="16384" width="9.42578125" style="19"/>
  </cols>
  <sheetData>
    <row r="1" spans="1:31" s="16" customFormat="1" ht="15" customHeight="1" x14ac:dyDescent="0.25">
      <c r="A1" s="441"/>
      <c r="B1" s="2449" t="str">
        <f>+Index!$A$1</f>
        <v xml:space="preserve">                                                               Office of the State Controller                                                                </v>
      </c>
      <c r="C1" s="2449"/>
      <c r="D1" s="2449"/>
      <c r="E1" s="2449"/>
      <c r="F1" s="2449"/>
      <c r="G1" s="2449"/>
      <c r="H1" s="2449"/>
      <c r="I1" s="2449"/>
      <c r="J1" s="2449"/>
      <c r="K1" s="2449"/>
      <c r="L1" s="2449"/>
      <c r="M1" s="2449"/>
      <c r="N1" s="2449"/>
      <c r="O1" s="2449"/>
      <c r="P1" s="2449"/>
      <c r="Q1" s="2510" t="str">
        <f>IF(Index!$B$32="na","NA","")</f>
        <v/>
      </c>
      <c r="W1" s="2147"/>
      <c r="AE1" s="17"/>
    </row>
    <row r="2" spans="1:31" s="16" customFormat="1" ht="15" customHeight="1" x14ac:dyDescent="0.25">
      <c r="A2" s="441"/>
      <c r="B2" s="2508" t="str">
        <f>+Index!$A$2</f>
        <v>2022 ACFR Worksheets</v>
      </c>
      <c r="C2" s="2508"/>
      <c r="D2" s="2508"/>
      <c r="E2" s="2508"/>
      <c r="F2" s="2508"/>
      <c r="G2" s="2508"/>
      <c r="H2" s="2508"/>
      <c r="I2" s="2508"/>
      <c r="J2" s="2508"/>
      <c r="K2" s="2508"/>
      <c r="L2" s="2508"/>
      <c r="M2" s="2508"/>
      <c r="N2" s="2508"/>
      <c r="O2" s="2508"/>
      <c r="P2" s="2508"/>
      <c r="Q2" s="2510"/>
      <c r="W2" s="2147"/>
    </row>
    <row r="3" spans="1:31" s="16" customFormat="1" ht="15" customHeight="1" x14ac:dyDescent="0.25">
      <c r="A3" s="441"/>
      <c r="B3" s="2508" t="s">
        <v>3497</v>
      </c>
      <c r="C3" s="2514"/>
      <c r="D3" s="2514"/>
      <c r="E3" s="2514"/>
      <c r="F3" s="2514"/>
      <c r="G3" s="2514"/>
      <c r="H3" s="2514"/>
      <c r="I3" s="2514"/>
      <c r="J3" s="2514"/>
      <c r="K3" s="2514"/>
      <c r="L3" s="2514"/>
      <c r="M3" s="2514"/>
      <c r="N3" s="2514"/>
      <c r="O3" s="2514"/>
      <c r="P3" s="2514"/>
      <c r="Q3" s="2510"/>
      <c r="W3" s="2147"/>
    </row>
    <row r="4" spans="1:31" s="16" customFormat="1" ht="15" customHeight="1" x14ac:dyDescent="0.25">
      <c r="A4" s="441"/>
      <c r="B4" s="2508" t="s">
        <v>4709</v>
      </c>
      <c r="C4" s="2508"/>
      <c r="D4" s="2508"/>
      <c r="E4" s="2508"/>
      <c r="F4" s="2508"/>
      <c r="G4" s="2508"/>
      <c r="H4" s="2508"/>
      <c r="I4" s="2508"/>
      <c r="J4" s="2508"/>
      <c r="K4" s="2508"/>
      <c r="L4" s="2508"/>
      <c r="M4" s="2508"/>
      <c r="N4" s="2508"/>
      <c r="O4" s="2508"/>
      <c r="P4" s="2508"/>
      <c r="Q4" s="481"/>
      <c r="W4" s="2147"/>
    </row>
    <row r="5" spans="1:31" s="16" customFormat="1" ht="15" customHeight="1" x14ac:dyDescent="0.25">
      <c r="A5" s="441"/>
      <c r="B5" s="2508" t="s">
        <v>4708</v>
      </c>
      <c r="C5" s="2508"/>
      <c r="D5" s="2508"/>
      <c r="E5" s="2508"/>
      <c r="F5" s="2508"/>
      <c r="G5" s="2508"/>
      <c r="H5" s="2508"/>
      <c r="I5" s="2508"/>
      <c r="J5" s="2508"/>
      <c r="K5" s="2508"/>
      <c r="L5" s="2508"/>
      <c r="M5" s="2508"/>
      <c r="N5" s="2508"/>
      <c r="O5" s="2508"/>
      <c r="P5" s="2508"/>
      <c r="Q5" s="481"/>
      <c r="W5" s="2147"/>
    </row>
    <row r="6" spans="1:31" s="102" customFormat="1" ht="12" customHeight="1" x14ac:dyDescent="0.2">
      <c r="A6" s="436"/>
      <c r="G6" s="2509" t="s">
        <v>3500</v>
      </c>
      <c r="H6" s="2509"/>
      <c r="I6" s="2509"/>
      <c r="J6" s="2509"/>
      <c r="K6" s="2509"/>
      <c r="L6" s="2509"/>
      <c r="M6" s="2509"/>
      <c r="N6" s="2509"/>
      <c r="O6" s="2509"/>
      <c r="P6" s="2509"/>
      <c r="W6" s="2142"/>
      <c r="X6" s="494"/>
    </row>
    <row r="7" spans="1:31" s="102" customFormat="1" ht="12" customHeight="1" x14ac:dyDescent="0.2">
      <c r="A7" s="436"/>
      <c r="E7" s="202"/>
      <c r="H7" s="103" t="s">
        <v>327</v>
      </c>
      <c r="I7" s="2488" t="str">
        <f>+Index!$E$10</f>
        <v>01</v>
      </c>
      <c r="J7" s="2488"/>
      <c r="K7" s="2488"/>
      <c r="L7" s="2488"/>
      <c r="M7" s="2488"/>
      <c r="N7" s="2488"/>
      <c r="O7" s="2488"/>
      <c r="P7" s="2488"/>
      <c r="Q7" s="25"/>
      <c r="W7" s="2142"/>
      <c r="X7" s="494"/>
    </row>
    <row r="8" spans="1:31" s="102" customFormat="1" ht="12" customHeight="1" x14ac:dyDescent="0.2">
      <c r="A8" s="436"/>
      <c r="C8" s="2148" t="s">
        <v>5049</v>
      </c>
      <c r="D8" s="494"/>
      <c r="E8" s="2207" t="s">
        <v>5050</v>
      </c>
      <c r="H8" s="103" t="s">
        <v>1154</v>
      </c>
      <c r="I8" s="2512" t="str">
        <f>+Index!$E$11</f>
        <v>North Carolina General Assembly</v>
      </c>
      <c r="J8" s="2512"/>
      <c r="K8" s="2512"/>
      <c r="L8" s="2512"/>
      <c r="M8" s="2512"/>
      <c r="N8" s="2512"/>
      <c r="O8" s="2512"/>
      <c r="P8" s="2512"/>
      <c r="Q8" s="25"/>
      <c r="W8" s="2142"/>
      <c r="X8" s="494"/>
    </row>
    <row r="9" spans="1:31" s="102" customFormat="1" ht="12" customHeight="1" x14ac:dyDescent="0.2">
      <c r="A9" s="436"/>
      <c r="B9" s="102" t="s">
        <v>477</v>
      </c>
      <c r="E9" s="106" t="s">
        <v>256</v>
      </c>
      <c r="H9" s="103" t="s">
        <v>972</v>
      </c>
      <c r="I9" s="2513" t="str">
        <f>CONCATENATE(Index!$E$12," ",Index!$E$14)</f>
        <v xml:space="preserve"> </v>
      </c>
      <c r="J9" s="2513"/>
      <c r="K9" s="2513"/>
      <c r="L9" s="2513"/>
      <c r="M9" s="2513"/>
      <c r="N9" s="2513"/>
      <c r="O9" s="2513"/>
      <c r="P9" s="2513"/>
      <c r="Q9" s="25"/>
      <c r="W9" s="2142"/>
      <c r="X9" s="494"/>
    </row>
    <row r="10" spans="1:31" s="102" customFormat="1" ht="12" customHeight="1" x14ac:dyDescent="0.2">
      <c r="A10" s="436"/>
      <c r="E10" s="202"/>
      <c r="H10" s="103" t="s">
        <v>348</v>
      </c>
      <c r="I10" s="2513">
        <f>+Index!$E$13</f>
        <v>0</v>
      </c>
      <c r="J10" s="2513"/>
      <c r="K10" s="2513"/>
      <c r="L10" s="2513"/>
      <c r="M10" s="2513"/>
      <c r="N10" s="2513"/>
      <c r="O10" s="2513"/>
      <c r="P10" s="2513"/>
      <c r="Q10" s="25"/>
      <c r="W10" s="2142"/>
      <c r="X10" s="494"/>
    </row>
    <row r="11" spans="1:31" s="102" customFormat="1" ht="5.25" customHeight="1" thickBot="1" x14ac:dyDescent="0.25">
      <c r="A11" s="436"/>
      <c r="B11" s="107"/>
      <c r="C11" s="107"/>
      <c r="D11" s="107"/>
      <c r="E11" s="107"/>
      <c r="F11" s="107"/>
      <c r="G11" s="107"/>
      <c r="H11" s="107"/>
      <c r="I11" s="107"/>
      <c r="J11" s="107"/>
      <c r="K11" s="107"/>
      <c r="L11" s="107"/>
      <c r="M11" s="107"/>
      <c r="N11" s="107"/>
      <c r="O11" s="107"/>
      <c r="P11" s="107"/>
      <c r="W11" s="2142"/>
      <c r="X11" s="494"/>
    </row>
    <row r="12" spans="1:31" s="102" customFormat="1" ht="5.25" customHeight="1" x14ac:dyDescent="0.2">
      <c r="A12" s="436"/>
      <c r="W12" s="2142"/>
      <c r="X12" s="494"/>
    </row>
    <row r="13" spans="1:31" s="102" customFormat="1" ht="12" customHeight="1" x14ac:dyDescent="0.2">
      <c r="A13" s="436">
        <f>SUM(A15:A23)</f>
        <v>0</v>
      </c>
      <c r="B13" s="109" t="s">
        <v>796</v>
      </c>
      <c r="C13" s="14"/>
      <c r="D13" s="14"/>
      <c r="E13" s="14"/>
      <c r="F13" s="14"/>
      <c r="G13" s="14"/>
      <c r="H13" s="14"/>
      <c r="I13" s="14"/>
      <c r="J13" s="14"/>
      <c r="K13" s="14"/>
      <c r="L13" s="14"/>
      <c r="M13" s="14"/>
      <c r="N13" s="14"/>
      <c r="O13" s="14"/>
      <c r="P13" s="14"/>
      <c r="Q13" s="14"/>
      <c r="R13" s="14"/>
      <c r="S13" s="14"/>
      <c r="W13" s="2142"/>
      <c r="X13" s="2148" t="s">
        <v>5044</v>
      </c>
    </row>
    <row r="14" spans="1:31" s="102" customFormat="1" ht="6" customHeight="1" thickBot="1" x14ac:dyDescent="0.25">
      <c r="A14" s="436"/>
      <c r="B14" s="431"/>
      <c r="C14" s="431"/>
      <c r="D14" s="14"/>
      <c r="E14" s="14"/>
      <c r="F14" s="14"/>
      <c r="G14" s="14"/>
      <c r="H14" s="14"/>
      <c r="I14" s="14"/>
      <c r="J14" s="14"/>
      <c r="K14" s="14"/>
      <c r="L14" s="14"/>
      <c r="M14" s="14"/>
      <c r="N14" s="14"/>
      <c r="O14" s="14"/>
      <c r="P14" s="14"/>
      <c r="Q14" s="14"/>
      <c r="R14" s="14"/>
      <c r="S14" s="14"/>
      <c r="W14" s="2142"/>
      <c r="X14" s="494"/>
    </row>
    <row r="15" spans="1:31" s="102" customFormat="1" ht="13.35" customHeight="1" thickBot="1" x14ac:dyDescent="0.25">
      <c r="A15" s="436" t="str">
        <f>IF(ISBLANK(D15)," ",C15)</f>
        <v xml:space="preserve"> </v>
      </c>
      <c r="B15" s="14"/>
      <c r="C15" s="259"/>
      <c r="D15" s="1586"/>
      <c r="E15" s="665" t="s">
        <v>480</v>
      </c>
      <c r="F15" s="14"/>
      <c r="G15" s="14"/>
      <c r="H15" s="330" t="s">
        <v>584</v>
      </c>
      <c r="J15" s="14"/>
      <c r="K15" s="14"/>
      <c r="L15" s="14"/>
      <c r="M15" s="14"/>
      <c r="N15" s="14"/>
      <c r="O15" s="14"/>
      <c r="P15" s="14"/>
      <c r="Q15" s="14"/>
      <c r="R15" s="14"/>
      <c r="S15" s="14"/>
      <c r="W15" s="2131" t="str">
        <f>IF(D15="X","22610100","")</f>
        <v/>
      </c>
      <c r="X15" s="272"/>
      <c r="Y15" s="330"/>
    </row>
    <row r="16" spans="1:31" s="102" customFormat="1" ht="6" customHeight="1" thickBot="1" x14ac:dyDescent="0.25">
      <c r="A16" s="436"/>
      <c r="B16" s="14"/>
      <c r="C16" s="259"/>
      <c r="D16" s="272"/>
      <c r="E16" s="330"/>
      <c r="F16" s="14"/>
      <c r="G16" s="14"/>
      <c r="H16" s="14"/>
      <c r="I16" s="14"/>
      <c r="J16" s="14"/>
      <c r="K16" s="14"/>
      <c r="L16" s="14"/>
      <c r="M16" s="14"/>
      <c r="N16" s="14"/>
      <c r="O16" s="14"/>
      <c r="P16" s="14"/>
      <c r="Q16" s="14"/>
      <c r="R16" s="14"/>
      <c r="S16" s="14"/>
      <c r="W16" s="2131"/>
      <c r="X16" s="272"/>
      <c r="Y16" s="14"/>
      <c r="Z16" s="14"/>
    </row>
    <row r="17" spans="1:26" s="102" customFormat="1" ht="13.35" customHeight="1" thickBot="1" x14ac:dyDescent="0.25">
      <c r="A17" s="436" t="str">
        <f>IF(ISBLANK(D17)," ",C17)</f>
        <v xml:space="preserve"> </v>
      </c>
      <c r="B17" s="14"/>
      <c r="C17" s="259"/>
      <c r="D17" s="1586"/>
      <c r="E17" s="665" t="s">
        <v>481</v>
      </c>
      <c r="F17" s="14"/>
      <c r="G17" s="14"/>
      <c r="H17" s="14"/>
      <c r="I17" s="14"/>
      <c r="J17" s="14"/>
      <c r="K17" s="14"/>
      <c r="L17" s="14"/>
      <c r="M17" s="14"/>
      <c r="N17" s="14"/>
      <c r="O17" s="14"/>
      <c r="P17" s="14"/>
      <c r="Q17" s="14"/>
      <c r="R17" s="14"/>
      <c r="S17" s="14"/>
      <c r="W17" s="2131" t="str">
        <f>IF(D17="X","22610000","")</f>
        <v/>
      </c>
      <c r="X17" s="272"/>
      <c r="Y17" s="14"/>
      <c r="Z17" s="14"/>
    </row>
    <row r="18" spans="1:26" s="102" customFormat="1" ht="6" customHeight="1" thickBot="1" x14ac:dyDescent="0.25">
      <c r="A18" s="436"/>
      <c r="B18" s="14"/>
      <c r="C18" s="259"/>
      <c r="D18" s="14"/>
      <c r="E18" s="330"/>
      <c r="F18" s="14"/>
      <c r="G18" s="14"/>
      <c r="H18" s="14"/>
      <c r="I18" s="14"/>
      <c r="J18" s="14"/>
      <c r="K18" s="14"/>
      <c r="L18" s="14"/>
      <c r="M18" s="14"/>
      <c r="N18" s="14"/>
      <c r="O18" s="14"/>
      <c r="P18" s="14"/>
      <c r="Q18" s="14"/>
      <c r="R18" s="14"/>
      <c r="S18" s="14"/>
      <c r="W18" s="2131"/>
      <c r="X18" s="272"/>
      <c r="Y18" s="14"/>
      <c r="Z18" s="14"/>
    </row>
    <row r="19" spans="1:26" s="102" customFormat="1" ht="13.35" customHeight="1" thickBot="1" x14ac:dyDescent="0.25">
      <c r="A19" s="436" t="str">
        <f>IF(ISBLANK(D19)," ",C19)</f>
        <v xml:space="preserve"> </v>
      </c>
      <c r="B19" s="14"/>
      <c r="C19" s="259"/>
      <c r="D19" s="1586"/>
      <c r="E19" s="665" t="s">
        <v>1316</v>
      </c>
      <c r="F19" s="14"/>
      <c r="H19" s="14"/>
      <c r="I19" s="14"/>
      <c r="J19" s="14"/>
      <c r="K19" s="14"/>
      <c r="L19" s="14"/>
      <c r="M19" s="14"/>
      <c r="N19" s="14"/>
      <c r="O19" s="14"/>
      <c r="P19" s="14"/>
      <c r="Q19" s="14"/>
      <c r="R19" s="14"/>
      <c r="S19" s="14"/>
      <c r="W19" s="2131" t="str">
        <f>IF(D19="X","22610300","")</f>
        <v/>
      </c>
      <c r="X19" s="494"/>
      <c r="Y19" s="14"/>
      <c r="Z19" s="14"/>
    </row>
    <row r="20" spans="1:26" s="102" customFormat="1" ht="5.0999999999999996" customHeight="1" thickBot="1" x14ac:dyDescent="0.25">
      <c r="A20" s="436"/>
      <c r="B20" s="14"/>
      <c r="C20" s="259"/>
      <c r="D20" s="14"/>
      <c r="E20" s="330"/>
      <c r="F20" s="14"/>
      <c r="G20" s="14"/>
      <c r="H20" s="14"/>
      <c r="I20" s="14"/>
      <c r="J20" s="14"/>
      <c r="K20" s="14"/>
      <c r="L20" s="14"/>
      <c r="M20" s="14"/>
      <c r="N20" s="14"/>
      <c r="O20" s="14"/>
      <c r="P20" s="14"/>
      <c r="Q20" s="14"/>
      <c r="R20" s="14"/>
      <c r="S20" s="14"/>
      <c r="W20" s="2131"/>
      <c r="X20" s="272"/>
      <c r="Y20" s="14"/>
      <c r="Z20" s="14"/>
    </row>
    <row r="21" spans="1:26" s="102" customFormat="1" ht="13.35" customHeight="1" thickBot="1" x14ac:dyDescent="0.25">
      <c r="A21" s="436"/>
      <c r="B21" s="14"/>
      <c r="C21" s="259"/>
      <c r="D21" s="1586"/>
      <c r="E21" s="665" t="s">
        <v>1129</v>
      </c>
      <c r="F21" s="14"/>
      <c r="G21" s="14"/>
      <c r="H21" s="14"/>
      <c r="I21" s="14"/>
      <c r="J21" s="14"/>
      <c r="K21" s="14"/>
      <c r="L21" s="14"/>
      <c r="M21" s="14"/>
      <c r="N21" s="14"/>
      <c r="O21" s="14"/>
      <c r="P21" s="14"/>
      <c r="Q21" s="14"/>
      <c r="R21" s="14"/>
      <c r="S21" s="14"/>
      <c r="W21" s="2131" t="str">
        <f>IF(D21="X","22610500","")</f>
        <v/>
      </c>
      <c r="X21" s="272"/>
      <c r="Y21" s="14"/>
      <c r="Z21" s="14"/>
    </row>
    <row r="22" spans="1:26" s="102" customFormat="1" ht="6" customHeight="1" thickBot="1" x14ac:dyDescent="0.25">
      <c r="A22" s="436"/>
      <c r="B22" s="14"/>
      <c r="C22" s="259"/>
      <c r="D22" s="14"/>
      <c r="E22" s="330"/>
      <c r="F22" s="14"/>
      <c r="G22" s="14"/>
      <c r="H22" s="14"/>
      <c r="I22" s="14"/>
      <c r="J22" s="14"/>
      <c r="K22" s="14"/>
      <c r="L22" s="14"/>
      <c r="M22" s="14"/>
      <c r="N22" s="14"/>
      <c r="O22" s="14"/>
      <c r="P22" s="14"/>
      <c r="Q22" s="14"/>
      <c r="R22" s="14"/>
      <c r="S22" s="14"/>
      <c r="W22" s="2131"/>
      <c r="X22" s="272"/>
      <c r="Y22" s="14"/>
      <c r="Z22" s="14"/>
    </row>
    <row r="23" spans="1:26" s="102" customFormat="1" ht="13.35" customHeight="1" thickBot="1" x14ac:dyDescent="0.25">
      <c r="A23" s="436" t="str">
        <f>IF(ISBLANK(D23)," ",C23)</f>
        <v xml:space="preserve"> </v>
      </c>
      <c r="B23" s="14"/>
      <c r="C23" s="259"/>
      <c r="D23" s="1586"/>
      <c r="E23" s="665" t="s">
        <v>1302</v>
      </c>
      <c r="F23" s="14"/>
      <c r="G23" s="14"/>
      <c r="H23" s="14"/>
      <c r="I23" s="14"/>
      <c r="J23" s="14"/>
      <c r="K23" s="14"/>
      <c r="L23" s="14"/>
      <c r="M23" s="14"/>
      <c r="N23" s="14"/>
      <c r="O23" s="14"/>
      <c r="P23" s="14"/>
      <c r="Q23" s="14"/>
      <c r="R23" s="14"/>
      <c r="S23" s="14"/>
      <c r="W23" s="2131" t="str">
        <f>IF(D23="X","22610600","")</f>
        <v/>
      </c>
      <c r="X23" s="272"/>
      <c r="Y23" s="14"/>
      <c r="Z23" s="14"/>
    </row>
    <row r="24" spans="1:26" s="102" customFormat="1" ht="6" customHeight="1" thickBot="1" x14ac:dyDescent="0.25">
      <c r="A24" s="436"/>
      <c r="B24" s="14"/>
      <c r="C24" s="14"/>
      <c r="D24" s="14"/>
      <c r="E24" s="14"/>
      <c r="F24" s="14"/>
      <c r="G24" s="94"/>
      <c r="H24" s="94"/>
      <c r="I24" s="94"/>
      <c r="J24" s="14"/>
      <c r="K24" s="14"/>
      <c r="L24" s="14"/>
      <c r="M24" s="14"/>
      <c r="N24" s="14"/>
      <c r="O24" s="14"/>
      <c r="P24" s="14"/>
      <c r="Q24" s="14"/>
      <c r="R24" s="14"/>
      <c r="S24" s="14"/>
      <c r="W24" s="2131"/>
      <c r="X24" s="494"/>
    </row>
    <row r="25" spans="1:26" s="102" customFormat="1" ht="12.75" customHeight="1" thickBot="1" x14ac:dyDescent="0.25">
      <c r="A25" s="436"/>
      <c r="B25" s="14"/>
      <c r="C25" s="259"/>
      <c r="D25" s="1586"/>
      <c r="E25" s="665" t="s">
        <v>4596</v>
      </c>
      <c r="F25" s="14"/>
      <c r="G25" s="14"/>
      <c r="H25" s="14"/>
      <c r="I25" s="94"/>
      <c r="J25" s="14"/>
      <c r="K25" s="14"/>
      <c r="L25" s="14"/>
      <c r="M25" s="14"/>
      <c r="N25" s="14"/>
      <c r="O25" s="14"/>
      <c r="P25" s="14"/>
      <c r="Q25" s="14"/>
      <c r="R25" s="14"/>
      <c r="S25" s="14"/>
      <c r="W25" s="2131" t="str">
        <f>IF(D25="X","22320000","")</f>
        <v/>
      </c>
      <c r="X25" s="494"/>
    </row>
    <row r="26" spans="1:26" s="102" customFormat="1" ht="6" customHeight="1" thickBot="1" x14ac:dyDescent="0.25">
      <c r="A26" s="436"/>
      <c r="B26" s="14"/>
      <c r="C26" s="259"/>
      <c r="D26" s="1833"/>
      <c r="E26" s="665"/>
      <c r="F26" s="14"/>
      <c r="G26" s="14"/>
      <c r="H26" s="14"/>
      <c r="I26" s="94"/>
      <c r="J26" s="14"/>
      <c r="K26" s="14"/>
      <c r="L26" s="14"/>
      <c r="M26" s="14"/>
      <c r="N26" s="14"/>
      <c r="O26" s="14"/>
      <c r="P26" s="14"/>
      <c r="Q26" s="14"/>
      <c r="R26" s="14"/>
      <c r="S26" s="14"/>
      <c r="W26" s="2142"/>
      <c r="X26" s="494"/>
    </row>
    <row r="27" spans="1:26" s="102" customFormat="1" ht="12.75" customHeight="1" thickBot="1" x14ac:dyDescent="0.25">
      <c r="A27" s="436"/>
      <c r="B27" s="14"/>
      <c r="C27" s="259"/>
      <c r="D27" s="1586"/>
      <c r="E27" s="665" t="s">
        <v>4710</v>
      </c>
      <c r="F27" s="14"/>
      <c r="G27" s="14"/>
      <c r="H27" s="14"/>
      <c r="I27" s="94"/>
      <c r="J27" s="14"/>
      <c r="K27" s="14"/>
      <c r="L27" s="14"/>
      <c r="M27" s="14"/>
      <c r="N27" s="14"/>
      <c r="O27" s="14"/>
      <c r="P27" s="14"/>
      <c r="Q27" s="14"/>
      <c r="R27" s="14"/>
      <c r="S27" s="14"/>
      <c r="W27" s="2142" t="str">
        <f>IF(D27="X","22610400","")</f>
        <v/>
      </c>
      <c r="X27" s="494"/>
    </row>
    <row r="28" spans="1:26" s="494" customFormat="1" ht="12.75" customHeight="1" x14ac:dyDescent="0.2">
      <c r="A28" s="1848"/>
      <c r="B28" s="272"/>
      <c r="C28" s="337"/>
      <c r="D28" s="1833"/>
      <c r="E28" s="665"/>
      <c r="F28" s="272"/>
      <c r="G28" s="272"/>
      <c r="H28" s="272"/>
      <c r="I28" s="357"/>
      <c r="J28" s="272"/>
      <c r="K28" s="272"/>
      <c r="L28" s="272"/>
      <c r="M28" s="272"/>
      <c r="N28" s="272"/>
      <c r="O28" s="272"/>
      <c r="P28" s="272"/>
      <c r="Q28" s="272"/>
      <c r="R28" s="272"/>
      <c r="S28" s="272"/>
      <c r="W28" s="2142"/>
      <c r="X28" s="2142"/>
    </row>
    <row r="29" spans="1:26" s="494" customFormat="1" ht="12.75" customHeight="1" x14ac:dyDescent="0.2">
      <c r="A29" s="1848"/>
      <c r="B29" s="272"/>
      <c r="C29" s="337"/>
      <c r="D29" s="1833"/>
      <c r="E29" s="665"/>
      <c r="F29" s="272"/>
      <c r="G29" s="272"/>
      <c r="H29" s="272"/>
      <c r="I29" s="357"/>
      <c r="J29" s="272"/>
      <c r="K29" s="272"/>
      <c r="L29" s="272"/>
      <c r="M29" s="272"/>
      <c r="N29" s="272"/>
      <c r="O29" s="272"/>
      <c r="P29" s="272"/>
      <c r="Q29" s="272"/>
      <c r="R29" s="272"/>
      <c r="S29" s="272"/>
      <c r="W29" s="2142"/>
      <c r="X29" s="2142"/>
    </row>
    <row r="30" spans="1:26" s="494" customFormat="1" ht="15" customHeight="1" x14ac:dyDescent="0.2">
      <c r="A30" s="1848"/>
      <c r="B30" s="272"/>
      <c r="C30" s="272"/>
      <c r="D30" s="272"/>
      <c r="E30" s="272"/>
      <c r="F30" s="272"/>
      <c r="G30" s="2152" t="s">
        <v>5042</v>
      </c>
      <c r="H30" s="2152"/>
      <c r="I30" s="2152" t="s">
        <v>5043</v>
      </c>
      <c r="J30" s="272"/>
      <c r="K30" s="272"/>
      <c r="L30" s="272"/>
      <c r="M30" s="272"/>
      <c r="N30" s="272"/>
      <c r="O30" s="272"/>
      <c r="P30" s="272"/>
      <c r="Q30" s="272"/>
      <c r="R30" s="272"/>
      <c r="S30" s="272"/>
      <c r="W30" s="2142"/>
    </row>
    <row r="31" spans="1:26" s="102" customFormat="1" ht="12.75" x14ac:dyDescent="0.2">
      <c r="A31" s="436"/>
      <c r="B31" s="14"/>
      <c r="C31" s="14"/>
      <c r="D31" s="14"/>
      <c r="E31" s="14"/>
      <c r="F31" s="14"/>
      <c r="G31" s="437" t="s">
        <v>319</v>
      </c>
      <c r="H31" s="437"/>
      <c r="I31" s="437" t="s">
        <v>320</v>
      </c>
      <c r="J31" s="14"/>
      <c r="K31" s="14"/>
      <c r="L31" s="14"/>
      <c r="M31" s="14"/>
      <c r="N31" s="14"/>
      <c r="O31" s="14"/>
      <c r="P31" s="14"/>
      <c r="Q31" s="14"/>
      <c r="R31" s="14"/>
      <c r="S31" s="14"/>
      <c r="W31" s="2142"/>
      <c r="X31" s="494"/>
    </row>
    <row r="32" spans="1:26" s="102" customFormat="1" ht="12" customHeight="1" x14ac:dyDescent="0.2">
      <c r="A32" s="436"/>
      <c r="B32" s="14"/>
      <c r="C32" s="14"/>
      <c r="D32" s="14"/>
      <c r="E32" s="26" t="s">
        <v>802</v>
      </c>
      <c r="G32" s="26" t="s">
        <v>261</v>
      </c>
      <c r="H32" s="14"/>
      <c r="I32" s="26" t="s">
        <v>509</v>
      </c>
      <c r="J32" s="4"/>
      <c r="K32" s="4"/>
      <c r="L32" s="4"/>
      <c r="M32" s="4"/>
      <c r="N32" s="14"/>
      <c r="O32" s="14"/>
      <c r="Q32" s="14"/>
      <c r="R32" s="438"/>
      <c r="S32" s="438">
        <f>LARGE(S33:S45,1)</f>
        <v>0</v>
      </c>
      <c r="T32" s="438">
        <f>LARGE(T33:T45,1)</f>
        <v>0</v>
      </c>
      <c r="W32" s="2142"/>
      <c r="X32" s="494"/>
    </row>
    <row r="33" spans="1:24" s="102" customFormat="1" ht="13.35" customHeight="1" x14ac:dyDescent="0.2">
      <c r="A33" s="436">
        <v>1</v>
      </c>
      <c r="B33" s="14"/>
      <c r="C33" s="14"/>
      <c r="D33" s="100">
        <f>+E33</f>
        <v>2023</v>
      </c>
      <c r="E33" s="437">
        <f>+YEAR(Data!$A$2)+1</f>
        <v>2023</v>
      </c>
      <c r="G33" s="434"/>
      <c r="H33" s="105"/>
      <c r="I33" s="434"/>
      <c r="J33" s="105"/>
      <c r="K33" s="2511" t="s">
        <v>736</v>
      </c>
      <c r="L33" s="2511"/>
      <c r="M33" s="2511"/>
      <c r="N33" s="2511"/>
      <c r="O33" s="2511"/>
      <c r="P33" s="2511"/>
      <c r="Q33" s="14"/>
      <c r="R33" s="439">
        <f>SUM($G33:$G$45)</f>
        <v>0</v>
      </c>
      <c r="S33" s="438">
        <f t="shared" ref="S33:T45" si="0">IF($R33&gt;0,$D33,0)</f>
        <v>0</v>
      </c>
      <c r="T33" s="438">
        <f t="shared" si="0"/>
        <v>0</v>
      </c>
      <c r="V33" s="665"/>
      <c r="W33" s="2134" t="s">
        <v>5024</v>
      </c>
      <c r="X33" s="494"/>
    </row>
    <row r="34" spans="1:24" s="102" customFormat="1" ht="13.35" customHeight="1" x14ac:dyDescent="0.2">
      <c r="A34" s="436">
        <v>2</v>
      </c>
      <c r="B34" s="14"/>
      <c r="C34" s="14"/>
      <c r="D34" s="100">
        <f>+E34</f>
        <v>2024</v>
      </c>
      <c r="E34" s="437">
        <f>E33+1</f>
        <v>2024</v>
      </c>
      <c r="G34" s="434"/>
      <c r="H34" s="105"/>
      <c r="I34" s="434"/>
      <c r="J34" s="105"/>
      <c r="K34" s="2511"/>
      <c r="L34" s="2511"/>
      <c r="M34" s="2511"/>
      <c r="N34" s="2511"/>
      <c r="O34" s="2511"/>
      <c r="P34" s="2511"/>
      <c r="Q34" s="14"/>
      <c r="R34" s="439">
        <f>SUM($G34:$G$45)</f>
        <v>0</v>
      </c>
      <c r="S34" s="438">
        <f t="shared" si="0"/>
        <v>0</v>
      </c>
      <c r="T34" s="438">
        <f t="shared" si="0"/>
        <v>0</v>
      </c>
      <c r="V34" s="665"/>
      <c r="W34" s="2134" t="s">
        <v>5025</v>
      </c>
      <c r="X34" s="494"/>
    </row>
    <row r="35" spans="1:24" s="102" customFormat="1" ht="13.35" customHeight="1" x14ac:dyDescent="0.2">
      <c r="A35" s="436">
        <v>3</v>
      </c>
      <c r="B35" s="14"/>
      <c r="C35" s="14"/>
      <c r="D35" s="100">
        <f>+E35</f>
        <v>2025</v>
      </c>
      <c r="E35" s="437">
        <f>E34+1</f>
        <v>2025</v>
      </c>
      <c r="G35" s="434"/>
      <c r="H35" s="105"/>
      <c r="I35" s="434"/>
      <c r="J35" s="105"/>
      <c r="K35" s="2511"/>
      <c r="L35" s="2511"/>
      <c r="M35" s="2511"/>
      <c r="N35" s="2511"/>
      <c r="O35" s="2511"/>
      <c r="P35" s="2511"/>
      <c r="Q35" s="14"/>
      <c r="R35" s="439">
        <f>SUM($G35:$G$45)</f>
        <v>0</v>
      </c>
      <c r="S35" s="438">
        <f t="shared" si="0"/>
        <v>0</v>
      </c>
      <c r="T35" s="438">
        <f t="shared" si="0"/>
        <v>0</v>
      </c>
      <c r="V35" s="665"/>
      <c r="W35" s="2134" t="s">
        <v>5026</v>
      </c>
      <c r="X35" s="494"/>
    </row>
    <row r="36" spans="1:24" s="102" customFormat="1" ht="13.35" customHeight="1" x14ac:dyDescent="0.2">
      <c r="A36" s="436">
        <v>4</v>
      </c>
      <c r="B36" s="14"/>
      <c r="C36" s="14"/>
      <c r="D36" s="100">
        <f>+E36</f>
        <v>2026</v>
      </c>
      <c r="E36" s="437">
        <f>E35+1</f>
        <v>2026</v>
      </c>
      <c r="G36" s="434"/>
      <c r="H36" s="105"/>
      <c r="I36" s="434"/>
      <c r="J36" s="105"/>
      <c r="K36" s="2532"/>
      <c r="L36" s="2533"/>
      <c r="M36" s="2533"/>
      <c r="N36" s="2533"/>
      <c r="O36" s="2533"/>
      <c r="P36" s="2534"/>
      <c r="Q36" s="14"/>
      <c r="R36" s="439">
        <f>SUM($G36:$G$45)</f>
        <v>0</v>
      </c>
      <c r="S36" s="438">
        <f t="shared" si="0"/>
        <v>0</v>
      </c>
      <c r="T36" s="438">
        <f t="shared" si="0"/>
        <v>0</v>
      </c>
      <c r="V36" s="665"/>
      <c r="W36" s="2134" t="s">
        <v>5027</v>
      </c>
      <c r="X36" s="494"/>
    </row>
    <row r="37" spans="1:24" s="102" customFormat="1" ht="13.35" customHeight="1" x14ac:dyDescent="0.2">
      <c r="A37" s="436">
        <v>5</v>
      </c>
      <c r="B37" s="14"/>
      <c r="C37" s="14"/>
      <c r="D37" s="100">
        <f>+E37</f>
        <v>2027</v>
      </c>
      <c r="E37" s="437">
        <f>E36+1</f>
        <v>2027</v>
      </c>
      <c r="G37" s="434"/>
      <c r="H37" s="105"/>
      <c r="I37" s="434"/>
      <c r="J37" s="105"/>
      <c r="K37" s="14"/>
      <c r="L37" s="14"/>
      <c r="M37" s="14"/>
      <c r="N37" s="14"/>
      <c r="Q37" s="14"/>
      <c r="R37" s="439">
        <f>SUM($G37:$G$45)</f>
        <v>0</v>
      </c>
      <c r="S37" s="438">
        <f t="shared" si="0"/>
        <v>0</v>
      </c>
      <c r="T37" s="438">
        <f t="shared" si="0"/>
        <v>0</v>
      </c>
      <c r="V37" s="665"/>
      <c r="W37" s="2134" t="s">
        <v>5028</v>
      </c>
      <c r="X37" s="494"/>
    </row>
    <row r="38" spans="1:24" s="102" customFormat="1" ht="13.35" customHeight="1" x14ac:dyDescent="0.2">
      <c r="A38" s="436">
        <v>6</v>
      </c>
      <c r="B38" s="14"/>
      <c r="C38" s="14"/>
      <c r="D38" s="100">
        <f>E37+1</f>
        <v>2028</v>
      </c>
      <c r="E38" s="437" t="str">
        <f t="shared" ref="E38:E45" si="1">(D38)&amp;" - "&amp;(D38+4)</f>
        <v>2028 - 2032</v>
      </c>
      <c r="G38" s="434"/>
      <c r="H38" s="105"/>
      <c r="I38" s="434"/>
      <c r="J38" s="105"/>
      <c r="K38" s="2511" t="s">
        <v>435</v>
      </c>
      <c r="L38" s="2511"/>
      <c r="M38" s="2511"/>
      <c r="N38" s="2511"/>
      <c r="O38" s="2511"/>
      <c r="P38" s="2511"/>
      <c r="Q38" s="14"/>
      <c r="R38" s="439">
        <f>SUM($G38:$G$45)</f>
        <v>0</v>
      </c>
      <c r="S38" s="438">
        <f t="shared" si="0"/>
        <v>0</v>
      </c>
      <c r="T38" s="438">
        <f>IF($R38&gt;0,$D38+4,0)</f>
        <v>0</v>
      </c>
      <c r="V38" s="665"/>
      <c r="W38" s="2134" t="s">
        <v>5029</v>
      </c>
      <c r="X38" s="494"/>
    </row>
    <row r="39" spans="1:24" s="102" customFormat="1" ht="13.35" customHeight="1" x14ac:dyDescent="0.2">
      <c r="A39" s="436">
        <v>7</v>
      </c>
      <c r="B39" s="14"/>
      <c r="C39" s="14"/>
      <c r="D39" s="100">
        <f t="shared" ref="D39:D45" si="2">D38+5</f>
        <v>2033</v>
      </c>
      <c r="E39" s="437" t="str">
        <f t="shared" si="1"/>
        <v>2033 - 2037</v>
      </c>
      <c r="G39" s="434"/>
      <c r="H39" s="105"/>
      <c r="I39" s="434"/>
      <c r="J39" s="105"/>
      <c r="K39" s="2511"/>
      <c r="L39" s="2511"/>
      <c r="M39" s="2511"/>
      <c r="N39" s="2511"/>
      <c r="O39" s="2511"/>
      <c r="P39" s="2511"/>
      <c r="Q39" s="14"/>
      <c r="R39" s="439">
        <f>SUM($G39:$G$45)</f>
        <v>0</v>
      </c>
      <c r="S39" s="438">
        <f t="shared" si="0"/>
        <v>0</v>
      </c>
      <c r="T39" s="438">
        <f t="shared" ref="T39:T45" si="3">IF($R39&gt;0,$D39+4,0)</f>
        <v>0</v>
      </c>
      <c r="V39" s="665"/>
      <c r="W39" s="2134" t="s">
        <v>5030</v>
      </c>
      <c r="X39" s="494"/>
    </row>
    <row r="40" spans="1:24" s="102" customFormat="1" ht="13.35" customHeight="1" x14ac:dyDescent="0.2">
      <c r="A40" s="436">
        <v>8</v>
      </c>
      <c r="B40" s="14"/>
      <c r="C40" s="14"/>
      <c r="D40" s="100">
        <f t="shared" si="2"/>
        <v>2038</v>
      </c>
      <c r="E40" s="437" t="str">
        <f t="shared" si="1"/>
        <v>2038 - 2042</v>
      </c>
      <c r="G40" s="434"/>
      <c r="H40" s="105"/>
      <c r="I40" s="434"/>
      <c r="J40" s="105"/>
      <c r="K40" s="2531"/>
      <c r="L40" s="2531"/>
      <c r="M40" s="2531"/>
      <c r="N40" s="2531"/>
      <c r="O40" s="2531"/>
      <c r="P40" s="2531"/>
      <c r="Q40" s="14"/>
      <c r="R40" s="439">
        <f>SUM($G40:$G$45)</f>
        <v>0</v>
      </c>
      <c r="S40" s="438">
        <f t="shared" si="0"/>
        <v>0</v>
      </c>
      <c r="T40" s="438">
        <f t="shared" si="3"/>
        <v>0</v>
      </c>
      <c r="V40" s="330"/>
      <c r="W40" s="2134" t="s">
        <v>5031</v>
      </c>
      <c r="X40" s="494"/>
    </row>
    <row r="41" spans="1:24" s="102" customFormat="1" ht="13.35" customHeight="1" x14ac:dyDescent="0.2">
      <c r="A41" s="436">
        <v>9</v>
      </c>
      <c r="B41" s="14"/>
      <c r="C41" s="14"/>
      <c r="D41" s="100">
        <f t="shared" si="2"/>
        <v>2043</v>
      </c>
      <c r="E41" s="437" t="str">
        <f t="shared" si="1"/>
        <v>2043 - 2047</v>
      </c>
      <c r="G41" s="434"/>
      <c r="H41" s="105"/>
      <c r="I41" s="434"/>
      <c r="J41" s="105"/>
      <c r="K41" s="2511" t="s">
        <v>1308</v>
      </c>
      <c r="L41" s="2511"/>
      <c r="M41" s="2511"/>
      <c r="N41" s="2511" t="s">
        <v>1309</v>
      </c>
      <c r="O41" s="2511"/>
      <c r="P41" s="2511"/>
      <c r="Q41" s="14"/>
      <c r="R41" s="439">
        <f>SUM($G41:$G$45)</f>
        <v>0</v>
      </c>
      <c r="S41" s="438">
        <f t="shared" si="0"/>
        <v>0</v>
      </c>
      <c r="T41" s="438">
        <f t="shared" si="3"/>
        <v>0</v>
      </c>
      <c r="W41" s="2134" t="s">
        <v>5032</v>
      </c>
      <c r="X41" s="494"/>
    </row>
    <row r="42" spans="1:24" s="102" customFormat="1" ht="13.35" customHeight="1" x14ac:dyDescent="0.2">
      <c r="A42" s="436">
        <v>10</v>
      </c>
      <c r="B42" s="14"/>
      <c r="C42" s="14"/>
      <c r="D42" s="100">
        <f t="shared" si="2"/>
        <v>2048</v>
      </c>
      <c r="E42" s="437" t="str">
        <f t="shared" si="1"/>
        <v>2048 - 2052</v>
      </c>
      <c r="G42" s="434"/>
      <c r="H42" s="105"/>
      <c r="I42" s="434"/>
      <c r="J42" s="105"/>
      <c r="K42" s="2537"/>
      <c r="L42" s="2535"/>
      <c r="M42" s="2536"/>
      <c r="N42" s="2535"/>
      <c r="O42" s="2535"/>
      <c r="P42" s="2536"/>
      <c r="Q42" s="14"/>
      <c r="R42" s="439">
        <f>SUM($G42:$G$45)</f>
        <v>0</v>
      </c>
      <c r="S42" s="438">
        <f t="shared" si="0"/>
        <v>0</v>
      </c>
      <c r="T42" s="438">
        <f t="shared" si="3"/>
        <v>0</v>
      </c>
      <c r="V42" s="330"/>
      <c r="W42" s="2134" t="s">
        <v>5033</v>
      </c>
      <c r="X42" s="494"/>
    </row>
    <row r="43" spans="1:24" s="102" customFormat="1" ht="13.35" customHeight="1" x14ac:dyDescent="0.2">
      <c r="A43" s="436">
        <v>11</v>
      </c>
      <c r="B43" s="14"/>
      <c r="C43" s="14"/>
      <c r="D43" s="100">
        <f t="shared" si="2"/>
        <v>2053</v>
      </c>
      <c r="E43" s="437" t="str">
        <f t="shared" si="1"/>
        <v>2053 - 2057</v>
      </c>
      <c r="G43" s="434"/>
      <c r="H43" s="105"/>
      <c r="I43" s="434"/>
      <c r="J43" s="105"/>
      <c r="Q43" s="14"/>
      <c r="R43" s="439">
        <f>SUM($G43:$G$45)</f>
        <v>0</v>
      </c>
      <c r="S43" s="438">
        <f>IF($R43&gt;0,$D43,0)</f>
        <v>0</v>
      </c>
      <c r="T43" s="438">
        <f t="shared" si="3"/>
        <v>0</v>
      </c>
      <c r="W43" s="2134" t="s">
        <v>5034</v>
      </c>
      <c r="X43" s="494"/>
    </row>
    <row r="44" spans="1:24" s="102" customFormat="1" ht="13.35" customHeight="1" x14ac:dyDescent="0.2">
      <c r="A44" s="436">
        <v>12</v>
      </c>
      <c r="B44" s="14"/>
      <c r="C44" s="14"/>
      <c r="D44" s="100">
        <f t="shared" si="2"/>
        <v>2058</v>
      </c>
      <c r="E44" s="437" t="str">
        <f t="shared" si="1"/>
        <v>2058 - 2062</v>
      </c>
      <c r="G44" s="434"/>
      <c r="H44" s="105"/>
      <c r="I44" s="434"/>
      <c r="J44" s="105"/>
      <c r="K44" s="2524" t="s">
        <v>81</v>
      </c>
      <c r="L44" s="2525"/>
      <c r="M44" s="2525"/>
      <c r="N44" s="2525"/>
      <c r="O44" s="2525"/>
      <c r="P44" s="2526"/>
      <c r="Q44" s="14"/>
      <c r="R44" s="439">
        <f>SUM($G44:$G$45)</f>
        <v>0</v>
      </c>
      <c r="S44" s="438">
        <f t="shared" si="0"/>
        <v>0</v>
      </c>
      <c r="T44" s="438">
        <f t="shared" si="3"/>
        <v>0</v>
      </c>
      <c r="V44" s="330"/>
      <c r="W44" s="2134" t="s">
        <v>5035</v>
      </c>
      <c r="X44" s="494"/>
    </row>
    <row r="45" spans="1:24" s="102" customFormat="1" ht="13.35" customHeight="1" x14ac:dyDescent="0.2">
      <c r="A45" s="436">
        <v>13</v>
      </c>
      <c r="B45" s="14"/>
      <c r="C45" s="14"/>
      <c r="D45" s="100">
        <f t="shared" si="2"/>
        <v>2063</v>
      </c>
      <c r="E45" s="437" t="str">
        <f t="shared" si="1"/>
        <v>2063 - 2067</v>
      </c>
      <c r="G45" s="434"/>
      <c r="H45" s="105"/>
      <c r="I45" s="434"/>
      <c r="J45" s="105"/>
      <c r="K45" s="2527"/>
      <c r="L45" s="2528"/>
      <c r="M45" s="2528"/>
      <c r="N45" s="2528"/>
      <c r="O45" s="2528"/>
      <c r="P45" s="2529"/>
      <c r="Q45" s="14"/>
      <c r="R45" s="439">
        <f>SUM($G45:$G$45)</f>
        <v>0</v>
      </c>
      <c r="S45" s="438">
        <f t="shared" si="0"/>
        <v>0</v>
      </c>
      <c r="T45" s="438">
        <f t="shared" si="3"/>
        <v>0</v>
      </c>
      <c r="W45" s="2134" t="s">
        <v>5036</v>
      </c>
      <c r="X45" s="494"/>
    </row>
    <row r="46" spans="1:24" s="102" customFormat="1" ht="16.350000000000001" customHeight="1" thickBot="1" x14ac:dyDescent="0.25">
      <c r="A46" s="436"/>
      <c r="B46" s="14"/>
      <c r="C46" s="14"/>
      <c r="D46" s="2" t="s">
        <v>803</v>
      </c>
      <c r="E46" s="14"/>
      <c r="F46" s="14"/>
      <c r="G46" s="444">
        <f>SUM(G33:G45)</f>
        <v>0</v>
      </c>
      <c r="H46" s="105"/>
      <c r="I46" s="444">
        <f>SUM(I33:I45)</f>
        <v>0</v>
      </c>
      <c r="J46" s="105"/>
      <c r="K46" s="2521"/>
      <c r="L46" s="2522"/>
      <c r="M46" s="2522"/>
      <c r="N46" s="2522"/>
      <c r="O46" s="2522"/>
      <c r="P46" s="2523"/>
      <c r="Q46" s="14"/>
      <c r="R46" s="438"/>
      <c r="S46" s="438">
        <f>YEAR(_FMD315)</f>
        <v>1900</v>
      </c>
      <c r="T46" s="436"/>
      <c r="W46" s="494"/>
      <c r="X46" s="494"/>
    </row>
    <row r="47" spans="1:24" s="102" customFormat="1" ht="13.35" customHeight="1" thickTop="1" x14ac:dyDescent="0.25">
      <c r="A47" s="436"/>
      <c r="B47" s="14"/>
      <c r="C47" s="14"/>
      <c r="D47" s="2"/>
      <c r="E47" s="14"/>
      <c r="F47" s="14"/>
      <c r="G47" s="14"/>
      <c r="H47" s="99" t="s">
        <v>948</v>
      </c>
      <c r="I47" s="906" t="s">
        <v>1319</v>
      </c>
      <c r="J47" s="4"/>
      <c r="K47" s="4"/>
      <c r="L47" s="98"/>
      <c r="M47" s="98"/>
      <c r="N47" s="94"/>
      <c r="O47" s="94"/>
      <c r="P47" s="14"/>
      <c r="Q47" s="14"/>
      <c r="R47" s="14"/>
      <c r="S47" s="14"/>
      <c r="W47" s="494"/>
      <c r="X47" s="494"/>
    </row>
    <row r="48" spans="1:24" s="102" customFormat="1" ht="12.75" customHeight="1" x14ac:dyDescent="0.2">
      <c r="A48" s="436"/>
      <c r="B48" s="14" t="s">
        <v>708</v>
      </c>
      <c r="C48" s="14"/>
      <c r="D48" s="2"/>
      <c r="E48" s="14"/>
      <c r="F48" s="14"/>
      <c r="G48" s="14"/>
      <c r="H48" s="99"/>
      <c r="I48" s="98"/>
      <c r="J48" s="4"/>
      <c r="K48" s="4"/>
      <c r="L48" s="98"/>
      <c r="M48" s="98"/>
      <c r="N48" s="94"/>
      <c r="O48" s="94"/>
      <c r="P48" s="14"/>
      <c r="Q48" s="14"/>
      <c r="R48" s="14"/>
      <c r="S48" s="14"/>
      <c r="W48" s="2134"/>
      <c r="X48" s="494"/>
    </row>
    <row r="49" spans="1:24" s="102" customFormat="1" ht="12.75" customHeight="1" x14ac:dyDescent="0.2">
      <c r="A49" s="436"/>
      <c r="B49" s="14" t="s">
        <v>1044</v>
      </c>
      <c r="C49" s="14"/>
      <c r="D49" s="2"/>
      <c r="E49" s="14"/>
      <c r="F49" s="14"/>
      <c r="G49" s="14"/>
      <c r="H49" s="99"/>
      <c r="I49" s="98"/>
      <c r="J49" s="4"/>
      <c r="K49" s="4"/>
      <c r="L49" s="98"/>
      <c r="M49" s="98"/>
      <c r="N49" s="94"/>
      <c r="O49" s="94"/>
      <c r="P49" s="14"/>
      <c r="Q49" s="14"/>
      <c r="R49" s="14"/>
      <c r="S49" s="14"/>
      <c r="W49" s="2134"/>
      <c r="X49" s="494"/>
    </row>
    <row r="50" spans="1:24" s="102" customFormat="1" ht="12" customHeight="1" x14ac:dyDescent="0.2">
      <c r="A50" s="436"/>
      <c r="B50" s="14"/>
      <c r="C50" s="14"/>
      <c r="D50" s="94"/>
      <c r="E50" s="898"/>
      <c r="F50" s="14"/>
      <c r="G50" s="14"/>
      <c r="H50" s="99"/>
      <c r="I50" s="98" t="s">
        <v>804</v>
      </c>
      <c r="J50" s="2515"/>
      <c r="K50" s="2515"/>
      <c r="L50" s="2516" t="s">
        <v>970</v>
      </c>
      <c r="M50" s="2516"/>
      <c r="N50" s="2517"/>
      <c r="O50" s="2517"/>
      <c r="P50" s="14"/>
      <c r="Q50" s="14"/>
      <c r="R50" s="14"/>
      <c r="S50" s="14"/>
      <c r="W50" s="2142"/>
      <c r="X50" s="494"/>
    </row>
    <row r="51" spans="1:24" s="102" customFormat="1" ht="9" customHeight="1" x14ac:dyDescent="0.2">
      <c r="A51" s="436"/>
      <c r="B51" s="14"/>
      <c r="C51" s="14"/>
      <c r="D51" s="2"/>
      <c r="E51" s="14"/>
      <c r="F51" s="14"/>
      <c r="G51" s="14"/>
      <c r="H51" s="99"/>
      <c r="I51" s="98"/>
      <c r="J51" s="4"/>
      <c r="K51" s="4"/>
      <c r="L51" s="98"/>
      <c r="M51" s="98"/>
      <c r="N51" s="94"/>
      <c r="O51" s="94"/>
      <c r="P51" s="14"/>
      <c r="Q51" s="14"/>
      <c r="R51" s="14"/>
      <c r="S51" s="14"/>
      <c r="W51" s="2142"/>
      <c r="X51" s="494"/>
    </row>
    <row r="52" spans="1:24" s="102" customFormat="1" ht="12.75" customHeight="1" x14ac:dyDescent="0.2">
      <c r="A52" s="436"/>
      <c r="B52" s="14" t="str">
        <f>CONCATENATE("Do the fiscal year ",+TEXT(Data!$A$6,"yyyy")," principal requirements (including debt with interest rate swaps on 320) agree with")</f>
        <v>Do the fiscal year 2023 principal requirements (including debt with interest rate swaps on 320) agree with</v>
      </c>
      <c r="C52" s="14"/>
      <c r="D52" s="2"/>
      <c r="E52" s="14"/>
      <c r="F52" s="14"/>
      <c r="G52" s="14"/>
      <c r="H52" s="99"/>
      <c r="I52" s="98"/>
      <c r="J52" s="4"/>
      <c r="K52" s="4"/>
      <c r="L52" s="98"/>
      <c r="M52" s="98"/>
      <c r="N52" s="94"/>
      <c r="O52" s="94"/>
      <c r="P52" s="14"/>
      <c r="Q52" s="14"/>
      <c r="R52" s="14"/>
      <c r="S52" s="14"/>
      <c r="W52" s="2142"/>
      <c r="X52" s="494"/>
    </row>
    <row r="53" spans="1:24" s="102" customFormat="1" ht="12.75" customHeight="1" x14ac:dyDescent="0.2">
      <c r="A53" s="436"/>
      <c r="B53" s="102" t="s">
        <v>1005</v>
      </c>
      <c r="C53" s="14"/>
      <c r="D53" s="2"/>
      <c r="E53" s="14"/>
      <c r="F53" s="14"/>
      <c r="G53" s="14"/>
      <c r="H53" s="99"/>
      <c r="I53" s="98"/>
      <c r="J53" s="4"/>
      <c r="K53" s="4"/>
      <c r="L53" s="98"/>
      <c r="M53" s="98"/>
      <c r="N53" s="94"/>
      <c r="O53" s="94"/>
      <c r="P53" s="14"/>
      <c r="Q53" s="14"/>
      <c r="R53" s="14"/>
      <c r="S53" s="14"/>
      <c r="W53" s="2142"/>
      <c r="X53" s="494"/>
    </row>
    <row r="54" spans="1:24" s="102" customFormat="1" ht="12.75" customHeight="1" x14ac:dyDescent="0.2">
      <c r="A54" s="436"/>
      <c r="B54" s="15" t="s">
        <v>1315</v>
      </c>
      <c r="C54" s="14"/>
      <c r="D54" s="2"/>
      <c r="E54" s="14"/>
      <c r="F54" s="14"/>
      <c r="G54" s="14"/>
      <c r="H54" s="99"/>
      <c r="I54" s="98"/>
      <c r="J54" s="4"/>
      <c r="K54" s="4"/>
      <c r="L54" s="98"/>
      <c r="M54" s="98"/>
      <c r="N54" s="94"/>
      <c r="O54" s="94"/>
      <c r="P54" s="14"/>
      <c r="Q54" s="14"/>
      <c r="R54" s="14"/>
      <c r="S54" s="14"/>
      <c r="W54" s="2142"/>
      <c r="X54" s="494"/>
    </row>
    <row r="55" spans="1:24" s="102" customFormat="1" ht="12" customHeight="1" x14ac:dyDescent="0.2">
      <c r="A55" s="436"/>
      <c r="B55" s="14"/>
      <c r="C55" s="14"/>
      <c r="D55" s="94"/>
      <c r="E55" s="898"/>
      <c r="F55" s="14"/>
      <c r="H55" s="99"/>
      <c r="I55" s="98" t="s">
        <v>804</v>
      </c>
      <c r="J55" s="2515"/>
      <c r="K55" s="2515"/>
      <c r="L55" s="2516" t="s">
        <v>970</v>
      </c>
      <c r="M55" s="2516"/>
      <c r="N55" s="2517"/>
      <c r="O55" s="2517"/>
      <c r="P55" s="14"/>
      <c r="Q55" s="14"/>
      <c r="R55" s="14"/>
      <c r="S55" s="14"/>
      <c r="W55" s="2142"/>
      <c r="X55" s="494"/>
    </row>
    <row r="56" spans="1:24" s="102" customFormat="1" ht="6" customHeight="1" x14ac:dyDescent="0.2">
      <c r="A56" s="436"/>
      <c r="B56" s="14"/>
      <c r="C56" s="14"/>
      <c r="D56" s="94"/>
      <c r="E56" s="14"/>
      <c r="F56" s="14"/>
      <c r="G56" s="95"/>
      <c r="H56" s="99"/>
      <c r="I56" s="98"/>
      <c r="J56" s="4"/>
      <c r="K56" s="4"/>
      <c r="L56" s="98"/>
      <c r="M56" s="98"/>
      <c r="N56" s="94"/>
      <c r="O56" s="94"/>
      <c r="P56" s="14"/>
      <c r="Q56" s="14"/>
      <c r="R56" s="14"/>
      <c r="S56" s="14"/>
      <c r="W56" s="2142"/>
      <c r="X56" s="494"/>
    </row>
    <row r="57" spans="1:24" s="102" customFormat="1" ht="12.75" customHeight="1" x14ac:dyDescent="0.2">
      <c r="A57" s="436"/>
      <c r="C57" s="2530" t="s">
        <v>1320</v>
      </c>
      <c r="D57" s="2530"/>
      <c r="E57" s="2530"/>
      <c r="F57" s="2520"/>
      <c r="G57" s="2520"/>
      <c r="H57" s="2520"/>
      <c r="I57" s="2520"/>
      <c r="J57" s="2520"/>
      <c r="K57" s="2520"/>
      <c r="L57" s="2520"/>
      <c r="M57" s="2520"/>
      <c r="N57" s="2520"/>
      <c r="O57" s="2520"/>
      <c r="P57" s="2520"/>
      <c r="Q57" s="14"/>
      <c r="R57" s="14"/>
      <c r="S57" s="14"/>
      <c r="W57" s="2142"/>
      <c r="X57" s="494"/>
    </row>
    <row r="58" spans="1:24" s="102" customFormat="1" ht="12.75" customHeight="1" x14ac:dyDescent="0.2">
      <c r="A58" s="436"/>
      <c r="B58" s="14"/>
      <c r="C58" s="2520"/>
      <c r="D58" s="2520"/>
      <c r="E58" s="2520"/>
      <c r="F58" s="2520"/>
      <c r="G58" s="2520"/>
      <c r="H58" s="2520"/>
      <c r="I58" s="2520"/>
      <c r="J58" s="2520"/>
      <c r="K58" s="2520"/>
      <c r="L58" s="2520"/>
      <c r="M58" s="2520"/>
      <c r="N58" s="2520"/>
      <c r="O58" s="2520"/>
      <c r="P58" s="2520"/>
      <c r="Q58" s="14"/>
      <c r="R58" s="14"/>
      <c r="S58" s="14"/>
      <c r="W58" s="2142"/>
      <c r="X58" s="494"/>
    </row>
    <row r="59" spans="1:24" s="102" customFormat="1" ht="9" customHeight="1" x14ac:dyDescent="0.2">
      <c r="A59" s="436"/>
      <c r="B59" s="14"/>
      <c r="C59" s="14"/>
      <c r="D59" s="2"/>
      <c r="E59" s="14"/>
      <c r="F59" s="14"/>
      <c r="G59" s="14"/>
      <c r="H59" s="99"/>
      <c r="I59" s="98"/>
      <c r="J59" s="4"/>
      <c r="K59" s="4"/>
      <c r="L59" s="98"/>
      <c r="M59" s="98"/>
      <c r="N59" s="94"/>
      <c r="O59" s="94"/>
      <c r="P59" s="14"/>
      <c r="Q59" s="14"/>
      <c r="R59" s="14"/>
      <c r="S59" s="14"/>
      <c r="W59" s="2142"/>
      <c r="X59" s="494"/>
    </row>
    <row r="60" spans="1:24" s="102" customFormat="1" ht="12.75" customHeight="1" x14ac:dyDescent="0.2">
      <c r="A60" s="436"/>
      <c r="B60" s="14" t="s">
        <v>1317</v>
      </c>
      <c r="C60" s="14"/>
      <c r="D60" s="2"/>
      <c r="E60" s="14"/>
      <c r="F60" s="14"/>
      <c r="G60" s="14"/>
      <c r="H60" s="99"/>
      <c r="I60" s="98"/>
      <c r="J60" s="4"/>
      <c r="K60" s="4"/>
      <c r="L60" s="98"/>
      <c r="M60" s="98"/>
      <c r="N60" s="94"/>
      <c r="O60" s="94"/>
      <c r="P60" s="14"/>
      <c r="Q60" s="14"/>
      <c r="R60" s="14"/>
      <c r="S60" s="14"/>
      <c r="W60" s="2142"/>
      <c r="X60" s="494"/>
    </row>
    <row r="61" spans="1:24" s="102" customFormat="1" ht="12" customHeight="1" x14ac:dyDescent="0.2">
      <c r="A61" s="436"/>
      <c r="B61" s="15" t="s">
        <v>1318</v>
      </c>
      <c r="C61" s="14"/>
      <c r="D61" s="2"/>
      <c r="E61" s="14"/>
      <c r="F61" s="14"/>
      <c r="G61" s="14"/>
      <c r="H61" s="99"/>
      <c r="I61" s="98" t="s">
        <v>804</v>
      </c>
      <c r="J61" s="2515"/>
      <c r="K61" s="2515"/>
      <c r="L61" s="2516" t="s">
        <v>970</v>
      </c>
      <c r="M61" s="2516"/>
      <c r="N61" s="2517"/>
      <c r="O61" s="2517"/>
      <c r="P61" s="14"/>
      <c r="Q61" s="14"/>
      <c r="R61" s="14"/>
      <c r="S61" s="14"/>
      <c r="W61" s="2142"/>
      <c r="X61" s="494"/>
    </row>
    <row r="62" spans="1:24" s="102" customFormat="1" ht="15" customHeight="1" x14ac:dyDescent="0.2">
      <c r="A62" s="436"/>
      <c r="C62" s="14" t="s">
        <v>1314</v>
      </c>
      <c r="D62" s="94"/>
      <c r="E62" s="94"/>
      <c r="F62" s="94"/>
      <c r="G62" s="94"/>
      <c r="H62" s="99"/>
      <c r="I62" s="434"/>
      <c r="J62" s="905"/>
      <c r="K62" s="905"/>
      <c r="L62" s="98"/>
      <c r="M62" s="98"/>
      <c r="N62" s="902"/>
      <c r="O62" s="902"/>
      <c r="P62" s="14"/>
      <c r="Q62" s="14"/>
      <c r="R62" s="14"/>
      <c r="S62" s="14"/>
      <c r="W62" s="2142"/>
      <c r="X62" s="494"/>
    </row>
    <row r="63" spans="1:24" s="102" customFormat="1" ht="6" customHeight="1" x14ac:dyDescent="0.2">
      <c r="A63" s="436"/>
      <c r="B63" s="14"/>
      <c r="C63" s="14"/>
      <c r="D63" s="2"/>
      <c r="E63" s="14"/>
      <c r="F63" s="14"/>
      <c r="G63" s="14"/>
      <c r="H63" s="99"/>
      <c r="I63" s="98"/>
      <c r="J63" s="904"/>
      <c r="K63" s="904"/>
      <c r="L63" s="98"/>
      <c r="M63" s="98"/>
      <c r="N63" s="902"/>
      <c r="O63" s="902"/>
      <c r="P63" s="14"/>
      <c r="Q63" s="14"/>
      <c r="R63" s="14"/>
      <c r="S63" s="14"/>
      <c r="W63" s="2142"/>
      <c r="X63" s="494"/>
    </row>
    <row r="64" spans="1:24" s="102" customFormat="1" ht="8.1" customHeight="1" thickBot="1" x14ac:dyDescent="0.25">
      <c r="A64" s="436"/>
      <c r="B64" s="432"/>
      <c r="C64" s="432"/>
      <c r="D64" s="432"/>
      <c r="E64" s="432"/>
      <c r="F64" s="432"/>
      <c r="G64" s="432"/>
      <c r="H64" s="432"/>
      <c r="I64" s="432"/>
      <c r="J64" s="432"/>
      <c r="K64" s="432"/>
      <c r="L64" s="432"/>
      <c r="M64" s="432"/>
      <c r="N64" s="432"/>
      <c r="O64" s="432"/>
      <c r="P64" s="432"/>
      <c r="Q64" s="14"/>
      <c r="R64" s="14"/>
      <c r="S64" s="14"/>
      <c r="W64" s="2142"/>
      <c r="X64" s="494"/>
    </row>
    <row r="65" spans="1:24" s="102" customFormat="1" ht="7.35" customHeight="1" x14ac:dyDescent="0.2">
      <c r="A65" s="436"/>
      <c r="B65" s="14"/>
      <c r="C65" s="14"/>
      <c r="D65" s="14"/>
      <c r="E65" s="14"/>
      <c r="F65" s="14"/>
      <c r="G65" s="14"/>
      <c r="H65" s="14"/>
      <c r="I65" s="14"/>
      <c r="J65" s="14"/>
      <c r="K65" s="14"/>
      <c r="L65" s="14"/>
      <c r="M65" s="14"/>
      <c r="N65" s="14"/>
      <c r="O65" s="14"/>
      <c r="P65" s="14"/>
      <c r="Q65" s="14"/>
      <c r="R65" s="14"/>
      <c r="S65" s="14"/>
      <c r="W65" s="2142"/>
      <c r="X65" s="494"/>
    </row>
    <row r="66" spans="1:24" s="102" customFormat="1" ht="12" customHeight="1" x14ac:dyDescent="0.2">
      <c r="A66" s="436"/>
      <c r="B66" s="2" t="s">
        <v>1728</v>
      </c>
      <c r="C66" s="2"/>
      <c r="D66" s="14"/>
      <c r="E66" s="14"/>
      <c r="F66" s="14"/>
      <c r="G66" s="14"/>
      <c r="H66" s="14"/>
      <c r="I66" s="14"/>
      <c r="J66" s="14"/>
      <c r="K66" s="14"/>
      <c r="L66" s="14"/>
      <c r="M66" s="14"/>
      <c r="N66" s="14"/>
      <c r="O66" s="14"/>
      <c r="P66" s="14"/>
      <c r="Q66" s="14"/>
      <c r="R66" s="14"/>
      <c r="S66" s="14"/>
      <c r="W66" s="2142"/>
      <c r="X66" s="494"/>
    </row>
    <row r="67" spans="1:24" s="102" customFormat="1" ht="15" customHeight="1" x14ac:dyDescent="0.2">
      <c r="A67" s="436"/>
      <c r="B67" s="2518" t="s">
        <v>3442</v>
      </c>
      <c r="C67" s="2519"/>
      <c r="D67" s="2519"/>
      <c r="E67" s="2519"/>
      <c r="F67" s="2519"/>
      <c r="G67" s="2519"/>
      <c r="H67" s="2519"/>
      <c r="I67" s="2519"/>
      <c r="J67" s="2519"/>
      <c r="K67" s="901"/>
      <c r="L67" s="901"/>
      <c r="M67" s="901"/>
      <c r="N67" s="901"/>
      <c r="O67" s="901"/>
      <c r="P67" s="901"/>
      <c r="Q67" s="14"/>
      <c r="R67" s="14"/>
      <c r="S67" s="14"/>
      <c r="W67" s="2142"/>
      <c r="X67" s="494"/>
    </row>
    <row r="68" spans="1:24" s="102" customFormat="1" ht="12" customHeight="1" x14ac:dyDescent="0.2">
      <c r="A68" s="436"/>
      <c r="B68" s="14"/>
      <c r="C68" s="14"/>
      <c r="D68" s="14"/>
      <c r="E68" s="14"/>
      <c r="F68" s="14"/>
      <c r="G68" s="14"/>
      <c r="H68" s="14"/>
      <c r="I68" s="98" t="s">
        <v>804</v>
      </c>
      <c r="J68" s="2515"/>
      <c r="K68" s="2515"/>
      <c r="L68" s="2516" t="s">
        <v>970</v>
      </c>
      <c r="M68" s="2516"/>
      <c r="N68" s="2517"/>
      <c r="O68" s="2517"/>
      <c r="P68" s="14"/>
      <c r="Q68" s="14"/>
      <c r="R68" s="14"/>
      <c r="S68" s="14"/>
      <c r="W68" s="2142"/>
      <c r="X68" s="494"/>
    </row>
    <row r="69" spans="1:24" s="102" customFormat="1" ht="8.1" customHeight="1" x14ac:dyDescent="0.2">
      <c r="A69" s="436"/>
      <c r="B69" s="14"/>
      <c r="C69" s="14"/>
      <c r="D69" s="14"/>
      <c r="E69" s="14"/>
      <c r="F69" s="14"/>
      <c r="G69" s="14"/>
      <c r="H69" s="14"/>
      <c r="I69" s="98"/>
      <c r="J69" s="4"/>
      <c r="K69" s="4"/>
      <c r="L69" s="98"/>
      <c r="M69" s="98"/>
      <c r="N69" s="94"/>
      <c r="O69" s="94"/>
      <c r="P69" s="14"/>
      <c r="Q69" s="14"/>
      <c r="R69" s="14"/>
      <c r="S69" s="14"/>
      <c r="W69" s="2142"/>
      <c r="X69" s="494"/>
    </row>
    <row r="70" spans="1:24" s="102" customFormat="1" ht="12" customHeight="1" x14ac:dyDescent="0.2">
      <c r="A70" s="436"/>
      <c r="B70" s="15" t="s">
        <v>1729</v>
      </c>
      <c r="C70" s="14"/>
      <c r="D70" s="14"/>
      <c r="E70" s="14"/>
      <c r="F70" s="14"/>
      <c r="G70" s="14"/>
      <c r="H70" s="14"/>
      <c r="I70" s="98"/>
      <c r="J70" s="4"/>
      <c r="K70" s="4"/>
      <c r="L70" s="98"/>
      <c r="M70" s="98"/>
      <c r="N70" s="94"/>
      <c r="O70" s="94"/>
      <c r="P70" s="14"/>
      <c r="Q70" s="14"/>
      <c r="R70" s="14"/>
      <c r="S70" s="14"/>
      <c r="W70" s="2142"/>
      <c r="X70" s="494"/>
    </row>
    <row r="71" spans="1:24" s="102" customFormat="1" ht="12" customHeight="1" x14ac:dyDescent="0.2">
      <c r="A71" s="436"/>
      <c r="B71" s="272" t="s">
        <v>1816</v>
      </c>
      <c r="C71" s="2"/>
      <c r="D71" s="14"/>
      <c r="E71" s="14"/>
      <c r="F71" s="14"/>
      <c r="G71" s="14"/>
      <c r="H71" s="14"/>
      <c r="I71" s="433"/>
      <c r="J71" s="433"/>
      <c r="K71" s="433"/>
      <c r="L71" s="433"/>
      <c r="M71" s="433"/>
      <c r="N71" s="14"/>
      <c r="O71" s="433"/>
      <c r="P71" s="14"/>
      <c r="Q71" s="14"/>
      <c r="R71" s="14"/>
      <c r="S71" s="14"/>
      <c r="W71" s="2142"/>
      <c r="X71" s="494"/>
    </row>
    <row r="72" spans="1:24" ht="15" customHeight="1" x14ac:dyDescent="0.2">
      <c r="W72" s="2142"/>
    </row>
    <row r="73" spans="1:24" ht="12.75" x14ac:dyDescent="0.2">
      <c r="W73" s="2142"/>
    </row>
    <row r="75" spans="1:24" s="440" customFormat="1" ht="15" x14ac:dyDescent="0.2">
      <c r="A75" s="443" t="str">
        <f ca="1">MID(CELL("filename",A1),FIND("]",CELL("filename",A1))+1,256)</f>
        <v>315</v>
      </c>
      <c r="B75" s="443" t="s">
        <v>449</v>
      </c>
      <c r="W75" s="2149"/>
      <c r="X75" s="2150"/>
    </row>
    <row r="76" spans="1:24" s="440" customFormat="1" ht="15" x14ac:dyDescent="0.2">
      <c r="A76" s="443" t="s">
        <v>446</v>
      </c>
      <c r="B76" s="443" t="str">
        <f t="shared" ref="B76:B85" ca="1" si="4">IF(ISNA(INDEX(ErrorTable,MATCH($A$75&amp;$A76&amp;FALSE,ErrorKey,0),6)),"",INDEX(ErrorTable,MATCH($A$75&amp;$A76&amp;FALSE,ErrorKey,0),6))</f>
        <v/>
      </c>
      <c r="W76" s="2149"/>
      <c r="X76" s="2150"/>
    </row>
    <row r="77" spans="1:24" s="440" customFormat="1" ht="15" x14ac:dyDescent="0.2">
      <c r="A77" s="443" t="s">
        <v>447</v>
      </c>
      <c r="B77" s="443" t="str">
        <f t="shared" ca="1" si="4"/>
        <v/>
      </c>
      <c r="W77" s="2151"/>
      <c r="X77" s="2150"/>
    </row>
    <row r="78" spans="1:24" s="440" customFormat="1" ht="15" x14ac:dyDescent="0.2">
      <c r="A78" s="443" t="s">
        <v>448</v>
      </c>
      <c r="B78" s="443" t="str">
        <f ca="1">IF(ISNA(INDEX(ErrorTable,MATCH($A$75&amp;$A78&amp;FALSE,ErrorKey,0),6)),"",INDEX(ErrorTable,MATCH($A$75&amp;$A78&amp;FALSE,ErrorKey,0),6))</f>
        <v/>
      </c>
      <c r="W78" s="2151"/>
      <c r="X78" s="2150"/>
    </row>
    <row r="79" spans="1:24" s="440" customFormat="1" ht="15" x14ac:dyDescent="0.2">
      <c r="A79" s="443" t="s">
        <v>450</v>
      </c>
      <c r="B79" s="443" t="str">
        <f ca="1">IF(ISNA(INDEX(ErrorTable,MATCH($A$75&amp;$A79&amp;FALSE,ErrorKey,0),6)),"",INDEX(ErrorTable,MATCH($A$75&amp;$A79&amp;FALSE,ErrorKey,0),6))</f>
        <v>Original issue amount is blank.</v>
      </c>
      <c r="W79" s="2151"/>
      <c r="X79" s="2150"/>
    </row>
    <row r="80" spans="1:24" s="440" customFormat="1" ht="15" x14ac:dyDescent="0.2">
      <c r="A80" s="443" t="s">
        <v>451</v>
      </c>
      <c r="B80" s="443" t="str">
        <f ca="1">IF(ISNA(INDEX(ErrorTable,MATCH($A$75&amp;$A80&amp;FALSE,ErrorKey,0),6)),"",INDEX(ErrorTable,MATCH($A$75&amp;$A80&amp;FALSE,ErrorKey,0),6))</f>
        <v>"From" interest rate is blank.</v>
      </c>
      <c r="W80" s="2151"/>
      <c r="X80" s="2150"/>
    </row>
    <row r="81" spans="1:24" s="440" customFormat="1" ht="15" x14ac:dyDescent="0.2">
      <c r="A81" s="443" t="s">
        <v>452</v>
      </c>
      <c r="B81" s="443" t="str">
        <f ca="1">IF(ISNA(INDEX(ErrorTable,MATCH($A$75&amp;$A81&amp;FALSE,ErrorKey,0),6)),"",INDEX(ErrorTable,MATCH($A$75&amp;$A81&amp;FALSE,ErrorKey,0),6))</f>
        <v>"To" interest rate is blank.</v>
      </c>
      <c r="W81" s="2151"/>
      <c r="X81" s="2150"/>
    </row>
    <row r="82" spans="1:24" s="440" customFormat="1" ht="15" x14ac:dyDescent="0.2">
      <c r="A82" s="443" t="s">
        <v>453</v>
      </c>
      <c r="B82" s="443" t="str">
        <f ca="1">IF(ISNA(INDEX(ErrorTable,MATCH($A$75&amp;$A82&amp;FALSE,ErrorKey,0),6)),"",INDEX(ErrorTable,MATCH($A$75&amp;$A82&amp;FALSE,ErrorKey,0),6))</f>
        <v>Final maturity date is blank.</v>
      </c>
      <c r="W82" s="2151"/>
      <c r="X82" s="2150"/>
    </row>
    <row r="83" spans="1:24" s="440" customFormat="1" ht="15" x14ac:dyDescent="0.2">
      <c r="A83" s="443" t="s">
        <v>454</v>
      </c>
      <c r="B83" s="443" t="str">
        <f t="shared" ca="1" si="4"/>
        <v/>
      </c>
      <c r="W83" s="2151"/>
      <c r="X83" s="2150"/>
    </row>
    <row r="84" spans="1:24" s="440" customFormat="1" ht="15" x14ac:dyDescent="0.2">
      <c r="A84" s="443" t="s">
        <v>455</v>
      </c>
      <c r="B84" s="443" t="str">
        <f t="shared" ca="1" si="4"/>
        <v/>
      </c>
      <c r="W84" s="2151"/>
      <c r="X84" s="2150"/>
    </row>
    <row r="85" spans="1:24" s="440" customFormat="1" ht="15" x14ac:dyDescent="0.2">
      <c r="A85" s="443" t="s">
        <v>456</v>
      </c>
      <c r="B85" s="443" t="str">
        <f t="shared" ca="1" si="4"/>
        <v/>
      </c>
      <c r="W85" s="2151"/>
      <c r="X85" s="2150"/>
    </row>
    <row r="86" spans="1:24" s="440" customFormat="1" ht="15" x14ac:dyDescent="0.2">
      <c r="A86" s="443"/>
      <c r="W86" s="2151"/>
      <c r="X86" s="2150"/>
    </row>
    <row r="87" spans="1:24" s="440" customFormat="1" ht="15" x14ac:dyDescent="0.2">
      <c r="A87" s="443"/>
      <c r="W87" s="2151"/>
      <c r="X87" s="2150"/>
    </row>
    <row r="88" spans="1:24" s="440" customFormat="1" ht="15" x14ac:dyDescent="0.2">
      <c r="A88" s="443"/>
      <c r="W88" s="2151"/>
      <c r="X88" s="2150"/>
    </row>
    <row r="89" spans="1:24" s="440" customFormat="1" ht="15" x14ac:dyDescent="0.2">
      <c r="A89" s="443"/>
      <c r="W89" s="2151"/>
      <c r="X89" s="2150"/>
    </row>
    <row r="90" spans="1:24" s="440" customFormat="1" ht="15" x14ac:dyDescent="0.2">
      <c r="A90" s="443"/>
      <c r="W90" s="2151"/>
      <c r="X90" s="2150"/>
    </row>
    <row r="91" spans="1:24" s="440" customFormat="1" ht="15" x14ac:dyDescent="0.2">
      <c r="A91" s="443"/>
      <c r="W91" s="2151"/>
      <c r="X91" s="2150"/>
    </row>
    <row r="92" spans="1:24" s="440" customFormat="1" ht="15" x14ac:dyDescent="0.2">
      <c r="A92" s="443"/>
      <c r="W92" s="2151"/>
      <c r="X92" s="2150"/>
    </row>
    <row r="93" spans="1:24" s="440" customFormat="1" ht="15" x14ac:dyDescent="0.2">
      <c r="A93" s="443"/>
      <c r="W93" s="2151"/>
      <c r="X93" s="2150"/>
    </row>
    <row r="94" spans="1:24" s="440" customFormat="1" ht="15" x14ac:dyDescent="0.2">
      <c r="A94" s="443"/>
      <c r="W94" s="2151"/>
      <c r="X94" s="2150"/>
    </row>
    <row r="95" spans="1:24" s="440" customFormat="1" ht="15" x14ac:dyDescent="0.2">
      <c r="A95" s="443"/>
      <c r="W95" s="2151"/>
      <c r="X95" s="2150"/>
    </row>
    <row r="96" spans="1:24" s="440" customFormat="1" ht="15" x14ac:dyDescent="0.2">
      <c r="A96" s="443"/>
      <c r="W96" s="2151"/>
      <c r="X96" s="2150"/>
    </row>
    <row r="97" spans="1:24" s="440" customFormat="1" ht="15" x14ac:dyDescent="0.2">
      <c r="A97" s="443"/>
      <c r="W97" s="2151"/>
      <c r="X97" s="2150"/>
    </row>
    <row r="98" spans="1:24" s="440" customFormat="1" ht="15" x14ac:dyDescent="0.2">
      <c r="A98" s="443"/>
      <c r="W98" s="2151"/>
      <c r="X98" s="2150"/>
    </row>
    <row r="99" spans="1:24" s="440" customFormat="1" ht="15" x14ac:dyDescent="0.2">
      <c r="A99" s="443"/>
      <c r="W99" s="2151"/>
      <c r="X99" s="2150"/>
    </row>
    <row r="100" spans="1:24" s="440" customFormat="1" ht="15" x14ac:dyDescent="0.2">
      <c r="A100" s="443"/>
      <c r="W100" s="2151"/>
      <c r="X100" s="2150"/>
    </row>
    <row r="101" spans="1:24" s="440" customFormat="1" ht="15" x14ac:dyDescent="0.2">
      <c r="A101" s="443"/>
      <c r="W101" s="2151"/>
      <c r="X101" s="2150"/>
    </row>
    <row r="102" spans="1:24" s="440" customFormat="1" ht="15" x14ac:dyDescent="0.2">
      <c r="A102" s="443"/>
      <c r="W102" s="2151"/>
      <c r="X102" s="2150"/>
    </row>
    <row r="103" spans="1:24" s="440" customFormat="1" ht="15" x14ac:dyDescent="0.2">
      <c r="A103" s="443"/>
      <c r="W103" s="2151"/>
      <c r="X103" s="2150"/>
    </row>
    <row r="104" spans="1:24" s="440" customFormat="1" ht="15" x14ac:dyDescent="0.2">
      <c r="A104" s="443"/>
      <c r="W104" s="2151"/>
      <c r="X104" s="2150"/>
    </row>
    <row r="105" spans="1:24" ht="15" x14ac:dyDescent="0.2">
      <c r="W105" s="2151"/>
    </row>
    <row r="106" spans="1:24" ht="15" x14ac:dyDescent="0.2">
      <c r="W106" s="2151"/>
    </row>
  </sheetData>
  <sheetProtection algorithmName="SHA-512" hashValue="JkaqUH3Ep/A2hukB8egV44tzeKsj0pO6sKMhbISFKRt84D0qY2BNd7vuc2rCXcdXgMRqkwmLHb4L/w2Gsfg1hQ==" saltValue="S4W2yCE6uuFFj2B8fKoIlw==" spinCount="100000" sheet="1" objects="1" scenarios="1" autoFilter="0"/>
  <customSheetViews>
    <customSheetView guid="{B08879A4-635B-4C39-9937-AC7883D562FC}" showGridLines="0" fitToPage="1" hiddenRows="1" hiddenColumns="1" topLeftCell="B29">
      <selection activeCell="L78" sqref="L78"/>
      <pageMargins left="0.7" right="0.5" top="0.5" bottom="0.5" header="0.5" footer="0.3"/>
      <pageSetup scale="98" orientation="portrait" r:id="rId1"/>
      <headerFooter alignWithMargins="0">
        <oddFooter>&amp;R&amp;A</oddFooter>
      </headerFooter>
    </customSheetView>
    <customSheetView guid="{9FCFC836-1CA5-48BF-958D-24D2EA94B219}" showGridLines="0" fitToPage="1" hiddenRows="1" hiddenColumns="1" topLeftCell="B29">
      <selection activeCell="L78" sqref="L78"/>
      <pageMargins left="0.7" right="0.5" top="0.5" bottom="0.5" header="0.5" footer="0.3"/>
      <pageSetup scale="98" orientation="portrait" r:id="rId2"/>
      <headerFooter alignWithMargins="0">
        <oddFooter>&amp;R&amp;A</oddFooter>
      </headerFooter>
    </customSheetView>
  </customSheetViews>
  <mergeCells count="36">
    <mergeCell ref="K38:P40"/>
    <mergeCell ref="K41:M41"/>
    <mergeCell ref="N41:P41"/>
    <mergeCell ref="K36:P36"/>
    <mergeCell ref="N42:P42"/>
    <mergeCell ref="K42:M42"/>
    <mergeCell ref="K46:P46"/>
    <mergeCell ref="K44:P45"/>
    <mergeCell ref="L55:M55"/>
    <mergeCell ref="N55:O55"/>
    <mergeCell ref="C57:E57"/>
    <mergeCell ref="J55:K55"/>
    <mergeCell ref="J68:K68"/>
    <mergeCell ref="L68:M68"/>
    <mergeCell ref="N68:O68"/>
    <mergeCell ref="J50:K50"/>
    <mergeCell ref="L50:M50"/>
    <mergeCell ref="L61:M61"/>
    <mergeCell ref="N61:O61"/>
    <mergeCell ref="J61:K61"/>
    <mergeCell ref="B67:J67"/>
    <mergeCell ref="F57:P57"/>
    <mergeCell ref="C58:P58"/>
    <mergeCell ref="N50:O50"/>
    <mergeCell ref="Q1:Q3"/>
    <mergeCell ref="K33:P35"/>
    <mergeCell ref="I7:P7"/>
    <mergeCell ref="I8:P8"/>
    <mergeCell ref="I9:P9"/>
    <mergeCell ref="B1:P1"/>
    <mergeCell ref="B2:P2"/>
    <mergeCell ref="B3:P3"/>
    <mergeCell ref="B4:P4"/>
    <mergeCell ref="G6:P6"/>
    <mergeCell ref="I10:P10"/>
    <mergeCell ref="B5:P5"/>
  </mergeCells>
  <phoneticPr fontId="15" type="noConversion"/>
  <conditionalFormatting sqref="Q1:Q3">
    <cfRule type="cellIs" dxfId="137" priority="1" stopIfTrue="1" operator="equal">
      <formula>"na"</formula>
    </cfRule>
  </conditionalFormatting>
  <dataValidations count="4">
    <dataValidation type="decimal" operator="greaterThanOrEqual" allowBlank="1" showInputMessage="1" showErrorMessage="1" errorTitle="Invalid amount!" error="Amount must be positive." sqref="G33:G45 I33:I45 K36:P36 K42:P42" xr:uid="{00000000-0002-0000-0E00-000000000000}">
      <formula1>0</formula1>
    </dataValidation>
    <dataValidation type="textLength" operator="equal" allowBlank="1" showErrorMessage="1" errorTitle="Invalid input!" error="Enter a single x." sqref="D15 D23 D17 D19 D21 D25:D29" xr:uid="{00000000-0002-0000-0E00-000001000000}">
      <formula1>1</formula1>
    </dataValidation>
    <dataValidation type="list" showInputMessage="1" showErrorMessage="1" sqref="Q50" xr:uid="{00000000-0002-0000-0E00-000002000000}">
      <formula1>$V$41:$V$44</formula1>
    </dataValidation>
    <dataValidation type="list" allowBlank="1" showInputMessage="1" showErrorMessage="1" sqref="E8" xr:uid="{78B44C8A-BE2C-4252-AE8F-3BE16C65714E}">
      <formula1>"GovtAct,BTAAct"</formula1>
    </dataValidation>
  </dataValidations>
  <hyperlinks>
    <hyperlink ref="B1:P1" location="Index!A1" display="Index!A1" xr:uid="{00000000-0004-0000-0E00-000000000000}"/>
  </hyperlinks>
  <pageMargins left="0.7" right="0.5" top="0.5" bottom="0.5" header="0.5" footer="0.3"/>
  <pageSetup scale="86" orientation="portrait" r:id="rId3"/>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6">
    <pageSetUpPr fitToPage="1"/>
  </sheetPr>
  <dimension ref="A1:AG82"/>
  <sheetViews>
    <sheetView showGridLines="0" topLeftCell="B1" zoomScaleNormal="100" workbookViewId="0">
      <selection activeCell="E8" sqref="E8"/>
    </sheetView>
  </sheetViews>
  <sheetFormatPr defaultColWidth="9.42578125" defaultRowHeight="11.25" x14ac:dyDescent="0.2"/>
  <cols>
    <col min="1" max="1" width="9.42578125" style="442" hidden="1" customWidth="1"/>
    <col min="2" max="2" width="1.5703125" style="19" customWidth="1"/>
    <col min="3" max="3" width="6.5703125" style="19" customWidth="1"/>
    <col min="4" max="4" width="5.5703125" style="19" customWidth="1"/>
    <col min="5" max="5" width="11" style="19" customWidth="1"/>
    <col min="6" max="6" width="3.5703125" style="19" customWidth="1"/>
    <col min="7" max="7" width="15.5703125" style="19" customWidth="1"/>
    <col min="8" max="8" width="1.5703125" style="19" customWidth="1"/>
    <col min="9" max="9" width="15.5703125" style="19" customWidth="1"/>
    <col min="10" max="10" width="1.5703125" style="19" customWidth="1"/>
    <col min="11" max="11" width="15.5703125" style="19" customWidth="1"/>
    <col min="12" max="12" width="1.5703125" style="19" customWidth="1"/>
    <col min="13" max="18" width="3.42578125" style="19" customWidth="1"/>
    <col min="19" max="19" width="4.5703125" style="19" customWidth="1"/>
    <col min="20" max="20" width="0" style="19" hidden="1" customWidth="1"/>
    <col min="21" max="22" width="9.42578125" style="442" hidden="1" customWidth="1"/>
    <col min="23" max="16384" width="9.42578125" style="19"/>
  </cols>
  <sheetData>
    <row r="1" spans="1:33" s="16" customFormat="1" ht="15" customHeight="1" x14ac:dyDescent="0.25">
      <c r="A1" s="441"/>
      <c r="B1" s="2449" t="str">
        <f>+Index!$A$1</f>
        <v xml:space="preserve">                                                               Office of the State Controller                                                                </v>
      </c>
      <c r="C1" s="2449"/>
      <c r="D1" s="2449"/>
      <c r="E1" s="2449"/>
      <c r="F1" s="2449"/>
      <c r="G1" s="2449"/>
      <c r="H1" s="2449"/>
      <c r="I1" s="2449"/>
      <c r="J1" s="2449"/>
      <c r="K1" s="2449"/>
      <c r="L1" s="2449"/>
      <c r="M1" s="2449"/>
      <c r="N1" s="2449"/>
      <c r="O1" s="2449"/>
      <c r="P1" s="2449"/>
      <c r="Q1" s="2449"/>
      <c r="R1" s="2449"/>
      <c r="S1" s="2510" t="str">
        <f>IF(Index!$B$33="na","NA","")</f>
        <v/>
      </c>
      <c r="U1" s="441"/>
      <c r="V1" s="441"/>
      <c r="AG1" s="17"/>
    </row>
    <row r="2" spans="1:33" s="16" customFormat="1" ht="15" customHeight="1" x14ac:dyDescent="0.25">
      <c r="A2" s="441"/>
      <c r="B2" s="2508" t="str">
        <f>+Index!$A$2</f>
        <v>2022 ACFR Worksheets</v>
      </c>
      <c r="C2" s="2508"/>
      <c r="D2" s="2508"/>
      <c r="E2" s="2508"/>
      <c r="F2" s="2508"/>
      <c r="G2" s="2508"/>
      <c r="H2" s="2508"/>
      <c r="I2" s="2508"/>
      <c r="J2" s="2508"/>
      <c r="K2" s="2508"/>
      <c r="L2" s="2508"/>
      <c r="M2" s="2508"/>
      <c r="N2" s="2508"/>
      <c r="O2" s="2508"/>
      <c r="P2" s="2508"/>
      <c r="Q2" s="2508"/>
      <c r="R2" s="2508"/>
      <c r="S2" s="2510"/>
      <c r="U2" s="441"/>
      <c r="V2" s="441"/>
    </row>
    <row r="3" spans="1:33" s="16" customFormat="1" ht="15" customHeight="1" x14ac:dyDescent="0.25">
      <c r="A3" s="441"/>
      <c r="B3" s="2508" t="s">
        <v>3501</v>
      </c>
      <c r="C3" s="2508"/>
      <c r="D3" s="2508"/>
      <c r="E3" s="2508"/>
      <c r="F3" s="2508"/>
      <c r="G3" s="2508"/>
      <c r="H3" s="2508"/>
      <c r="I3" s="2508"/>
      <c r="J3" s="2508"/>
      <c r="K3" s="2508"/>
      <c r="L3" s="2508"/>
      <c r="M3" s="2508"/>
      <c r="N3" s="2508"/>
      <c r="O3" s="2508"/>
      <c r="P3" s="2508"/>
      <c r="Q3" s="2508"/>
      <c r="R3" s="2508"/>
      <c r="S3" s="2510"/>
      <c r="U3" s="441"/>
      <c r="V3" s="441"/>
    </row>
    <row r="4" spans="1:33" s="16" customFormat="1" ht="15" customHeight="1" x14ac:dyDescent="0.25">
      <c r="A4" s="441"/>
      <c r="B4" s="2508" t="s">
        <v>4712</v>
      </c>
      <c r="C4" s="2508"/>
      <c r="D4" s="2508"/>
      <c r="E4" s="2508"/>
      <c r="F4" s="2508"/>
      <c r="G4" s="2508"/>
      <c r="H4" s="2508"/>
      <c r="I4" s="2508"/>
      <c r="J4" s="2508"/>
      <c r="K4" s="2508"/>
      <c r="L4" s="2508"/>
      <c r="M4" s="2508"/>
      <c r="N4" s="2508"/>
      <c r="O4" s="2508"/>
      <c r="P4" s="2508"/>
      <c r="Q4" s="2508"/>
      <c r="R4" s="2508"/>
      <c r="S4" s="18"/>
      <c r="U4" s="441"/>
      <c r="V4" s="441"/>
    </row>
    <row r="5" spans="1:33" s="16" customFormat="1" ht="15" customHeight="1" x14ac:dyDescent="0.25">
      <c r="A5" s="441"/>
      <c r="B5" s="2508" t="s">
        <v>4711</v>
      </c>
      <c r="C5" s="2508"/>
      <c r="D5" s="2508"/>
      <c r="E5" s="2508"/>
      <c r="F5" s="2508"/>
      <c r="G5" s="2508"/>
      <c r="H5" s="2508"/>
      <c r="I5" s="2508"/>
      <c r="J5" s="2508"/>
      <c r="K5" s="2508"/>
      <c r="L5" s="2508"/>
      <c r="M5" s="2508"/>
      <c r="N5" s="2508"/>
      <c r="O5" s="2508"/>
      <c r="P5" s="2508"/>
      <c r="Q5" s="429"/>
      <c r="R5" s="429"/>
      <c r="S5" s="18"/>
      <c r="U5" s="441"/>
      <c r="V5" s="441"/>
    </row>
    <row r="6" spans="1:33" s="102" customFormat="1" ht="12" customHeight="1" x14ac:dyDescent="0.2">
      <c r="A6" s="436"/>
      <c r="J6" s="870" t="s">
        <v>3500</v>
      </c>
      <c r="L6" s="870"/>
      <c r="M6" s="870"/>
      <c r="N6" s="870"/>
      <c r="O6" s="870"/>
      <c r="P6" s="870"/>
      <c r="Q6" s="870"/>
      <c r="R6" s="870"/>
      <c r="U6" s="436"/>
      <c r="V6" s="436"/>
      <c r="W6" s="494"/>
      <c r="X6" s="494"/>
      <c r="Y6" s="494"/>
    </row>
    <row r="7" spans="1:33" s="102" customFormat="1" ht="12" customHeight="1" x14ac:dyDescent="0.2">
      <c r="A7" s="436"/>
      <c r="E7" s="202"/>
      <c r="H7" s="103" t="s">
        <v>327</v>
      </c>
      <c r="I7" s="2488" t="str">
        <f>+Index!$E$10</f>
        <v>01</v>
      </c>
      <c r="J7" s="2488"/>
      <c r="K7" s="2488"/>
      <c r="L7" s="2488"/>
      <c r="M7" s="2488"/>
      <c r="N7" s="2488"/>
      <c r="O7" s="2488"/>
      <c r="P7" s="2488"/>
      <c r="Q7" s="2488"/>
      <c r="R7" s="2488"/>
      <c r="S7" s="25"/>
      <c r="U7" s="436"/>
      <c r="V7" s="436"/>
      <c r="W7" s="494"/>
      <c r="X7" s="494"/>
      <c r="Y7" s="494"/>
    </row>
    <row r="8" spans="1:33" s="102" customFormat="1" ht="12" customHeight="1" x14ac:dyDescent="0.2">
      <c r="A8" s="436"/>
      <c r="C8" s="2148" t="s">
        <v>5049</v>
      </c>
      <c r="D8" s="494"/>
      <c r="E8" s="2207" t="s">
        <v>5050</v>
      </c>
      <c r="H8" s="103" t="s">
        <v>1154</v>
      </c>
      <c r="I8" s="2512" t="str">
        <f>+Index!$E$11</f>
        <v>North Carolina General Assembly</v>
      </c>
      <c r="J8" s="2512"/>
      <c r="K8" s="2512"/>
      <c r="L8" s="2512"/>
      <c r="M8" s="2512"/>
      <c r="N8" s="2512"/>
      <c r="O8" s="2512"/>
      <c r="P8" s="2512"/>
      <c r="Q8" s="2512"/>
      <c r="R8" s="2512"/>
      <c r="S8" s="25"/>
      <c r="U8" s="436"/>
      <c r="V8" s="436"/>
      <c r="W8" s="494"/>
      <c r="X8" s="494"/>
      <c r="Y8" s="494"/>
    </row>
    <row r="9" spans="1:33" s="102" customFormat="1" ht="12" customHeight="1" x14ac:dyDescent="0.2">
      <c r="A9" s="436"/>
      <c r="B9" s="102" t="s">
        <v>477</v>
      </c>
      <c r="E9" s="106" t="s">
        <v>256</v>
      </c>
      <c r="H9" s="103" t="s">
        <v>972</v>
      </c>
      <c r="I9" s="2513" t="str">
        <f>CONCATENATE(Index!$E$12," ",Index!$E$14)</f>
        <v xml:space="preserve"> </v>
      </c>
      <c r="J9" s="2513"/>
      <c r="K9" s="2513"/>
      <c r="L9" s="2513"/>
      <c r="M9" s="2513"/>
      <c r="N9" s="2513"/>
      <c r="O9" s="2513"/>
      <c r="P9" s="2513"/>
      <c r="Q9" s="2513"/>
      <c r="R9" s="2513"/>
      <c r="S9" s="25"/>
      <c r="U9" s="436"/>
      <c r="V9" s="436"/>
      <c r="W9" s="494"/>
      <c r="X9" s="494"/>
      <c r="Y9" s="494"/>
    </row>
    <row r="10" spans="1:33" s="102" customFormat="1" ht="12" customHeight="1" x14ac:dyDescent="0.2">
      <c r="A10" s="436"/>
      <c r="E10" s="202"/>
      <c r="H10" s="103" t="s">
        <v>348</v>
      </c>
      <c r="I10" s="2513">
        <f>+Index!$E$13</f>
        <v>0</v>
      </c>
      <c r="J10" s="2513"/>
      <c r="K10" s="2513"/>
      <c r="L10" s="2513"/>
      <c r="M10" s="2513"/>
      <c r="N10" s="2513"/>
      <c r="O10" s="2513"/>
      <c r="P10" s="2513"/>
      <c r="Q10" s="2513"/>
      <c r="R10" s="2513"/>
      <c r="S10" s="25"/>
      <c r="U10" s="436"/>
      <c r="V10" s="436"/>
      <c r="W10" s="494"/>
      <c r="X10" s="494"/>
      <c r="Y10" s="494"/>
    </row>
    <row r="11" spans="1:33" s="102" customFormat="1" ht="6.75" customHeight="1" thickBot="1" x14ac:dyDescent="0.25">
      <c r="A11" s="436"/>
      <c r="B11" s="107"/>
      <c r="C11" s="107"/>
      <c r="D11" s="107"/>
      <c r="E11" s="107"/>
      <c r="F11" s="107"/>
      <c r="G11" s="107"/>
      <c r="H11" s="107"/>
      <c r="I11" s="107"/>
      <c r="J11" s="107"/>
      <c r="K11" s="107"/>
      <c r="L11" s="107"/>
      <c r="M11" s="107"/>
      <c r="N11" s="107"/>
      <c r="O11" s="107"/>
      <c r="P11" s="107"/>
      <c r="Q11" s="107"/>
      <c r="R11" s="107"/>
      <c r="U11" s="436"/>
      <c r="V11" s="436"/>
      <c r="W11" s="494"/>
      <c r="X11" s="494"/>
      <c r="Y11" s="494"/>
    </row>
    <row r="12" spans="1:33" s="102" customFormat="1" ht="14.1" customHeight="1" x14ac:dyDescent="0.2">
      <c r="A12" s="436"/>
      <c r="U12" s="436"/>
      <c r="V12" s="436"/>
      <c r="W12" s="494"/>
      <c r="X12" s="494"/>
      <c r="Y12" s="494"/>
    </row>
    <row r="13" spans="1:33" s="102" customFormat="1" ht="12" customHeight="1" x14ac:dyDescent="0.2">
      <c r="A13" s="436">
        <f>SUM(A15:A31)</f>
        <v>0</v>
      </c>
      <c r="B13" s="109" t="s">
        <v>796</v>
      </c>
      <c r="C13" s="14"/>
      <c r="D13" s="14"/>
      <c r="E13" s="14"/>
      <c r="F13" s="14"/>
      <c r="G13" s="14"/>
      <c r="H13" s="14"/>
      <c r="I13" s="14"/>
      <c r="J13" s="14"/>
      <c r="K13" s="14"/>
      <c r="L13" s="14"/>
      <c r="M13" s="14"/>
      <c r="N13" s="14"/>
      <c r="O13" s="14"/>
      <c r="P13" s="14"/>
      <c r="Q13" s="14"/>
      <c r="R13" s="14"/>
      <c r="S13" s="14"/>
      <c r="T13" s="14"/>
      <c r="U13" s="438"/>
      <c r="V13" s="436"/>
      <c r="W13" s="494"/>
      <c r="X13" s="494"/>
      <c r="Y13" s="2148" t="s">
        <v>5048</v>
      </c>
    </row>
    <row r="14" spans="1:33" s="102" customFormat="1" ht="12" customHeight="1" thickBot="1" x14ac:dyDescent="0.25">
      <c r="A14" s="436"/>
      <c r="B14" s="109"/>
      <c r="C14" s="14"/>
      <c r="D14" s="14"/>
      <c r="E14" s="14"/>
      <c r="F14" s="14"/>
      <c r="G14" s="14"/>
      <c r="H14" s="14"/>
      <c r="I14" s="14"/>
      <c r="J14" s="14"/>
      <c r="K14" s="14"/>
      <c r="L14" s="14"/>
      <c r="M14" s="14"/>
      <c r="N14" s="14"/>
      <c r="O14" s="14"/>
      <c r="P14" s="14"/>
      <c r="Q14" s="14"/>
      <c r="R14" s="14"/>
      <c r="S14" s="14"/>
      <c r="T14" s="14"/>
      <c r="U14" s="438"/>
      <c r="V14" s="436"/>
      <c r="W14" s="494"/>
      <c r="X14" s="494"/>
      <c r="Y14" s="494"/>
    </row>
    <row r="15" spans="1:33" s="102" customFormat="1" ht="12.75" customHeight="1" thickBot="1" x14ac:dyDescent="0.25">
      <c r="A15" s="436" t="str">
        <f>IF(ISBLANK(D15)," ",C15)</f>
        <v xml:space="preserve"> </v>
      </c>
      <c r="B15" s="14"/>
      <c r="C15" s="259"/>
      <c r="D15" s="1586"/>
      <c r="E15" s="2" t="s">
        <v>201</v>
      </c>
      <c r="F15" s="14"/>
      <c r="G15" s="14"/>
      <c r="H15" s="14"/>
      <c r="I15" s="14"/>
      <c r="J15" s="14"/>
      <c r="K15" s="14"/>
      <c r="L15" s="14"/>
      <c r="M15" s="14"/>
      <c r="N15" s="14"/>
      <c r="O15" s="14"/>
      <c r="P15" s="14"/>
      <c r="Q15" s="14"/>
      <c r="R15" s="14"/>
      <c r="S15" s="14"/>
      <c r="T15" s="14"/>
      <c r="U15" s="438"/>
      <c r="V15" s="436"/>
      <c r="W15" s="2131" t="str">
        <f>IF(D15="X","22610100","")</f>
        <v/>
      </c>
      <c r="X15" s="494"/>
      <c r="Y15" s="494"/>
    </row>
    <row r="16" spans="1:33" s="102" customFormat="1" ht="6" customHeight="1" thickBot="1" x14ac:dyDescent="0.25">
      <c r="A16" s="436"/>
      <c r="B16" s="14"/>
      <c r="C16" s="259"/>
      <c r="D16" s="14"/>
      <c r="E16" s="14"/>
      <c r="F16" s="14"/>
      <c r="G16" s="14"/>
      <c r="H16" s="14"/>
      <c r="I16" s="14"/>
      <c r="J16" s="14"/>
      <c r="K16" s="14"/>
      <c r="L16" s="14"/>
      <c r="M16" s="14"/>
      <c r="N16" s="14"/>
      <c r="O16" s="14"/>
      <c r="P16" s="14"/>
      <c r="Q16" s="14"/>
      <c r="R16" s="14"/>
      <c r="S16" s="14"/>
      <c r="T16" s="14"/>
      <c r="U16" s="438"/>
      <c r="V16" s="436"/>
      <c r="W16" s="2131"/>
      <c r="X16" s="494"/>
      <c r="Y16" s="494"/>
    </row>
    <row r="17" spans="1:25" s="102" customFormat="1" ht="12.75" customHeight="1" thickBot="1" x14ac:dyDescent="0.25">
      <c r="A17" s="436" t="str">
        <f>IF(ISBLANK(D17)," ",C17)</f>
        <v xml:space="preserve"> </v>
      </c>
      <c r="B17" s="14"/>
      <c r="C17" s="259"/>
      <c r="D17" s="1586"/>
      <c r="E17" s="2" t="s">
        <v>481</v>
      </c>
      <c r="F17" s="14"/>
      <c r="G17" s="14"/>
      <c r="H17" s="14"/>
      <c r="I17" s="14"/>
      <c r="J17" s="14"/>
      <c r="K17" s="14"/>
      <c r="L17" s="14"/>
      <c r="M17" s="14"/>
      <c r="N17" s="14"/>
      <c r="O17" s="14"/>
      <c r="P17" s="14"/>
      <c r="Q17" s="14"/>
      <c r="R17" s="14"/>
      <c r="S17" s="14"/>
      <c r="T17" s="14"/>
      <c r="U17" s="438"/>
      <c r="V17" s="436"/>
      <c r="W17" s="2131" t="str">
        <f>IF(D17="X","22610000","")</f>
        <v/>
      </c>
      <c r="X17" s="494"/>
      <c r="Y17" s="494"/>
    </row>
    <row r="18" spans="1:25" s="102" customFormat="1" ht="6" customHeight="1" thickBot="1" x14ac:dyDescent="0.25">
      <c r="A18" s="436"/>
      <c r="B18" s="14"/>
      <c r="C18" s="259"/>
      <c r="D18" s="14"/>
      <c r="E18" s="14"/>
      <c r="F18" s="14"/>
      <c r="G18" s="14"/>
      <c r="H18" s="14"/>
      <c r="I18" s="14"/>
      <c r="J18" s="14"/>
      <c r="K18" s="14"/>
      <c r="L18" s="14"/>
      <c r="M18" s="14"/>
      <c r="N18" s="14"/>
      <c r="O18" s="14"/>
      <c r="P18" s="14"/>
      <c r="Q18" s="14"/>
      <c r="R18" s="14"/>
      <c r="S18" s="14"/>
      <c r="T18" s="14"/>
      <c r="U18" s="438"/>
      <c r="V18" s="436"/>
      <c r="W18" s="2131"/>
      <c r="X18" s="494"/>
      <c r="Y18" s="494"/>
    </row>
    <row r="19" spans="1:25" s="102" customFormat="1" ht="12.75" customHeight="1" thickBot="1" x14ac:dyDescent="0.25">
      <c r="A19" s="436" t="str">
        <f>IF(ISBLANK(D19)," ",C19)</f>
        <v xml:space="preserve"> </v>
      </c>
      <c r="B19" s="14"/>
      <c r="C19" s="259"/>
      <c r="D19" s="1586"/>
      <c r="E19" s="2" t="s">
        <v>193</v>
      </c>
      <c r="F19" s="14"/>
      <c r="H19" s="14"/>
      <c r="I19" s="14"/>
      <c r="J19" s="14"/>
      <c r="K19" s="14"/>
      <c r="L19" s="14"/>
      <c r="M19" s="14"/>
      <c r="N19" s="14"/>
      <c r="O19" s="14"/>
      <c r="P19" s="14"/>
      <c r="Q19" s="14"/>
      <c r="R19" s="14"/>
      <c r="S19" s="14"/>
      <c r="T19" s="14"/>
      <c r="U19" s="438"/>
      <c r="V19" s="436"/>
      <c r="W19" s="2131" t="str">
        <f>IF(D19="X","22610300","")</f>
        <v/>
      </c>
      <c r="X19" s="494"/>
      <c r="Y19" s="494"/>
    </row>
    <row r="20" spans="1:25" s="102" customFormat="1" ht="6.75" customHeight="1" thickBot="1" x14ac:dyDescent="0.25">
      <c r="A20" s="436"/>
      <c r="B20" s="14"/>
      <c r="C20" s="14"/>
      <c r="D20" s="14"/>
      <c r="E20" s="14"/>
      <c r="F20" s="14"/>
      <c r="G20" s="438"/>
      <c r="H20" s="438"/>
      <c r="I20" s="438"/>
      <c r="J20" s="438"/>
      <c r="K20" s="438"/>
      <c r="L20" s="4"/>
      <c r="M20" s="14"/>
      <c r="N20" s="14"/>
      <c r="O20" s="14"/>
      <c r="P20" s="14"/>
      <c r="Q20" s="14"/>
      <c r="R20" s="14"/>
      <c r="S20" s="14"/>
      <c r="T20" s="14"/>
      <c r="U20" s="438"/>
      <c r="V20" s="436"/>
      <c r="W20" s="2131"/>
      <c r="X20" s="494"/>
      <c r="Y20" s="494"/>
    </row>
    <row r="21" spans="1:25" s="102" customFormat="1" ht="12.75" customHeight="1" thickBot="1" x14ac:dyDescent="0.25">
      <c r="A21" s="436"/>
      <c r="B21" s="14"/>
      <c r="C21" s="259"/>
      <c r="D21" s="1586"/>
      <c r="E21" s="2" t="s">
        <v>1129</v>
      </c>
      <c r="F21" s="14"/>
      <c r="G21" s="438"/>
      <c r="H21" s="438"/>
      <c r="I21" s="438"/>
      <c r="J21" s="438"/>
      <c r="K21" s="438"/>
      <c r="L21" s="4"/>
      <c r="M21" s="14"/>
      <c r="N21" s="14"/>
      <c r="O21" s="14"/>
      <c r="P21" s="14"/>
      <c r="Q21" s="14"/>
      <c r="R21" s="14"/>
      <c r="S21" s="14"/>
      <c r="T21" s="14"/>
      <c r="U21" s="438"/>
      <c r="V21" s="436"/>
      <c r="W21" s="2131" t="str">
        <f>IF(D21="X","22610500","")</f>
        <v/>
      </c>
      <c r="X21" s="494"/>
      <c r="Y21" s="494"/>
    </row>
    <row r="22" spans="1:25" s="102" customFormat="1" ht="6" customHeight="1" thickBot="1" x14ac:dyDescent="0.25">
      <c r="A22" s="436"/>
      <c r="B22" s="14"/>
      <c r="C22" s="14"/>
      <c r="D22" s="14"/>
      <c r="E22" s="14"/>
      <c r="F22" s="14"/>
      <c r="G22" s="438"/>
      <c r="H22" s="438"/>
      <c r="I22" s="438"/>
      <c r="J22" s="438"/>
      <c r="K22" s="438"/>
      <c r="L22" s="4"/>
      <c r="M22" s="14"/>
      <c r="N22" s="14"/>
      <c r="O22" s="14"/>
      <c r="P22" s="14"/>
      <c r="Q22" s="14"/>
      <c r="R22" s="14"/>
      <c r="S22" s="14"/>
      <c r="T22" s="14"/>
      <c r="U22" s="438"/>
      <c r="V22" s="436"/>
      <c r="W22" s="2131"/>
      <c r="X22" s="494"/>
      <c r="Y22" s="494"/>
    </row>
    <row r="23" spans="1:25" s="102" customFormat="1" ht="12.75" customHeight="1" thickBot="1" x14ac:dyDescent="0.25">
      <c r="A23" s="436"/>
      <c r="B23" s="14"/>
      <c r="C23" s="259"/>
      <c r="D23" s="1586"/>
      <c r="E23" s="2" t="s">
        <v>1302</v>
      </c>
      <c r="F23" s="14"/>
      <c r="G23" s="438"/>
      <c r="H23" s="438"/>
      <c r="I23" s="438"/>
      <c r="J23" s="438"/>
      <c r="K23" s="438"/>
      <c r="L23" s="4"/>
      <c r="M23" s="14"/>
      <c r="N23" s="14"/>
      <c r="O23" s="14"/>
      <c r="P23" s="14"/>
      <c r="Q23" s="14"/>
      <c r="R23" s="14"/>
      <c r="S23" s="14"/>
      <c r="T23" s="14"/>
      <c r="U23" s="438"/>
      <c r="V23" s="436"/>
      <c r="W23" s="2131" t="str">
        <f>IF(D23="X","22610600","")</f>
        <v/>
      </c>
      <c r="X23" s="494"/>
      <c r="Y23" s="494"/>
    </row>
    <row r="24" spans="1:25" s="102" customFormat="1" ht="6" customHeight="1" thickBot="1" x14ac:dyDescent="0.25">
      <c r="A24" s="436"/>
      <c r="B24" s="14"/>
      <c r="C24" s="259"/>
      <c r="D24" s="1833"/>
      <c r="E24" s="2"/>
      <c r="F24" s="14"/>
      <c r="G24" s="438"/>
      <c r="H24" s="438"/>
      <c r="I24" s="438"/>
      <c r="J24" s="438"/>
      <c r="K24" s="438"/>
      <c r="L24" s="4"/>
      <c r="M24" s="14"/>
      <c r="N24" s="14"/>
      <c r="O24" s="14"/>
      <c r="P24" s="14"/>
      <c r="Q24" s="14"/>
      <c r="R24" s="14"/>
      <c r="S24" s="14"/>
      <c r="T24" s="14"/>
      <c r="U24" s="438"/>
      <c r="V24" s="436"/>
      <c r="W24" s="2131"/>
      <c r="X24" s="494"/>
      <c r="Y24" s="494"/>
    </row>
    <row r="25" spans="1:25" s="102" customFormat="1" ht="12.75" customHeight="1" thickBot="1" x14ac:dyDescent="0.25">
      <c r="A25" s="436"/>
      <c r="B25" s="14"/>
      <c r="C25" s="259"/>
      <c r="D25" s="1586"/>
      <c r="E25" s="2" t="s">
        <v>4597</v>
      </c>
      <c r="F25" s="14"/>
      <c r="G25" s="14"/>
      <c r="H25" s="14"/>
      <c r="I25" s="94"/>
      <c r="J25" s="438"/>
      <c r="K25" s="438"/>
      <c r="L25" s="4"/>
      <c r="M25" s="14"/>
      <c r="N25" s="14"/>
      <c r="O25" s="14"/>
      <c r="P25" s="14"/>
      <c r="Q25" s="14"/>
      <c r="R25" s="14"/>
      <c r="S25" s="14"/>
      <c r="T25" s="14"/>
      <c r="U25" s="438"/>
      <c r="V25" s="436"/>
      <c r="W25" s="2131" t="str">
        <f>IF(D25="X","22320000","")</f>
        <v/>
      </c>
      <c r="X25" s="494"/>
      <c r="Y25" s="494"/>
    </row>
    <row r="26" spans="1:25" s="102" customFormat="1" ht="6" customHeight="1" thickBot="1" x14ac:dyDescent="0.25">
      <c r="A26" s="436"/>
      <c r="B26" s="14"/>
      <c r="C26" s="259"/>
      <c r="D26" s="1833"/>
      <c r="E26" s="665"/>
      <c r="F26" s="14"/>
      <c r="G26" s="14"/>
      <c r="H26" s="14"/>
      <c r="I26" s="94"/>
      <c r="J26" s="438"/>
      <c r="K26" s="438"/>
      <c r="L26" s="4"/>
      <c r="M26" s="14"/>
      <c r="N26" s="14"/>
      <c r="O26" s="14"/>
      <c r="P26" s="14"/>
      <c r="Q26" s="14"/>
      <c r="R26" s="14"/>
      <c r="S26" s="14"/>
      <c r="T26" s="14"/>
      <c r="U26" s="438"/>
      <c r="V26" s="436"/>
      <c r="W26" s="2142"/>
      <c r="X26" s="494"/>
      <c r="Y26" s="494"/>
    </row>
    <row r="27" spans="1:25" s="102" customFormat="1" ht="12.75" customHeight="1" thickBot="1" x14ac:dyDescent="0.25">
      <c r="A27" s="436"/>
      <c r="B27" s="14"/>
      <c r="C27" s="259"/>
      <c r="D27" s="1586"/>
      <c r="E27" s="2" t="s">
        <v>4713</v>
      </c>
      <c r="F27" s="14"/>
      <c r="G27" s="14"/>
      <c r="H27" s="14"/>
      <c r="I27" s="94"/>
      <c r="J27" s="14"/>
      <c r="K27" s="4"/>
      <c r="L27" s="4"/>
      <c r="M27" s="14"/>
      <c r="N27" s="14"/>
      <c r="O27" s="14"/>
      <c r="P27" s="14"/>
      <c r="Q27" s="14"/>
      <c r="R27" s="14"/>
      <c r="S27" s="14"/>
      <c r="T27" s="14"/>
      <c r="U27" s="438"/>
      <c r="V27" s="436"/>
      <c r="W27" s="2142" t="str">
        <f>IF(D27="X","22610400","")</f>
        <v/>
      </c>
      <c r="X27" s="494"/>
      <c r="Y27" s="494"/>
    </row>
    <row r="28" spans="1:25" s="102" customFormat="1" ht="12.75" customHeight="1" x14ac:dyDescent="0.2">
      <c r="A28" s="436"/>
      <c r="B28" s="14"/>
      <c r="C28" s="259"/>
      <c r="D28" s="1833"/>
      <c r="E28" s="2"/>
      <c r="F28" s="14"/>
      <c r="G28" s="14"/>
      <c r="H28" s="14"/>
      <c r="I28" s="94"/>
      <c r="J28" s="14"/>
      <c r="K28" s="4"/>
      <c r="L28" s="4"/>
      <c r="M28" s="14"/>
      <c r="N28" s="14"/>
      <c r="O28" s="14"/>
      <c r="P28" s="14"/>
      <c r="Q28" s="14"/>
      <c r="R28" s="14"/>
      <c r="S28" s="14"/>
      <c r="T28" s="14"/>
      <c r="U28" s="438"/>
      <c r="V28" s="436"/>
      <c r="W28" s="2142"/>
      <c r="X28" s="494"/>
      <c r="Y28" s="494"/>
    </row>
    <row r="29" spans="1:25" s="102" customFormat="1" ht="12.75" customHeight="1" x14ac:dyDescent="0.2">
      <c r="A29" s="436"/>
      <c r="B29" s="14"/>
      <c r="C29" s="259"/>
      <c r="D29" s="1833"/>
      <c r="E29" s="2"/>
      <c r="F29" s="14"/>
      <c r="G29" s="14"/>
      <c r="H29" s="14"/>
      <c r="I29" s="94"/>
      <c r="J29" s="14"/>
      <c r="K29" s="4"/>
      <c r="L29" s="4"/>
      <c r="M29" s="14"/>
      <c r="N29" s="14"/>
      <c r="O29" s="14"/>
      <c r="P29" s="14"/>
      <c r="Q29" s="14"/>
      <c r="R29" s="14"/>
      <c r="S29" s="14"/>
      <c r="T29" s="14"/>
      <c r="U29" s="438"/>
      <c r="V29" s="436"/>
      <c r="W29" s="2142"/>
      <c r="X29" s="494"/>
      <c r="Y29" s="494"/>
    </row>
    <row r="30" spans="1:25" s="102" customFormat="1" ht="12.75" customHeight="1" x14ac:dyDescent="0.2">
      <c r="A30" s="436"/>
      <c r="B30" s="14"/>
      <c r="C30" s="259"/>
      <c r="D30" s="1833"/>
      <c r="E30" s="2"/>
      <c r="F30" s="14"/>
      <c r="G30" s="2152" t="s">
        <v>5045</v>
      </c>
      <c r="H30" s="2152"/>
      <c r="I30" s="2152" t="s">
        <v>5046</v>
      </c>
      <c r="J30" s="2131"/>
      <c r="K30" s="2131" t="s">
        <v>5047</v>
      </c>
      <c r="L30" s="4"/>
      <c r="M30" s="14"/>
      <c r="N30" s="14"/>
      <c r="O30" s="14"/>
      <c r="P30" s="14"/>
      <c r="Q30" s="14"/>
      <c r="R30" s="14"/>
      <c r="S30" s="14"/>
      <c r="T30" s="14"/>
      <c r="U30" s="438"/>
      <c r="V30" s="436"/>
      <c r="W30" s="2142"/>
      <c r="X30" s="494"/>
      <c r="Y30" s="494"/>
    </row>
    <row r="31" spans="1:25" s="102" customFormat="1" ht="12" customHeight="1" x14ac:dyDescent="0.2">
      <c r="A31" s="436"/>
      <c r="B31" s="14"/>
      <c r="C31" s="14"/>
      <c r="D31" s="14"/>
      <c r="E31" s="14"/>
      <c r="F31" s="14"/>
      <c r="G31" s="14"/>
      <c r="H31" s="14"/>
      <c r="I31" s="14"/>
      <c r="J31" s="14"/>
      <c r="K31" s="4" t="s">
        <v>368</v>
      </c>
      <c r="L31" s="4"/>
      <c r="M31" s="14"/>
      <c r="N31" s="14"/>
      <c r="O31" s="14"/>
      <c r="P31" s="14"/>
      <c r="Q31" s="14"/>
      <c r="R31" s="14"/>
      <c r="S31" s="14"/>
      <c r="T31" s="14"/>
      <c r="U31" s="438"/>
      <c r="V31" s="436"/>
      <c r="W31" s="494"/>
      <c r="X31" s="494"/>
      <c r="Y31" s="494"/>
    </row>
    <row r="32" spans="1:25" s="102" customFormat="1" ht="12" customHeight="1" x14ac:dyDescent="0.2">
      <c r="A32" s="436"/>
      <c r="B32" s="14"/>
      <c r="C32" s="14"/>
      <c r="D32" s="14"/>
      <c r="E32" s="26" t="s">
        <v>802</v>
      </c>
      <c r="G32" s="26" t="s">
        <v>261</v>
      </c>
      <c r="H32" s="14"/>
      <c r="I32" s="26" t="s">
        <v>509</v>
      </c>
      <c r="J32" s="4"/>
      <c r="K32" s="26" t="s">
        <v>369</v>
      </c>
      <c r="L32" s="4"/>
      <c r="M32" s="4"/>
      <c r="N32" s="4"/>
      <c r="O32" s="4"/>
      <c r="P32" s="14"/>
      <c r="Q32" s="14"/>
      <c r="S32" s="14"/>
      <c r="T32" s="438"/>
      <c r="U32" s="438">
        <f>LARGE(U33:U45,1)</f>
        <v>0</v>
      </c>
      <c r="V32" s="438">
        <f>LARGE(V33:V45,1)</f>
        <v>0</v>
      </c>
      <c r="W32" s="494"/>
      <c r="X32" s="494"/>
      <c r="Y32" s="494"/>
    </row>
    <row r="33" spans="1:25" s="102" customFormat="1" ht="14.85" customHeight="1" x14ac:dyDescent="0.2">
      <c r="A33" s="436">
        <v>1</v>
      </c>
      <c r="B33" s="14"/>
      <c r="C33" s="14"/>
      <c r="D33" s="100">
        <f>+E33</f>
        <v>2023</v>
      </c>
      <c r="E33" s="437">
        <f>+YEAR(Data!$A$2)+1</f>
        <v>2023</v>
      </c>
      <c r="G33" s="434"/>
      <c r="H33" s="105"/>
      <c r="I33" s="434"/>
      <c r="J33" s="105"/>
      <c r="K33" s="434"/>
      <c r="L33" s="105"/>
      <c r="M33" s="2538" t="s">
        <v>736</v>
      </c>
      <c r="N33" s="2539"/>
      <c r="O33" s="2539"/>
      <c r="P33" s="2539"/>
      <c r="Q33" s="2539"/>
      <c r="R33" s="2540"/>
      <c r="S33" s="14"/>
      <c r="T33" s="439">
        <f>SUM($G33:$G$45)</f>
        <v>0</v>
      </c>
      <c r="U33" s="438">
        <f>IF($T33&gt;0,$D33,0)</f>
        <v>0</v>
      </c>
      <c r="V33" s="438">
        <f>IF($T33&gt;0,$D33,0)</f>
        <v>0</v>
      </c>
      <c r="W33" s="2134" t="s">
        <v>5024</v>
      </c>
      <c r="X33" s="494"/>
      <c r="Y33" s="494"/>
    </row>
    <row r="34" spans="1:25" s="102" customFormat="1" ht="14.85" customHeight="1" x14ac:dyDescent="0.2">
      <c r="A34" s="436">
        <v>2</v>
      </c>
      <c r="B34" s="14"/>
      <c r="C34" s="14"/>
      <c r="D34" s="100">
        <f>+E34</f>
        <v>2024</v>
      </c>
      <c r="E34" s="437">
        <f>E33+1</f>
        <v>2024</v>
      </c>
      <c r="G34" s="434"/>
      <c r="H34" s="105"/>
      <c r="I34" s="434"/>
      <c r="J34" s="105"/>
      <c r="K34" s="434"/>
      <c r="L34" s="105"/>
      <c r="M34" s="2541"/>
      <c r="N34" s="2542"/>
      <c r="O34" s="2542"/>
      <c r="P34" s="2542"/>
      <c r="Q34" s="2542"/>
      <c r="R34" s="2543"/>
      <c r="S34" s="14"/>
      <c r="T34" s="439">
        <f>SUM($G34:$G$45)</f>
        <v>0</v>
      </c>
      <c r="U34" s="438">
        <f t="shared" ref="U34:V45" si="0">IF($T34&gt;0,$D34,0)</f>
        <v>0</v>
      </c>
      <c r="V34" s="438">
        <f t="shared" si="0"/>
        <v>0</v>
      </c>
      <c r="W34" s="2134" t="s">
        <v>5025</v>
      </c>
      <c r="X34" s="494"/>
      <c r="Y34" s="494"/>
    </row>
    <row r="35" spans="1:25" s="102" customFormat="1" ht="14.85" customHeight="1" x14ac:dyDescent="0.2">
      <c r="A35" s="436">
        <v>3</v>
      </c>
      <c r="B35" s="14"/>
      <c r="C35" s="14"/>
      <c r="D35" s="100">
        <f>+E35</f>
        <v>2025</v>
      </c>
      <c r="E35" s="437">
        <f>E34+1</f>
        <v>2025</v>
      </c>
      <c r="G35" s="434"/>
      <c r="H35" s="105"/>
      <c r="I35" s="434"/>
      <c r="J35" s="105"/>
      <c r="K35" s="434"/>
      <c r="L35" s="105"/>
      <c r="M35" s="2544"/>
      <c r="N35" s="2545"/>
      <c r="O35" s="2545"/>
      <c r="P35" s="2545"/>
      <c r="Q35" s="2545"/>
      <c r="R35" s="2546"/>
      <c r="S35" s="14"/>
      <c r="T35" s="439">
        <f>SUM($G35:$G$45)</f>
        <v>0</v>
      </c>
      <c r="U35" s="438">
        <f t="shared" si="0"/>
        <v>0</v>
      </c>
      <c r="V35" s="438">
        <f t="shared" si="0"/>
        <v>0</v>
      </c>
      <c r="W35" s="2134" t="s">
        <v>5026</v>
      </c>
      <c r="X35" s="494"/>
      <c r="Y35" s="494"/>
    </row>
    <row r="36" spans="1:25" s="102" customFormat="1" ht="14.85" customHeight="1" x14ac:dyDescent="0.2">
      <c r="A36" s="436">
        <v>4</v>
      </c>
      <c r="B36" s="14"/>
      <c r="C36" s="14"/>
      <c r="D36" s="100">
        <f>+E36</f>
        <v>2026</v>
      </c>
      <c r="E36" s="437">
        <f>E35+1</f>
        <v>2026</v>
      </c>
      <c r="G36" s="434"/>
      <c r="H36" s="105"/>
      <c r="I36" s="434"/>
      <c r="J36" s="105"/>
      <c r="K36" s="434"/>
      <c r="L36" s="105"/>
      <c r="M36" s="2532"/>
      <c r="N36" s="2533"/>
      <c r="O36" s="2533"/>
      <c r="P36" s="2533"/>
      <c r="Q36" s="2533"/>
      <c r="R36" s="2534"/>
      <c r="S36" s="14"/>
      <c r="T36" s="439">
        <f>SUM($G36:$G$45)</f>
        <v>0</v>
      </c>
      <c r="U36" s="438">
        <f t="shared" si="0"/>
        <v>0</v>
      </c>
      <c r="V36" s="438">
        <f t="shared" si="0"/>
        <v>0</v>
      </c>
      <c r="W36" s="2134" t="s">
        <v>5027</v>
      </c>
      <c r="X36" s="494"/>
      <c r="Y36" s="494"/>
    </row>
    <row r="37" spans="1:25" s="102" customFormat="1" ht="14.85" customHeight="1" x14ac:dyDescent="0.2">
      <c r="A37" s="436">
        <v>5</v>
      </c>
      <c r="B37" s="14"/>
      <c r="C37" s="14"/>
      <c r="D37" s="100">
        <f>+E37</f>
        <v>2027</v>
      </c>
      <c r="E37" s="437">
        <f>E36+1</f>
        <v>2027</v>
      </c>
      <c r="G37" s="434"/>
      <c r="H37" s="105"/>
      <c r="I37" s="434"/>
      <c r="J37" s="105"/>
      <c r="K37" s="434"/>
      <c r="L37" s="105"/>
      <c r="M37" s="14"/>
      <c r="N37" s="14"/>
      <c r="O37" s="14"/>
      <c r="P37" s="14"/>
      <c r="S37" s="14"/>
      <c r="T37" s="439">
        <f>SUM($G37:$G$45)</f>
        <v>0</v>
      </c>
      <c r="U37" s="438">
        <f t="shared" si="0"/>
        <v>0</v>
      </c>
      <c r="V37" s="438">
        <f t="shared" si="0"/>
        <v>0</v>
      </c>
      <c r="W37" s="2134" t="s">
        <v>5028</v>
      </c>
      <c r="X37" s="494"/>
      <c r="Y37" s="494"/>
    </row>
    <row r="38" spans="1:25" s="102" customFormat="1" ht="14.85" customHeight="1" x14ac:dyDescent="0.2">
      <c r="A38" s="436">
        <v>6</v>
      </c>
      <c r="B38" s="14"/>
      <c r="C38" s="14"/>
      <c r="D38" s="100">
        <f>E37+1</f>
        <v>2028</v>
      </c>
      <c r="E38" s="437" t="str">
        <f t="shared" ref="E38:E45" si="1">(D38)&amp;" - "&amp;(D38+4)</f>
        <v>2028 - 2032</v>
      </c>
      <c r="G38" s="434"/>
      <c r="H38" s="105"/>
      <c r="I38" s="434"/>
      <c r="J38" s="105"/>
      <c r="K38" s="434"/>
      <c r="L38" s="105"/>
      <c r="M38" s="2538" t="s">
        <v>435</v>
      </c>
      <c r="N38" s="2539"/>
      <c r="O38" s="2539"/>
      <c r="P38" s="2539"/>
      <c r="Q38" s="2539"/>
      <c r="R38" s="2540"/>
      <c r="S38" s="14"/>
      <c r="T38" s="439">
        <f>SUM($G38:$G$45)</f>
        <v>0</v>
      </c>
      <c r="U38" s="438">
        <f t="shared" si="0"/>
        <v>0</v>
      </c>
      <c r="V38" s="438">
        <f>IF($T38&gt;0,$D38+4,0)</f>
        <v>0</v>
      </c>
      <c r="W38" s="2134" t="s">
        <v>5029</v>
      </c>
      <c r="X38" s="494"/>
      <c r="Y38" s="494"/>
    </row>
    <row r="39" spans="1:25" s="102" customFormat="1" ht="14.85" customHeight="1" x14ac:dyDescent="0.2">
      <c r="A39" s="436">
        <v>7</v>
      </c>
      <c r="B39" s="14"/>
      <c r="C39" s="14"/>
      <c r="D39" s="100">
        <f t="shared" ref="D39:D45" si="2">D38+5</f>
        <v>2033</v>
      </c>
      <c r="E39" s="437" t="str">
        <f t="shared" si="1"/>
        <v>2033 - 2037</v>
      </c>
      <c r="G39" s="434"/>
      <c r="H39" s="105"/>
      <c r="I39" s="434"/>
      <c r="J39" s="105"/>
      <c r="K39" s="434"/>
      <c r="L39" s="105"/>
      <c r="M39" s="2541"/>
      <c r="N39" s="2542"/>
      <c r="O39" s="2542"/>
      <c r="P39" s="2542"/>
      <c r="Q39" s="2542"/>
      <c r="R39" s="2543"/>
      <c r="S39" s="14"/>
      <c r="T39" s="439">
        <f>SUM($G39:$G$45)</f>
        <v>0</v>
      </c>
      <c r="U39" s="438">
        <f t="shared" si="0"/>
        <v>0</v>
      </c>
      <c r="V39" s="438">
        <f t="shared" ref="V39:V45" si="3">IF($T39&gt;0,$D39+4,0)</f>
        <v>0</v>
      </c>
      <c r="W39" s="2134" t="s">
        <v>5030</v>
      </c>
      <c r="X39" s="494"/>
      <c r="Y39" s="494"/>
    </row>
    <row r="40" spans="1:25" s="102" customFormat="1" ht="14.85" customHeight="1" x14ac:dyDescent="0.2">
      <c r="A40" s="436">
        <v>8</v>
      </c>
      <c r="B40" s="14"/>
      <c r="C40" s="14"/>
      <c r="D40" s="100">
        <f t="shared" si="2"/>
        <v>2038</v>
      </c>
      <c r="E40" s="437" t="str">
        <f t="shared" si="1"/>
        <v>2038 - 2042</v>
      </c>
      <c r="G40" s="434"/>
      <c r="H40" s="105"/>
      <c r="I40" s="434"/>
      <c r="J40" s="105"/>
      <c r="K40" s="434"/>
      <c r="L40" s="105"/>
      <c r="M40" s="2544"/>
      <c r="N40" s="2545"/>
      <c r="O40" s="2545"/>
      <c r="P40" s="2545"/>
      <c r="Q40" s="2545"/>
      <c r="R40" s="2546"/>
      <c r="S40" s="14"/>
      <c r="T40" s="439">
        <f>SUM($G40:$G$45)</f>
        <v>0</v>
      </c>
      <c r="U40" s="438">
        <f t="shared" si="0"/>
        <v>0</v>
      </c>
      <c r="V40" s="438">
        <f t="shared" si="3"/>
        <v>0</v>
      </c>
      <c r="W40" s="2134" t="s">
        <v>5031</v>
      </c>
      <c r="X40" s="494"/>
      <c r="Y40" s="494"/>
    </row>
    <row r="41" spans="1:25" s="102" customFormat="1" ht="14.85" customHeight="1" x14ac:dyDescent="0.2">
      <c r="A41" s="436">
        <v>9</v>
      </c>
      <c r="B41" s="14"/>
      <c r="C41" s="14"/>
      <c r="D41" s="100">
        <f t="shared" si="2"/>
        <v>2043</v>
      </c>
      <c r="E41" s="437" t="str">
        <f t="shared" si="1"/>
        <v>2043 - 2047</v>
      </c>
      <c r="G41" s="434"/>
      <c r="H41" s="105"/>
      <c r="I41" s="434"/>
      <c r="J41" s="105"/>
      <c r="K41" s="434"/>
      <c r="L41" s="105"/>
      <c r="M41" s="2552" t="s">
        <v>1308</v>
      </c>
      <c r="N41" s="2553"/>
      <c r="O41" s="2554"/>
      <c r="P41" s="2552" t="s">
        <v>1309</v>
      </c>
      <c r="Q41" s="2553"/>
      <c r="R41" s="2554"/>
      <c r="S41" s="14"/>
      <c r="T41" s="439">
        <f>SUM($G41:$G$45)</f>
        <v>0</v>
      </c>
      <c r="U41" s="438">
        <f t="shared" si="0"/>
        <v>0</v>
      </c>
      <c r="V41" s="438">
        <f t="shared" si="3"/>
        <v>0</v>
      </c>
      <c r="W41" s="2134" t="s">
        <v>5032</v>
      </c>
      <c r="X41" s="494"/>
      <c r="Y41" s="494"/>
    </row>
    <row r="42" spans="1:25" s="102" customFormat="1" ht="14.85" customHeight="1" x14ac:dyDescent="0.2">
      <c r="A42" s="436">
        <v>10</v>
      </c>
      <c r="B42" s="14"/>
      <c r="C42" s="14"/>
      <c r="D42" s="100">
        <f t="shared" si="2"/>
        <v>2048</v>
      </c>
      <c r="E42" s="437" t="str">
        <f t="shared" si="1"/>
        <v>2048 - 2052</v>
      </c>
      <c r="G42" s="434"/>
      <c r="H42" s="105"/>
      <c r="I42" s="434"/>
      <c r="J42" s="105"/>
      <c r="K42" s="434"/>
      <c r="L42" s="105"/>
      <c r="M42" s="2537"/>
      <c r="N42" s="2535"/>
      <c r="O42" s="2536"/>
      <c r="P42" s="2537"/>
      <c r="Q42" s="2535"/>
      <c r="R42" s="2536"/>
      <c r="S42" s="14"/>
      <c r="T42" s="439">
        <f>SUM($G42:$G$45)</f>
        <v>0</v>
      </c>
      <c r="U42" s="438">
        <f t="shared" si="0"/>
        <v>0</v>
      </c>
      <c r="V42" s="438">
        <f t="shared" si="3"/>
        <v>0</v>
      </c>
      <c r="W42" s="2134" t="s">
        <v>5033</v>
      </c>
      <c r="X42" s="494"/>
      <c r="Y42" s="494"/>
    </row>
    <row r="43" spans="1:25" s="102" customFormat="1" ht="14.85" customHeight="1" x14ac:dyDescent="0.2">
      <c r="A43" s="436">
        <v>11</v>
      </c>
      <c r="B43" s="14"/>
      <c r="C43" s="14"/>
      <c r="D43" s="100">
        <f t="shared" si="2"/>
        <v>2053</v>
      </c>
      <c r="E43" s="437" t="str">
        <f t="shared" si="1"/>
        <v>2053 - 2057</v>
      </c>
      <c r="G43" s="434"/>
      <c r="H43" s="105"/>
      <c r="I43" s="434"/>
      <c r="J43" s="105"/>
      <c r="K43" s="434"/>
      <c r="L43" s="105"/>
      <c r="S43" s="14"/>
      <c r="T43" s="439">
        <f>SUM($G43:$G$45)</f>
        <v>0</v>
      </c>
      <c r="U43" s="438">
        <f t="shared" si="0"/>
        <v>0</v>
      </c>
      <c r="V43" s="438">
        <f t="shared" si="3"/>
        <v>0</v>
      </c>
      <c r="W43" s="2134" t="s">
        <v>5034</v>
      </c>
      <c r="X43" s="494"/>
      <c r="Y43" s="494"/>
    </row>
    <row r="44" spans="1:25" s="102" customFormat="1" ht="14.85" customHeight="1" x14ac:dyDescent="0.2">
      <c r="A44" s="436">
        <v>12</v>
      </c>
      <c r="B44" s="14"/>
      <c r="C44" s="14"/>
      <c r="D44" s="100">
        <f t="shared" si="2"/>
        <v>2058</v>
      </c>
      <c r="E44" s="437" t="str">
        <f t="shared" si="1"/>
        <v>2058 - 2062</v>
      </c>
      <c r="G44" s="434"/>
      <c r="H44" s="105"/>
      <c r="I44" s="434"/>
      <c r="J44" s="105"/>
      <c r="K44" s="434"/>
      <c r="L44" s="105"/>
      <c r="M44" s="2538" t="s">
        <v>81</v>
      </c>
      <c r="N44" s="2539"/>
      <c r="O44" s="2539"/>
      <c r="P44" s="2539"/>
      <c r="Q44" s="2539"/>
      <c r="R44" s="2540"/>
      <c r="S44" s="14"/>
      <c r="T44" s="439">
        <f>SUM($G44:$G$45)</f>
        <v>0</v>
      </c>
      <c r="U44" s="438">
        <f t="shared" si="0"/>
        <v>0</v>
      </c>
      <c r="V44" s="438">
        <f t="shared" si="3"/>
        <v>0</v>
      </c>
      <c r="W44" s="2134" t="s">
        <v>5035</v>
      </c>
      <c r="X44" s="494"/>
      <c r="Y44" s="494"/>
    </row>
    <row r="45" spans="1:25" s="102" customFormat="1" ht="14.85" customHeight="1" x14ac:dyDescent="0.2">
      <c r="A45" s="436">
        <v>13</v>
      </c>
      <c r="B45" s="14"/>
      <c r="C45" s="14"/>
      <c r="D45" s="100">
        <f t="shared" si="2"/>
        <v>2063</v>
      </c>
      <c r="E45" s="437" t="str">
        <f t="shared" si="1"/>
        <v>2063 - 2067</v>
      </c>
      <c r="G45" s="434"/>
      <c r="H45" s="105"/>
      <c r="I45" s="434"/>
      <c r="J45" s="105"/>
      <c r="K45" s="434"/>
      <c r="L45" s="105"/>
      <c r="M45" s="2541"/>
      <c r="N45" s="2542"/>
      <c r="O45" s="2542"/>
      <c r="P45" s="2542"/>
      <c r="Q45" s="2542"/>
      <c r="R45" s="2543"/>
      <c r="S45" s="14"/>
      <c r="T45" s="439">
        <f>SUM($G45:$G$45)</f>
        <v>0</v>
      </c>
      <c r="U45" s="438">
        <f t="shared" si="0"/>
        <v>0</v>
      </c>
      <c r="V45" s="438">
        <f t="shared" si="3"/>
        <v>0</v>
      </c>
      <c r="W45" s="2134" t="s">
        <v>5036</v>
      </c>
      <c r="X45" s="494"/>
      <c r="Y45" s="494"/>
    </row>
    <row r="46" spans="1:25" s="102" customFormat="1" ht="16.350000000000001" customHeight="1" thickBot="1" x14ac:dyDescent="0.25">
      <c r="A46" s="436"/>
      <c r="B46" s="14"/>
      <c r="C46" s="14"/>
      <c r="D46" s="2" t="s">
        <v>803</v>
      </c>
      <c r="E46" s="14"/>
      <c r="F46" s="14"/>
      <c r="G46" s="444">
        <f>SUM(G33:G45)</f>
        <v>0</v>
      </c>
      <c r="H46" s="105"/>
      <c r="I46" s="444">
        <f>SUM(I33:I45)</f>
        <v>0</v>
      </c>
      <c r="J46" s="105"/>
      <c r="K46" s="444">
        <f>SUM(K33:K45)</f>
        <v>0</v>
      </c>
      <c r="L46" s="105"/>
      <c r="M46" s="2521"/>
      <c r="N46" s="2522"/>
      <c r="O46" s="2522"/>
      <c r="P46" s="2522"/>
      <c r="Q46" s="2522"/>
      <c r="R46" s="2523"/>
      <c r="S46" s="14"/>
      <c r="T46" s="438"/>
      <c r="U46" s="438">
        <f>YEAR(__FMD320)</f>
        <v>1900</v>
      </c>
      <c r="V46" s="436"/>
      <c r="W46" s="494"/>
      <c r="X46" s="494"/>
      <c r="Y46" s="494"/>
    </row>
    <row r="47" spans="1:25" s="102" customFormat="1" ht="12.75" customHeight="1" thickTop="1" x14ac:dyDescent="0.2">
      <c r="A47" s="436"/>
      <c r="B47" s="14"/>
      <c r="C47" s="14"/>
      <c r="D47" s="2"/>
      <c r="E47" s="14"/>
      <c r="F47" s="14"/>
      <c r="G47" s="14"/>
      <c r="H47" s="99" t="s">
        <v>948</v>
      </c>
      <c r="I47" s="313" t="s">
        <v>1319</v>
      </c>
      <c r="J47" s="98"/>
      <c r="K47" s="4"/>
      <c r="L47" s="4"/>
      <c r="M47" s="4"/>
      <c r="N47" s="98"/>
      <c r="O47" s="98"/>
      <c r="P47" s="94"/>
      <c r="Q47" s="94"/>
      <c r="R47" s="14"/>
      <c r="S47" s="14"/>
      <c r="T47" s="14"/>
      <c r="U47" s="438"/>
      <c r="V47" s="436"/>
      <c r="W47" s="494"/>
      <c r="X47" s="494"/>
      <c r="Y47" s="494"/>
    </row>
    <row r="48" spans="1:25" s="102" customFormat="1" ht="8.1" customHeight="1" x14ac:dyDescent="0.2">
      <c r="A48" s="436"/>
      <c r="B48" s="14"/>
      <c r="C48" s="14"/>
      <c r="D48" s="2"/>
      <c r="E48" s="14"/>
      <c r="F48" s="14"/>
      <c r="G48" s="14"/>
      <c r="H48" s="99"/>
      <c r="I48" s="279"/>
      <c r="J48" s="98"/>
      <c r="K48" s="4"/>
      <c r="L48" s="4"/>
      <c r="M48" s="4"/>
      <c r="N48" s="98"/>
      <c r="O48" s="98"/>
      <c r="P48" s="94"/>
      <c r="Q48" s="94"/>
      <c r="R48" s="14"/>
      <c r="S48" s="14"/>
      <c r="T48" s="14"/>
      <c r="U48" s="438"/>
      <c r="V48" s="436"/>
      <c r="W48" s="494"/>
      <c r="X48" s="494"/>
      <c r="Y48" s="494"/>
    </row>
    <row r="49" spans="1:25" s="102" customFormat="1" ht="12.75" customHeight="1" x14ac:dyDescent="0.2">
      <c r="A49" s="436"/>
      <c r="B49" s="14" t="s">
        <v>1094</v>
      </c>
      <c r="C49" s="14"/>
      <c r="D49" s="2"/>
      <c r="E49" s="14"/>
      <c r="F49" s="14"/>
      <c r="G49" s="14"/>
      <c r="H49" s="99"/>
      <c r="I49" s="98"/>
      <c r="J49" s="98"/>
      <c r="K49" s="4"/>
      <c r="L49" s="4"/>
      <c r="M49" s="4"/>
      <c r="N49" s="98"/>
      <c r="O49" s="98"/>
      <c r="P49" s="94"/>
      <c r="Q49" s="94"/>
      <c r="R49" s="14"/>
      <c r="S49" s="14"/>
      <c r="T49" s="14"/>
      <c r="U49" s="438"/>
      <c r="V49" s="436"/>
      <c r="W49" s="494"/>
      <c r="X49" s="494"/>
      <c r="Y49" s="494"/>
    </row>
    <row r="50" spans="1:25" s="102" customFormat="1" ht="12.75" customHeight="1" x14ac:dyDescent="0.2">
      <c r="A50" s="436"/>
      <c r="B50" s="14" t="s">
        <v>1044</v>
      </c>
      <c r="C50" s="14"/>
      <c r="D50" s="2"/>
      <c r="E50" s="14"/>
      <c r="F50" s="14"/>
      <c r="G50" s="14"/>
      <c r="H50" s="99"/>
      <c r="I50" s="98"/>
      <c r="J50" s="98"/>
      <c r="K50" s="4"/>
      <c r="L50" s="4"/>
      <c r="M50" s="4"/>
      <c r="N50" s="98"/>
      <c r="O50" s="98"/>
      <c r="P50" s="94"/>
      <c r="Q50" s="94"/>
      <c r="R50" s="14"/>
      <c r="S50" s="14"/>
      <c r="T50" s="14"/>
      <c r="U50" s="438"/>
      <c r="V50" s="436"/>
      <c r="W50" s="494"/>
      <c r="X50" s="494"/>
      <c r="Y50" s="494"/>
    </row>
    <row r="51" spans="1:25" s="102" customFormat="1" ht="12.75" customHeight="1" x14ac:dyDescent="0.2">
      <c r="A51" s="436"/>
      <c r="B51" s="14"/>
      <c r="C51" s="14"/>
      <c r="D51" s="94" t="s">
        <v>969</v>
      </c>
      <c r="E51" s="1403"/>
      <c r="F51" s="14"/>
      <c r="G51" s="14"/>
      <c r="H51" s="99"/>
      <c r="I51" s="98"/>
      <c r="J51" s="98"/>
      <c r="K51" s="4"/>
      <c r="L51" s="4"/>
      <c r="M51" s="4"/>
      <c r="N51" s="98"/>
      <c r="O51" s="98"/>
      <c r="P51" s="94"/>
      <c r="Q51" s="94"/>
      <c r="R51" s="14"/>
      <c r="S51" s="14"/>
      <c r="T51" s="14"/>
      <c r="U51" s="438"/>
      <c r="V51" s="436"/>
      <c r="W51" s="494"/>
      <c r="X51" s="494"/>
      <c r="Y51" s="494"/>
    </row>
    <row r="52" spans="1:25" s="102" customFormat="1" ht="12.75" customHeight="1" x14ac:dyDescent="0.2">
      <c r="A52" s="436"/>
      <c r="B52" s="14"/>
      <c r="C52" s="14"/>
      <c r="D52" s="94" t="s">
        <v>970</v>
      </c>
      <c r="E52" s="1685"/>
      <c r="F52" s="14"/>
      <c r="G52" s="14"/>
      <c r="H52" s="99"/>
      <c r="I52" s="98"/>
      <c r="J52" s="98"/>
      <c r="K52" s="4"/>
      <c r="L52" s="4"/>
      <c r="M52" s="4"/>
      <c r="N52" s="98"/>
      <c r="O52" s="98"/>
      <c r="P52" s="94"/>
      <c r="Q52" s="94"/>
      <c r="R52" s="14"/>
      <c r="S52" s="14"/>
      <c r="T52" s="14"/>
      <c r="U52" s="438"/>
      <c r="V52" s="436"/>
      <c r="W52" s="494"/>
      <c r="X52" s="494"/>
      <c r="Y52" s="494"/>
    </row>
    <row r="53" spans="1:25" s="102" customFormat="1" ht="12.75" customHeight="1" x14ac:dyDescent="0.2">
      <c r="A53" s="436"/>
      <c r="B53" s="14"/>
      <c r="C53" s="14"/>
      <c r="D53" s="2"/>
      <c r="E53" s="14"/>
      <c r="F53" s="14"/>
      <c r="G53" s="14"/>
      <c r="H53" s="99"/>
      <c r="I53" s="98"/>
      <c r="J53" s="98"/>
      <c r="K53" s="4"/>
      <c r="L53" s="4"/>
      <c r="M53" s="4"/>
      <c r="N53" s="98"/>
      <c r="O53" s="98"/>
      <c r="P53" s="94"/>
      <c r="Q53" s="94"/>
      <c r="R53" s="14"/>
      <c r="S53" s="14"/>
      <c r="T53" s="14"/>
      <c r="U53" s="438"/>
      <c r="V53" s="436"/>
      <c r="W53" s="494"/>
      <c r="X53" s="494"/>
      <c r="Y53" s="494"/>
    </row>
    <row r="54" spans="1:25" s="102" customFormat="1" ht="12.75" customHeight="1" x14ac:dyDescent="0.2">
      <c r="A54" s="436"/>
      <c r="B54" s="14" t="str">
        <f>CONCATENATE("Do the fiscal year ",+TEXT(Data!$A$6,"yyyy")," principal requirements (including debt without interest rate swaps on 315) agree with")</f>
        <v>Do the fiscal year 2023 principal requirements (including debt without interest rate swaps on 315) agree with</v>
      </c>
      <c r="C54" s="14"/>
      <c r="D54" s="2"/>
      <c r="E54" s="14"/>
      <c r="F54" s="14"/>
      <c r="G54" s="14"/>
      <c r="H54" s="99"/>
      <c r="I54" s="98"/>
      <c r="J54" s="98"/>
      <c r="K54" s="4"/>
      <c r="L54" s="4"/>
      <c r="M54" s="4"/>
      <c r="N54" s="98"/>
      <c r="O54" s="98"/>
      <c r="P54" s="94"/>
      <c r="Q54" s="94"/>
      <c r="R54" s="14"/>
      <c r="S54" s="14"/>
      <c r="T54" s="14"/>
      <c r="U54" s="438"/>
      <c r="V54" s="436"/>
      <c r="W54" s="494"/>
      <c r="X54" s="494"/>
      <c r="Y54" s="494"/>
    </row>
    <row r="55" spans="1:25" s="102" customFormat="1" ht="12.75" customHeight="1" x14ac:dyDescent="0.2">
      <c r="A55" s="436"/>
      <c r="B55" s="14" t="s">
        <v>1005</v>
      </c>
      <c r="C55" s="14"/>
      <c r="D55" s="2"/>
      <c r="E55" s="14"/>
      <c r="F55" s="14"/>
      <c r="G55" s="14"/>
      <c r="H55" s="99"/>
      <c r="I55" s="98"/>
      <c r="J55" s="98"/>
      <c r="K55" s="4"/>
      <c r="L55" s="4"/>
      <c r="M55" s="4"/>
      <c r="N55" s="98"/>
      <c r="O55" s="98"/>
      <c r="P55" s="94"/>
      <c r="Q55" s="94"/>
      <c r="R55" s="14"/>
      <c r="S55" s="14"/>
      <c r="T55" s="14"/>
      <c r="U55" s="438"/>
      <c r="V55" s="436"/>
      <c r="W55" s="494"/>
      <c r="X55" s="494"/>
      <c r="Y55" s="494"/>
    </row>
    <row r="56" spans="1:25" s="102" customFormat="1" ht="12.75" customHeight="1" x14ac:dyDescent="0.2">
      <c r="A56" s="436"/>
      <c r="B56" s="15" t="s">
        <v>587</v>
      </c>
      <c r="C56" s="14"/>
      <c r="D56" s="2"/>
      <c r="E56" s="14"/>
      <c r="F56" s="14"/>
      <c r="G56" s="14"/>
      <c r="H56" s="99"/>
      <c r="I56" s="98"/>
      <c r="J56" s="98"/>
      <c r="K56" s="4"/>
      <c r="L56" s="4"/>
      <c r="M56" s="4"/>
      <c r="N56" s="98"/>
      <c r="O56" s="98"/>
      <c r="P56" s="94"/>
      <c r="Q56" s="94"/>
      <c r="R56" s="14"/>
      <c r="S56" s="14"/>
      <c r="T56" s="14"/>
      <c r="U56" s="438"/>
      <c r="V56" s="436"/>
      <c r="W56" s="494"/>
      <c r="X56" s="494"/>
      <c r="Y56" s="494"/>
    </row>
    <row r="57" spans="1:25" s="102" customFormat="1" ht="12.75" customHeight="1" x14ac:dyDescent="0.2">
      <c r="A57" s="436"/>
      <c r="B57" s="14"/>
      <c r="C57" s="14"/>
      <c r="D57" s="94" t="s">
        <v>969</v>
      </c>
      <c r="E57" s="1403"/>
      <c r="F57" s="14"/>
      <c r="G57" s="14"/>
      <c r="H57" s="99"/>
      <c r="I57" s="98"/>
      <c r="J57" s="98"/>
      <c r="K57" s="4"/>
      <c r="L57" s="4"/>
      <c r="M57" s="4"/>
      <c r="N57" s="98"/>
      <c r="O57" s="98"/>
      <c r="P57" s="94"/>
      <c r="Q57" s="94"/>
      <c r="R57" s="14"/>
      <c r="S57" s="14"/>
      <c r="T57" s="14"/>
      <c r="U57" s="438"/>
      <c r="V57" s="436"/>
      <c r="W57" s="494"/>
      <c r="X57" s="494"/>
      <c r="Y57" s="494"/>
    </row>
    <row r="58" spans="1:25" s="102" customFormat="1" ht="12.75" customHeight="1" x14ac:dyDescent="0.2">
      <c r="A58" s="436"/>
      <c r="B58" s="14"/>
      <c r="C58" s="14"/>
      <c r="D58" s="94" t="s">
        <v>970</v>
      </c>
      <c r="E58" s="1685"/>
      <c r="F58" s="14"/>
      <c r="G58" s="14"/>
      <c r="H58" s="99"/>
      <c r="I58" s="98"/>
      <c r="J58" s="98"/>
      <c r="K58" s="4"/>
      <c r="L58" s="4"/>
      <c r="M58" s="4"/>
      <c r="N58" s="98"/>
      <c r="O58" s="98"/>
      <c r="P58" s="94"/>
      <c r="Q58" s="94"/>
      <c r="R58" s="14"/>
      <c r="S58" s="14"/>
      <c r="T58" s="14"/>
      <c r="U58" s="438"/>
      <c r="V58" s="436"/>
      <c r="W58" s="494"/>
      <c r="X58" s="494"/>
      <c r="Y58" s="494"/>
    </row>
    <row r="59" spans="1:25" s="102" customFormat="1" ht="8.1" customHeight="1" x14ac:dyDescent="0.2">
      <c r="A59" s="436"/>
      <c r="B59" s="14"/>
      <c r="C59" s="14"/>
      <c r="D59" s="94"/>
      <c r="E59" s="14"/>
      <c r="F59" s="14"/>
      <c r="G59" s="14"/>
      <c r="H59" s="99"/>
      <c r="I59" s="98"/>
      <c r="J59" s="98"/>
      <c r="K59" s="4"/>
      <c r="L59" s="4"/>
      <c r="M59" s="4"/>
      <c r="N59" s="98"/>
      <c r="O59" s="98"/>
      <c r="P59" s="94"/>
      <c r="Q59" s="94"/>
      <c r="R59" s="14"/>
      <c r="S59" s="14"/>
      <c r="T59" s="14"/>
      <c r="U59" s="438"/>
      <c r="V59" s="436"/>
      <c r="W59" s="494"/>
      <c r="X59" s="494"/>
      <c r="Y59" s="494"/>
    </row>
    <row r="60" spans="1:25" s="102" customFormat="1" ht="12.75" customHeight="1" x14ac:dyDescent="0.2">
      <c r="A60" s="436"/>
      <c r="D60" s="14" t="s">
        <v>236</v>
      </c>
      <c r="E60" s="14"/>
      <c r="F60" s="14"/>
      <c r="G60" s="2547"/>
      <c r="H60" s="2548"/>
      <c r="I60" s="2548"/>
      <c r="J60" s="2548"/>
      <c r="K60" s="2548"/>
      <c r="L60" s="2548"/>
      <c r="M60" s="2548"/>
      <c r="N60" s="2548"/>
      <c r="O60" s="2548"/>
      <c r="P60" s="2548"/>
      <c r="Q60" s="2548"/>
      <c r="R60" s="2548"/>
      <c r="S60" s="14"/>
      <c r="T60" s="14"/>
      <c r="U60" s="438"/>
      <c r="V60" s="436"/>
      <c r="W60" s="494"/>
      <c r="X60" s="494"/>
      <c r="Y60" s="494"/>
    </row>
    <row r="61" spans="1:25" s="102" customFormat="1" ht="14.1" customHeight="1" x14ac:dyDescent="0.2">
      <c r="A61" s="436"/>
      <c r="B61" s="14"/>
      <c r="C61" s="14"/>
      <c r="D61" s="2547"/>
      <c r="E61" s="2549"/>
      <c r="F61" s="2549"/>
      <c r="G61" s="2549"/>
      <c r="H61" s="2549"/>
      <c r="I61" s="2549"/>
      <c r="J61" s="2549"/>
      <c r="K61" s="2549"/>
      <c r="L61" s="2549"/>
      <c r="M61" s="2549"/>
      <c r="N61" s="2549"/>
      <c r="O61" s="2549"/>
      <c r="P61" s="2549"/>
      <c r="Q61" s="2549"/>
      <c r="R61" s="2549"/>
      <c r="S61" s="14"/>
      <c r="T61" s="14"/>
      <c r="U61" s="438"/>
      <c r="V61" s="436"/>
      <c r="W61" s="494"/>
      <c r="X61" s="494"/>
      <c r="Y61" s="494"/>
    </row>
    <row r="62" spans="1:25" s="102" customFormat="1" ht="14.1" customHeight="1" x14ac:dyDescent="0.2">
      <c r="A62" s="436"/>
      <c r="B62" s="14"/>
      <c r="C62" s="14"/>
      <c r="D62" s="2550"/>
      <c r="E62" s="2551"/>
      <c r="F62" s="2551"/>
      <c r="G62" s="2551"/>
      <c r="H62" s="2551"/>
      <c r="I62" s="2551"/>
      <c r="J62" s="2551"/>
      <c r="K62" s="2551"/>
      <c r="L62" s="2551"/>
      <c r="M62" s="2551"/>
      <c r="N62" s="2551"/>
      <c r="O62" s="2551"/>
      <c r="P62" s="2551"/>
      <c r="Q62" s="2551"/>
      <c r="R62" s="2551"/>
      <c r="S62" s="14"/>
      <c r="T62" s="14"/>
      <c r="U62" s="438"/>
      <c r="V62" s="436"/>
      <c r="W62" s="494"/>
      <c r="X62" s="494"/>
      <c r="Y62" s="494"/>
    </row>
    <row r="63" spans="1:25" ht="12.75" customHeight="1" x14ac:dyDescent="0.2"/>
    <row r="64" spans="1:25" ht="12.75" x14ac:dyDescent="0.2">
      <c r="B64" s="14" t="s">
        <v>1330</v>
      </c>
      <c r="C64" s="14"/>
      <c r="D64" s="2"/>
      <c r="E64" s="14"/>
      <c r="F64" s="14"/>
      <c r="G64" s="14"/>
      <c r="H64" s="99"/>
      <c r="I64" s="98"/>
      <c r="J64" s="4"/>
      <c r="K64" s="4"/>
      <c r="L64" s="98"/>
      <c r="M64" s="98"/>
      <c r="N64" s="94"/>
      <c r="O64" s="94"/>
    </row>
    <row r="65" spans="1:15" ht="12.75" x14ac:dyDescent="0.2">
      <c r="B65" s="15" t="s">
        <v>1321</v>
      </c>
      <c r="C65" s="14"/>
      <c r="D65" s="2"/>
      <c r="E65" s="14"/>
      <c r="F65" s="14"/>
      <c r="G65" s="98"/>
      <c r="H65" s="99"/>
      <c r="I65" s="98"/>
      <c r="J65" s="2555"/>
      <c r="K65" s="2555"/>
      <c r="L65" s="2516"/>
      <c r="M65" s="2516"/>
      <c r="N65" s="2556"/>
      <c r="O65" s="2556"/>
    </row>
    <row r="66" spans="1:15" ht="12.75" x14ac:dyDescent="0.2">
      <c r="B66" s="15"/>
      <c r="C66" s="14"/>
      <c r="D66" s="94" t="s">
        <v>969</v>
      </c>
      <c r="E66" s="1403"/>
      <c r="F66" s="14"/>
      <c r="G66" s="98"/>
      <c r="H66" s="99"/>
      <c r="I66" s="98"/>
      <c r="J66" s="909"/>
      <c r="K66" s="909"/>
      <c r="L66" s="98"/>
      <c r="M66" s="98"/>
      <c r="N66" s="902"/>
      <c r="O66" s="902"/>
    </row>
    <row r="67" spans="1:15" ht="12.75" x14ac:dyDescent="0.2">
      <c r="B67" s="15"/>
      <c r="C67" s="14"/>
      <c r="D67" s="94" t="s">
        <v>970</v>
      </c>
      <c r="E67" s="1685"/>
      <c r="F67" s="14"/>
      <c r="G67" s="98"/>
      <c r="H67" s="99"/>
      <c r="I67" s="98"/>
      <c r="J67" s="909"/>
      <c r="K67" s="909"/>
      <c r="L67" s="98"/>
      <c r="M67" s="98"/>
      <c r="N67" s="902"/>
      <c r="O67" s="902"/>
    </row>
    <row r="68" spans="1:15" ht="8.1" customHeight="1" x14ac:dyDescent="0.2">
      <c r="B68" s="15"/>
      <c r="C68" s="14"/>
      <c r="D68" s="2"/>
      <c r="E68" s="14"/>
      <c r="F68" s="14"/>
      <c r="G68" s="98"/>
      <c r="H68" s="99"/>
      <c r="I68" s="98"/>
      <c r="J68" s="909"/>
      <c r="K68" s="909"/>
      <c r="L68" s="98"/>
      <c r="M68" s="98"/>
      <c r="N68" s="902"/>
      <c r="O68" s="902"/>
    </row>
    <row r="69" spans="1:15" ht="12.75" x14ac:dyDescent="0.2">
      <c r="D69" s="14" t="s">
        <v>1329</v>
      </c>
      <c r="E69" s="94"/>
      <c r="F69" s="94"/>
      <c r="G69" s="94"/>
      <c r="H69" s="99"/>
      <c r="I69" s="905"/>
      <c r="J69" s="905"/>
      <c r="K69" s="1686" t="s">
        <v>4229</v>
      </c>
      <c r="L69" s="98"/>
      <c r="M69" s="98"/>
      <c r="N69" s="902"/>
      <c r="O69" s="902"/>
    </row>
    <row r="72" spans="1:15" ht="15" x14ac:dyDescent="0.2">
      <c r="A72" s="443" t="str">
        <f ca="1">MID(CELL("filename",A1),FIND("]",CELL("filename",A1))+1,256)</f>
        <v>320</v>
      </c>
      <c r="B72" s="443" t="s">
        <v>449</v>
      </c>
    </row>
    <row r="73" spans="1:15" ht="15" x14ac:dyDescent="0.2">
      <c r="A73" s="443" t="s">
        <v>446</v>
      </c>
      <c r="B73" s="443" t="str">
        <f t="shared" ref="B73:B82" ca="1" si="4">IF(ISNA(INDEX(ErrorTable,MATCH($A$72&amp;$A73&amp;FALSE,ErrorKey,0),6)),"",INDEX(ErrorTable,MATCH($A$72&amp;$A73&amp;FALSE,ErrorKey,0),6))</f>
        <v/>
      </c>
    </row>
    <row r="74" spans="1:15" ht="15" x14ac:dyDescent="0.2">
      <c r="A74" s="443" t="s">
        <v>447</v>
      </c>
      <c r="B74" s="443" t="str">
        <f t="shared" ca="1" si="4"/>
        <v/>
      </c>
    </row>
    <row r="75" spans="1:15" ht="15" x14ac:dyDescent="0.2">
      <c r="A75" s="443" t="s">
        <v>448</v>
      </c>
      <c r="B75" s="443" t="str">
        <f t="shared" ca="1" si="4"/>
        <v/>
      </c>
    </row>
    <row r="76" spans="1:15" ht="15" x14ac:dyDescent="0.2">
      <c r="A76" s="443" t="s">
        <v>450</v>
      </c>
      <c r="B76" s="443" t="str">
        <f t="shared" ca="1" si="4"/>
        <v>Original issue amount is blank.</v>
      </c>
    </row>
    <row r="77" spans="1:15" ht="15" x14ac:dyDescent="0.2">
      <c r="A77" s="443" t="s">
        <v>451</v>
      </c>
      <c r="B77" s="443" t="str">
        <f t="shared" ca="1" si="4"/>
        <v>"From" interest rate is blank.</v>
      </c>
    </row>
    <row r="78" spans="1:15" ht="15" x14ac:dyDescent="0.2">
      <c r="A78" s="443" t="s">
        <v>452</v>
      </c>
      <c r="B78" s="443" t="str">
        <f t="shared" ca="1" si="4"/>
        <v>"To" interest rate is blank.</v>
      </c>
    </row>
    <row r="79" spans="1:15" ht="15" x14ac:dyDescent="0.2">
      <c r="A79" s="443" t="s">
        <v>453</v>
      </c>
      <c r="B79" s="443" t="str">
        <f t="shared" ca="1" si="4"/>
        <v>Final maturity date is blank.</v>
      </c>
    </row>
    <row r="80" spans="1:15" ht="15" x14ac:dyDescent="0.2">
      <c r="A80" s="443" t="s">
        <v>454</v>
      </c>
      <c r="B80" s="443" t="str">
        <f t="shared" ca="1" si="4"/>
        <v/>
      </c>
    </row>
    <row r="81" spans="1:2" ht="15" x14ac:dyDescent="0.2">
      <c r="A81" s="443" t="s">
        <v>455</v>
      </c>
      <c r="B81" s="443" t="str">
        <f t="shared" ca="1" si="4"/>
        <v/>
      </c>
    </row>
    <row r="82" spans="1:2" ht="15" x14ac:dyDescent="0.2">
      <c r="A82" s="443" t="s">
        <v>456</v>
      </c>
      <c r="B82" s="443" t="str">
        <f t="shared" ca="1" si="4"/>
        <v/>
      </c>
    </row>
  </sheetData>
  <sheetProtection algorithmName="SHA-512" hashValue="10BpeBP1OqzJn1QBGgVDYlHxEMcjufqSc3iGvyoJz1XoBOv5gP1wP616aEOnA/j3re8DNkUiFMfBVrRRB91SBg==" saltValue="kmQUB/5BZ9TfR2VrPBLE4Q==" spinCount="100000" sheet="1" objects="1" scenarios="1" autoFilter="0"/>
  <customSheetViews>
    <customSheetView guid="{B08879A4-635B-4C39-9937-AC7883D562FC}" showGridLines="0" fitToPage="1" hiddenColumns="1" topLeftCell="B1">
      <selection activeCell="B12" sqref="B12"/>
      <pageMargins left="0.75" right="0.5" top="0.5" bottom="0.5" header="0.5" footer="0.5"/>
      <pageSetup scale="88" orientation="portrait" r:id="rId1"/>
      <headerFooter alignWithMargins="0">
        <oddFooter>&amp;R&amp;A</oddFooter>
      </headerFooter>
    </customSheetView>
    <customSheetView guid="{9FCFC836-1CA5-48BF-958D-24D2EA94B219}" showGridLines="0" fitToPage="1" hiddenColumns="1" topLeftCell="B1">
      <selection activeCell="B12" sqref="B12"/>
      <pageMargins left="0.75" right="0.5" top="0.5" bottom="0.5" header="0.5" footer="0.5"/>
      <pageSetup scale="88" orientation="portrait" r:id="rId2"/>
      <headerFooter alignWithMargins="0">
        <oddFooter>&amp;R&amp;A</oddFooter>
      </headerFooter>
    </customSheetView>
  </customSheetViews>
  <mergeCells count="25">
    <mergeCell ref="D62:R62"/>
    <mergeCell ref="M41:O41"/>
    <mergeCell ref="P41:R41"/>
    <mergeCell ref="M44:R45"/>
    <mergeCell ref="J65:K65"/>
    <mergeCell ref="L65:M65"/>
    <mergeCell ref="N65:O65"/>
    <mergeCell ref="M38:R40"/>
    <mergeCell ref="M36:R36"/>
    <mergeCell ref="M46:R46"/>
    <mergeCell ref="G60:R60"/>
    <mergeCell ref="D61:R61"/>
    <mergeCell ref="M42:O42"/>
    <mergeCell ref="P42:R42"/>
    <mergeCell ref="S1:S3"/>
    <mergeCell ref="M33:R35"/>
    <mergeCell ref="I7:R7"/>
    <mergeCell ref="I8:R8"/>
    <mergeCell ref="I9:R9"/>
    <mergeCell ref="B3:R3"/>
    <mergeCell ref="B2:R2"/>
    <mergeCell ref="B1:R1"/>
    <mergeCell ref="I10:R10"/>
    <mergeCell ref="B4:R4"/>
    <mergeCell ref="B5:P5"/>
  </mergeCells>
  <phoneticPr fontId="15" type="noConversion"/>
  <conditionalFormatting sqref="S1:S3">
    <cfRule type="cellIs" dxfId="136" priority="3" stopIfTrue="1" operator="equal">
      <formula>"na"</formula>
    </cfRule>
  </conditionalFormatting>
  <dataValidations count="2">
    <dataValidation type="textLength" operator="equal" allowBlank="1" showErrorMessage="1" errorTitle="Invalid input!" error="Enter a single x." sqref="D25:D30" xr:uid="{E50059F1-B40B-43A8-96DE-FF4D63BBDC1D}">
      <formula1>1</formula1>
    </dataValidation>
    <dataValidation type="list" allowBlank="1" showInputMessage="1" showErrorMessage="1" sqref="E8" xr:uid="{41F6FE68-D9EF-4721-8CAC-C510B858DC93}">
      <formula1>"GovtAct,BTAAct"</formula1>
    </dataValidation>
  </dataValidations>
  <hyperlinks>
    <hyperlink ref="B1:R1" location="Index!A1" display="Index!A1" xr:uid="{00000000-0004-0000-0F00-000000000000}"/>
  </hyperlinks>
  <pageMargins left="0.75" right="0.5" top="0.5" bottom="0.5" header="0.5" footer="0.5"/>
  <pageSetup scale="84" orientation="portrait" r:id="rId3"/>
  <headerFooter alignWithMargins="0">
    <oddFooter>&amp;R&amp;A</oddFooter>
  </headerFooter>
  <ignoredErrors>
    <ignoredError sqref="I9:I10"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N51"/>
  <sheetViews>
    <sheetView topLeftCell="A6" zoomScaleNormal="100" workbookViewId="0">
      <selection activeCell="E15" sqref="E15"/>
    </sheetView>
  </sheetViews>
  <sheetFormatPr defaultColWidth="9.42578125" defaultRowHeight="12.75" x14ac:dyDescent="0.2"/>
  <cols>
    <col min="1" max="1" width="11.5703125" style="675" customWidth="1"/>
    <col min="2" max="2" width="2.42578125" style="675" customWidth="1"/>
    <col min="3" max="3" width="14.5703125" style="675" customWidth="1"/>
    <col min="4" max="4" width="2.42578125" style="675" customWidth="1"/>
    <col min="5" max="5" width="59.42578125" style="675" customWidth="1"/>
    <col min="6" max="6" width="6.5703125" style="675" customWidth="1"/>
    <col min="7" max="7" width="46.5703125" style="675" hidden="1" customWidth="1"/>
    <col min="8" max="8" width="9.140625" style="675" hidden="1" customWidth="1"/>
    <col min="9" max="9" width="10.5703125" style="675" hidden="1" customWidth="1"/>
    <col min="10" max="10" width="10.140625" style="675" customWidth="1"/>
    <col min="11" max="13" width="12.42578125" style="675" customWidth="1"/>
    <col min="14" max="16384" width="9.42578125" style="675"/>
  </cols>
  <sheetData>
    <row r="1" spans="1:14" s="1663" customFormat="1" ht="18.75" x14ac:dyDescent="0.3">
      <c r="A1" s="2377" t="s">
        <v>1007</v>
      </c>
      <c r="B1" s="2378"/>
      <c r="C1" s="2378"/>
      <c r="D1" s="2378"/>
      <c r="E1" s="2378"/>
    </row>
    <row r="2" spans="1:14" s="1663" customFormat="1" ht="15.75" x14ac:dyDescent="0.25">
      <c r="A2" s="2379" t="s">
        <v>5324</v>
      </c>
      <c r="B2" s="2379"/>
      <c r="C2" s="2379"/>
      <c r="D2" s="2379"/>
      <c r="E2" s="2379"/>
      <c r="G2" s="1864" t="s">
        <v>4473</v>
      </c>
    </row>
    <row r="3" spans="1:14" s="1663" customFormat="1" ht="15.75" x14ac:dyDescent="0.25">
      <c r="A3" s="1673"/>
      <c r="B3" s="1673"/>
      <c r="C3" s="1673"/>
      <c r="D3" s="1673"/>
      <c r="E3" s="1673"/>
    </row>
    <row r="4" spans="1:14" ht="15.75" customHeight="1" x14ac:dyDescent="0.25">
      <c r="G4" s="2380" t="s">
        <v>4226</v>
      </c>
      <c r="H4" s="2380"/>
      <c r="I4" s="2380"/>
      <c r="J4" s="2380"/>
    </row>
    <row r="5" spans="1:14" ht="95.1" customHeight="1" thickBot="1" x14ac:dyDescent="0.3">
      <c r="A5" s="1675" t="s">
        <v>4220</v>
      </c>
      <c r="C5" s="1675" t="s">
        <v>4225</v>
      </c>
      <c r="E5" s="1674" t="s">
        <v>4227</v>
      </c>
      <c r="G5" s="1675" t="s">
        <v>4221</v>
      </c>
      <c r="H5" s="1675" t="s">
        <v>4222</v>
      </c>
      <c r="I5" s="1675" t="s">
        <v>4223</v>
      </c>
      <c r="J5" s="1675" t="s">
        <v>4224</v>
      </c>
    </row>
    <row r="6" spans="1:14" ht="114.75" thickBot="1" x14ac:dyDescent="0.25">
      <c r="A6" s="1891">
        <v>44707</v>
      </c>
      <c r="B6" s="1892"/>
      <c r="C6" s="1893" t="s">
        <v>5761</v>
      </c>
      <c r="D6" s="1892"/>
      <c r="E6" s="1894" t="s">
        <v>5763</v>
      </c>
      <c r="G6" s="2227" t="s">
        <v>4383</v>
      </c>
      <c r="H6" s="1680">
        <v>44707</v>
      </c>
      <c r="I6" s="1680">
        <v>44707</v>
      </c>
      <c r="J6" s="1834"/>
    </row>
    <row r="7" spans="1:14" ht="114" x14ac:dyDescent="0.2">
      <c r="A7" s="1891">
        <v>44707</v>
      </c>
      <c r="B7" s="1892"/>
      <c r="C7" s="1893" t="s">
        <v>5761</v>
      </c>
      <c r="D7" s="1892"/>
      <c r="E7" s="1894" t="s">
        <v>5762</v>
      </c>
      <c r="G7" s="2227" t="s">
        <v>4383</v>
      </c>
      <c r="H7" s="1680">
        <v>44707</v>
      </c>
      <c r="I7" s="1680">
        <v>44707</v>
      </c>
      <c r="J7" s="1834"/>
      <c r="N7" s="1201"/>
    </row>
    <row r="8" spans="1:14" ht="57" customHeight="1" x14ac:dyDescent="0.2">
      <c r="A8" s="2081">
        <v>44729</v>
      </c>
      <c r="B8" s="2052"/>
      <c r="C8" s="2362" t="s">
        <v>5764</v>
      </c>
      <c r="D8" s="2052"/>
      <c r="E8" s="2053" t="s">
        <v>5765</v>
      </c>
      <c r="F8" s="2054"/>
      <c r="G8" s="1833" t="s">
        <v>5766</v>
      </c>
      <c r="H8" s="1680">
        <v>44729</v>
      </c>
      <c r="I8" s="1680">
        <v>44729</v>
      </c>
      <c r="J8" s="1834"/>
    </row>
    <row r="9" spans="1:14" s="2373" customFormat="1" ht="28.5" x14ac:dyDescent="0.2">
      <c r="A9" s="2081">
        <v>44748</v>
      </c>
      <c r="B9" s="2372"/>
      <c r="C9" s="2080" t="s">
        <v>5891</v>
      </c>
      <c r="D9" s="2372"/>
      <c r="E9" s="2053" t="s">
        <v>5890</v>
      </c>
      <c r="G9" s="2374"/>
      <c r="H9" s="2375"/>
      <c r="I9" s="2375"/>
      <c r="J9" s="2375"/>
    </row>
    <row r="10" spans="1:14" ht="42.75" x14ac:dyDescent="0.2">
      <c r="A10" s="1895">
        <v>44756</v>
      </c>
      <c r="B10" s="1892"/>
      <c r="C10" s="1893" t="s">
        <v>5896</v>
      </c>
      <c r="D10" s="1892"/>
      <c r="E10" s="1894" t="s">
        <v>5897</v>
      </c>
      <c r="G10" s="1681"/>
      <c r="H10" s="1680"/>
      <c r="I10" s="1680"/>
      <c r="J10" s="1680"/>
    </row>
    <row r="11" spans="1:14" ht="33" customHeight="1" x14ac:dyDescent="0.2">
      <c r="A11" s="1895">
        <v>44761</v>
      </c>
      <c r="B11" s="1892"/>
      <c r="C11" s="1893" t="s">
        <v>5900</v>
      </c>
      <c r="D11" s="1892"/>
      <c r="E11" s="1894" t="s">
        <v>5901</v>
      </c>
      <c r="G11" s="1833"/>
      <c r="H11" s="1680"/>
      <c r="I11" s="1680"/>
      <c r="J11" s="1834"/>
    </row>
    <row r="12" spans="1:14" s="1667" customFormat="1" ht="33" customHeight="1" x14ac:dyDescent="0.2">
      <c r="A12" s="1895">
        <v>44762</v>
      </c>
      <c r="B12" s="1897"/>
      <c r="C12" s="1893" t="s">
        <v>5392</v>
      </c>
      <c r="D12" s="1897"/>
      <c r="E12" s="1894" t="s">
        <v>5902</v>
      </c>
      <c r="G12" s="1681"/>
      <c r="H12" s="1682"/>
      <c r="I12" s="1682"/>
      <c r="J12" s="1682"/>
    </row>
    <row r="13" spans="1:14" ht="33" customHeight="1" x14ac:dyDescent="0.2">
      <c r="A13" s="1895">
        <v>44774</v>
      </c>
      <c r="B13" s="1892"/>
      <c r="C13" s="1893" t="s">
        <v>5903</v>
      </c>
      <c r="D13" s="1892"/>
      <c r="E13" s="2053" t="s">
        <v>5890</v>
      </c>
      <c r="G13" s="1833" t="s">
        <v>5766</v>
      </c>
      <c r="H13" s="1682">
        <v>44774</v>
      </c>
      <c r="I13" s="1682">
        <v>44774</v>
      </c>
      <c r="J13" s="1682"/>
    </row>
    <row r="14" spans="1:14" ht="49.35" customHeight="1" x14ac:dyDescent="0.2">
      <c r="A14" s="2081"/>
      <c r="B14" s="1892"/>
      <c r="C14" s="1893"/>
      <c r="D14" s="1892"/>
      <c r="E14" s="1894"/>
      <c r="G14" s="1833"/>
      <c r="H14" s="1680"/>
      <c r="I14" s="1680"/>
      <c r="J14" s="1680"/>
    </row>
    <row r="15" spans="1:14" ht="113.45" customHeight="1" x14ac:dyDescent="0.2">
      <c r="A15" s="2081"/>
      <c r="B15" s="1892"/>
      <c r="C15" s="2080"/>
      <c r="D15" s="1892"/>
      <c r="E15" s="2079"/>
      <c r="G15" s="1833"/>
      <c r="H15" s="1680"/>
      <c r="I15" s="1680"/>
      <c r="J15" s="1680"/>
    </row>
    <row r="16" spans="1:14" ht="33" customHeight="1" x14ac:dyDescent="0.2">
      <c r="A16" s="1895"/>
      <c r="B16" s="1892"/>
      <c r="C16" s="1893"/>
      <c r="D16" s="1892"/>
      <c r="E16" s="1896"/>
      <c r="G16" s="1679"/>
      <c r="H16" s="1680"/>
      <c r="I16" s="1680"/>
      <c r="J16" s="1680"/>
    </row>
    <row r="17" spans="1:10" ht="33" customHeight="1" x14ac:dyDescent="0.2">
      <c r="A17" s="1677"/>
      <c r="B17" s="1664"/>
      <c r="C17" s="1683"/>
      <c r="D17" s="1664"/>
      <c r="E17" s="1676"/>
      <c r="G17" s="1679"/>
      <c r="H17" s="1680"/>
      <c r="I17" s="1680"/>
      <c r="J17" s="1680"/>
    </row>
    <row r="18" spans="1:10" ht="33" customHeight="1" x14ac:dyDescent="0.2">
      <c r="A18" s="1677"/>
      <c r="B18" s="1664"/>
      <c r="C18" s="1683"/>
      <c r="D18" s="1664"/>
      <c r="E18" s="1676"/>
      <c r="G18" s="1679"/>
      <c r="H18" s="1680"/>
      <c r="I18" s="1680"/>
      <c r="J18" s="1680"/>
    </row>
    <row r="19" spans="1:10" ht="33" customHeight="1" x14ac:dyDescent="0.2">
      <c r="A19" s="1677"/>
      <c r="B19" s="1664"/>
      <c r="C19" s="1683"/>
      <c r="D19" s="1664"/>
      <c r="E19" s="1676"/>
      <c r="G19" s="1679"/>
      <c r="H19" s="1680"/>
      <c r="I19" s="1680"/>
      <c r="J19" s="1680"/>
    </row>
    <row r="20" spans="1:10" ht="33" customHeight="1" x14ac:dyDescent="0.2">
      <c r="A20" s="1677"/>
      <c r="B20" s="1664"/>
      <c r="C20" s="1684"/>
      <c r="D20" s="1664"/>
      <c r="E20" s="1676"/>
      <c r="G20" s="1679"/>
      <c r="H20" s="1680"/>
      <c r="I20" s="1680"/>
      <c r="J20" s="1680"/>
    </row>
    <row r="21" spans="1:10" ht="33" customHeight="1" x14ac:dyDescent="0.2">
      <c r="A21" s="1677"/>
      <c r="B21" s="1664"/>
      <c r="C21" s="1683"/>
      <c r="D21" s="1664"/>
      <c r="E21" s="1676"/>
      <c r="G21" s="1679"/>
      <c r="H21" s="1680"/>
      <c r="I21" s="1680"/>
      <c r="J21" s="1680"/>
    </row>
    <row r="22" spans="1:10" ht="33" customHeight="1" x14ac:dyDescent="0.2">
      <c r="A22" s="1677"/>
      <c r="B22" s="1664"/>
      <c r="C22" s="1683"/>
      <c r="D22" s="1664"/>
      <c r="E22" s="1676"/>
      <c r="G22" s="1679"/>
      <c r="H22" s="1680"/>
      <c r="I22" s="1680"/>
      <c r="J22" s="1680"/>
    </row>
    <row r="23" spans="1:10" ht="33" customHeight="1" x14ac:dyDescent="0.2">
      <c r="A23" s="1677"/>
      <c r="B23" s="1664"/>
      <c r="C23" s="1683"/>
      <c r="D23" s="1664"/>
      <c r="E23" s="1676"/>
      <c r="G23" s="1679"/>
      <c r="H23" s="1680"/>
      <c r="I23" s="1680"/>
      <c r="J23" s="1680"/>
    </row>
    <row r="24" spans="1:10" ht="33" customHeight="1" x14ac:dyDescent="0.2">
      <c r="A24" s="1677"/>
      <c r="B24" s="1664"/>
      <c r="C24" s="1683"/>
      <c r="D24" s="1664"/>
      <c r="E24" s="1676"/>
      <c r="G24" s="1679"/>
      <c r="H24" s="1680"/>
      <c r="I24" s="1680"/>
      <c r="J24" s="1680"/>
    </row>
    <row r="25" spans="1:10" ht="33" customHeight="1" x14ac:dyDescent="0.2">
      <c r="A25" s="1677"/>
      <c r="B25" s="1664"/>
      <c r="C25" s="1683"/>
      <c r="D25" s="1664"/>
      <c r="E25" s="1676"/>
      <c r="G25" s="1679"/>
      <c r="H25" s="1680"/>
      <c r="I25" s="1680"/>
      <c r="J25" s="1680"/>
    </row>
    <row r="26" spans="1:10" ht="33" customHeight="1" x14ac:dyDescent="0.2">
      <c r="A26" s="1677"/>
      <c r="B26" s="1664"/>
      <c r="C26" s="1683"/>
      <c r="D26" s="1664"/>
      <c r="E26" s="1676"/>
      <c r="G26" s="1679"/>
      <c r="H26" s="1680"/>
      <c r="I26" s="1680"/>
      <c r="J26" s="1680"/>
    </row>
    <row r="27" spans="1:10" ht="33" customHeight="1" x14ac:dyDescent="0.2">
      <c r="A27" s="1677"/>
      <c r="B27" s="1664"/>
      <c r="C27" s="1683"/>
      <c r="D27" s="1664"/>
      <c r="E27" s="1676"/>
      <c r="G27" s="1679"/>
      <c r="H27" s="1680"/>
      <c r="I27" s="1680"/>
      <c r="J27" s="1680"/>
    </row>
    <row r="28" spans="1:10" ht="33" customHeight="1" x14ac:dyDescent="0.2">
      <c r="A28" s="1677"/>
      <c r="B28" s="1664"/>
      <c r="C28" s="1683"/>
      <c r="D28" s="1664"/>
      <c r="E28" s="1676"/>
      <c r="G28" s="1679"/>
      <c r="H28" s="1680"/>
      <c r="I28" s="1680"/>
      <c r="J28" s="1680"/>
    </row>
    <row r="29" spans="1:10" ht="33" customHeight="1" x14ac:dyDescent="0.2">
      <c r="A29" s="1677"/>
      <c r="B29" s="1664"/>
      <c r="C29" s="1683"/>
      <c r="D29" s="1664"/>
      <c r="E29" s="1676"/>
      <c r="G29" s="1679"/>
      <c r="H29" s="1680"/>
      <c r="I29" s="1680"/>
      <c r="J29" s="1680"/>
    </row>
    <row r="30" spans="1:10" ht="33" customHeight="1" x14ac:dyDescent="0.2">
      <c r="A30" s="1677"/>
      <c r="B30" s="1664"/>
      <c r="C30" s="1683"/>
      <c r="D30" s="1664"/>
      <c r="E30" s="1676"/>
      <c r="G30" s="1679"/>
      <c r="H30" s="1680"/>
      <c r="I30" s="1680"/>
      <c r="J30" s="1680"/>
    </row>
    <row r="31" spans="1:10" ht="33" customHeight="1" x14ac:dyDescent="0.2">
      <c r="A31" s="1677"/>
      <c r="B31" s="1664"/>
      <c r="C31" s="1683"/>
      <c r="D31" s="1664"/>
      <c r="E31" s="1676"/>
      <c r="G31" s="1679"/>
      <c r="H31" s="1680"/>
      <c r="I31" s="1680"/>
      <c r="J31" s="1680"/>
    </row>
    <row r="32" spans="1:10" ht="33" customHeight="1" x14ac:dyDescent="0.2">
      <c r="A32" s="1678"/>
      <c r="B32" s="1664"/>
      <c r="C32" s="1683"/>
      <c r="D32" s="1664"/>
      <c r="E32" s="1676"/>
      <c r="G32" s="1679"/>
      <c r="H32" s="1680"/>
      <c r="I32" s="1680"/>
      <c r="J32" s="1680"/>
    </row>
    <row r="33" spans="1:10" ht="33" customHeight="1" x14ac:dyDescent="0.2">
      <c r="A33" s="1678"/>
      <c r="B33" s="1664"/>
      <c r="C33" s="1683"/>
      <c r="D33" s="1664"/>
      <c r="E33" s="1676"/>
      <c r="G33" s="1679"/>
      <c r="H33" s="1680"/>
      <c r="I33" s="1680"/>
      <c r="J33" s="1680"/>
    </row>
    <row r="34" spans="1:10" ht="33" customHeight="1" x14ac:dyDescent="0.2">
      <c r="A34" s="1678"/>
      <c r="B34" s="1664"/>
      <c r="C34" s="1683"/>
      <c r="D34" s="1664"/>
      <c r="E34" s="1676"/>
      <c r="G34" s="1679"/>
      <c r="H34" s="1680"/>
      <c r="I34" s="1680"/>
      <c r="J34" s="1680"/>
    </row>
    <row r="35" spans="1:10" ht="14.25" x14ac:dyDescent="0.2">
      <c r="A35" s="1664"/>
      <c r="B35" s="1664"/>
      <c r="C35" s="1671"/>
      <c r="D35" s="1664"/>
      <c r="E35" s="1672"/>
    </row>
    <row r="36" spans="1:10" ht="14.25" x14ac:dyDescent="0.2">
      <c r="A36" s="1664"/>
      <c r="B36" s="1664"/>
      <c r="C36" s="1671"/>
      <c r="D36" s="1664"/>
      <c r="E36" s="1672"/>
    </row>
    <row r="37" spans="1:10" ht="14.25" x14ac:dyDescent="0.2">
      <c r="A37" s="1664"/>
      <c r="B37" s="1664"/>
      <c r="C37" s="1671"/>
      <c r="D37" s="1664"/>
      <c r="E37" s="1672"/>
    </row>
    <row r="38" spans="1:10" ht="14.25" x14ac:dyDescent="0.2">
      <c r="A38" s="1664"/>
      <c r="B38" s="1664"/>
      <c r="C38" s="1671"/>
      <c r="D38" s="1664"/>
      <c r="E38" s="1672"/>
    </row>
    <row r="39" spans="1:10" ht="14.25" x14ac:dyDescent="0.2">
      <c r="A39" s="1664"/>
      <c r="B39" s="1664"/>
      <c r="C39" s="1671"/>
      <c r="D39" s="1664"/>
      <c r="E39" s="1672"/>
    </row>
    <row r="40" spans="1:10" ht="14.25" x14ac:dyDescent="0.2">
      <c r="A40" s="1664"/>
      <c r="B40" s="1664"/>
      <c r="C40" s="1671"/>
      <c r="D40" s="1664"/>
      <c r="E40" s="1672"/>
    </row>
    <row r="41" spans="1:10" ht="14.25" x14ac:dyDescent="0.2">
      <c r="A41" s="1664"/>
      <c r="B41" s="1664"/>
      <c r="C41" s="1671"/>
      <c r="D41" s="1664"/>
      <c r="E41" s="1672"/>
    </row>
    <row r="42" spans="1:10" ht="14.25" x14ac:dyDescent="0.2">
      <c r="A42" s="1664"/>
      <c r="B42" s="1664"/>
      <c r="C42" s="1671"/>
      <c r="D42" s="1664"/>
      <c r="E42" s="1672"/>
    </row>
    <row r="43" spans="1:10" ht="14.25" x14ac:dyDescent="0.2">
      <c r="A43" s="1664"/>
      <c r="B43" s="1664"/>
      <c r="C43" s="1671"/>
      <c r="D43" s="1664"/>
      <c r="E43" s="1672"/>
    </row>
    <row r="44" spans="1:10" ht="14.25" x14ac:dyDescent="0.2">
      <c r="A44" s="1664"/>
      <c r="B44" s="1664"/>
      <c r="C44" s="1671"/>
      <c r="D44" s="1664"/>
      <c r="E44" s="1672"/>
    </row>
    <row r="45" spans="1:10" ht="14.25" x14ac:dyDescent="0.2">
      <c r="A45" s="1664"/>
      <c r="B45" s="1664"/>
      <c r="C45" s="1671"/>
      <c r="D45" s="1664"/>
      <c r="E45" s="1672"/>
    </row>
    <row r="46" spans="1:10" ht="14.25" x14ac:dyDescent="0.2">
      <c r="A46" s="1664"/>
      <c r="B46" s="1664"/>
      <c r="C46" s="1671"/>
      <c r="D46" s="1664"/>
      <c r="E46" s="1672"/>
    </row>
    <row r="47" spans="1:10" ht="14.25" x14ac:dyDescent="0.2">
      <c r="A47" s="1664"/>
      <c r="B47" s="1664"/>
      <c r="C47" s="1671"/>
      <c r="D47" s="1664"/>
      <c r="E47" s="1672"/>
    </row>
    <row r="48" spans="1:10" ht="14.25" x14ac:dyDescent="0.2">
      <c r="A48" s="1664"/>
      <c r="B48" s="1664"/>
      <c r="C48" s="1671"/>
      <c r="D48" s="1664"/>
      <c r="E48" s="1672"/>
    </row>
    <row r="49" spans="1:5" ht="14.25" x14ac:dyDescent="0.2">
      <c r="A49" s="1664"/>
      <c r="B49" s="1664"/>
      <c r="C49" s="1671"/>
      <c r="D49" s="1664"/>
      <c r="E49" s="1672"/>
    </row>
    <row r="50" spans="1:5" ht="14.25" x14ac:dyDescent="0.2">
      <c r="A50" s="1664"/>
      <c r="B50" s="1664"/>
      <c r="C50" s="1671"/>
      <c r="D50" s="1664"/>
      <c r="E50" s="1672"/>
    </row>
    <row r="51" spans="1:5" ht="14.25" x14ac:dyDescent="0.2">
      <c r="A51" s="1664"/>
      <c r="B51" s="1664"/>
      <c r="C51" s="1671"/>
      <c r="D51" s="1664"/>
      <c r="E51" s="1672"/>
    </row>
  </sheetData>
  <sheetProtection algorithmName="SHA-512" hashValue="UHDvrft5KESTMrWREvqj2uyiAfKxa+Rdur35QAJ9uw5pJSnyJ2HfH1sJNaxTqBeWU+msmvGdizYINr/+NRWV6w==" saltValue="QCbS/3ZOeovCJccf2GoeYg==" spinCount="100000" sheet="1" objects="1" scenarios="1" autoFilter="0"/>
  <mergeCells count="3">
    <mergeCell ref="A1:E1"/>
    <mergeCell ref="A2:E2"/>
    <mergeCell ref="G4:J4"/>
  </mergeCells>
  <pageMargins left="0.5" right="0.5" top="0.5" bottom="0.5" header="0.3" footer="0.3"/>
  <pageSetup scale="8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pageSetUpPr fitToPage="1"/>
  </sheetPr>
  <dimension ref="A1:AA65"/>
  <sheetViews>
    <sheetView showGridLines="0" zoomScaleNormal="100" workbookViewId="0">
      <selection activeCell="A15" sqref="A15:E15"/>
    </sheetView>
  </sheetViews>
  <sheetFormatPr defaultColWidth="9.42578125" defaultRowHeight="11.25" x14ac:dyDescent="0.2"/>
  <cols>
    <col min="1" max="1" width="1.5703125" style="40" customWidth="1"/>
    <col min="2" max="2" width="4.42578125" style="40" customWidth="1"/>
    <col min="3" max="3" width="7.5703125" style="40" customWidth="1"/>
    <col min="4" max="4" width="1.5703125" style="40" customWidth="1"/>
    <col min="5" max="5" width="13.5703125" style="40" customWidth="1"/>
    <col min="6" max="6" width="1.5703125" style="40" customWidth="1"/>
    <col min="7" max="7" width="9.5703125" style="40" customWidth="1"/>
    <col min="8" max="8" width="2.5703125" style="40" customWidth="1"/>
    <col min="9" max="9" width="16.5703125" style="40" customWidth="1"/>
    <col min="10" max="10" width="1.42578125" style="40" customWidth="1"/>
    <col min="11" max="11" width="8.42578125" style="40" customWidth="1"/>
    <col min="12" max="12" width="6.42578125" style="40" customWidth="1"/>
    <col min="13" max="13" width="22.5703125" style="40" customWidth="1"/>
    <col min="14" max="14" width="4.5703125" style="40" customWidth="1"/>
    <col min="15" max="16384" width="9.42578125" style="40"/>
  </cols>
  <sheetData>
    <row r="1" spans="1:27" s="41" customFormat="1" ht="15" customHeight="1" x14ac:dyDescent="0.25">
      <c r="A1" s="2449" t="str">
        <f>+Index!$A$1</f>
        <v xml:space="preserve">                                                               Office of the State Controller                                                                </v>
      </c>
      <c r="B1" s="2449"/>
      <c r="C1" s="2449"/>
      <c r="D1" s="2449"/>
      <c r="E1" s="2449"/>
      <c r="F1" s="2449"/>
      <c r="G1" s="2449"/>
      <c r="H1" s="2449"/>
      <c r="I1" s="2449"/>
      <c r="J1" s="2449"/>
      <c r="K1" s="2449"/>
      <c r="L1" s="2449"/>
      <c r="M1" s="2449"/>
      <c r="N1" s="2510" t="str">
        <f>IF(Index!$B$34="na","NA","")</f>
        <v/>
      </c>
      <c r="AA1" s="42"/>
    </row>
    <row r="2" spans="1:27" s="41" customFormat="1" ht="15" customHeight="1" x14ac:dyDescent="0.25">
      <c r="A2" s="2489" t="str">
        <f>+Index!$A$2</f>
        <v>2022 ACFR Worksheets</v>
      </c>
      <c r="B2" s="2489"/>
      <c r="C2" s="2489"/>
      <c r="D2" s="2489"/>
      <c r="E2" s="2489"/>
      <c r="F2" s="2489"/>
      <c r="G2" s="2489"/>
      <c r="H2" s="2489"/>
      <c r="I2" s="2489"/>
      <c r="J2" s="2489"/>
      <c r="K2" s="2489"/>
      <c r="L2" s="2489"/>
      <c r="M2" s="2489"/>
      <c r="N2" s="2510"/>
    </row>
    <row r="3" spans="1:27" s="41" customFormat="1" ht="15" customHeight="1" x14ac:dyDescent="0.25">
      <c r="A3" s="2489" t="s">
        <v>3502</v>
      </c>
      <c r="B3" s="2489"/>
      <c r="C3" s="2489"/>
      <c r="D3" s="2489"/>
      <c r="E3" s="2489"/>
      <c r="F3" s="2489"/>
      <c r="G3" s="2489"/>
      <c r="H3" s="2489"/>
      <c r="I3" s="2489"/>
      <c r="J3" s="2489"/>
      <c r="K3" s="2489"/>
      <c r="L3" s="2489"/>
      <c r="M3" s="2489"/>
      <c r="N3" s="2510"/>
    </row>
    <row r="4" spans="1:27" s="132" customFormat="1" ht="15" customHeight="1" x14ac:dyDescent="0.2">
      <c r="H4" s="137"/>
    </row>
    <row r="5" spans="1:27" s="132" customFormat="1" ht="15" customHeight="1" x14ac:dyDescent="0.2">
      <c r="D5" s="137"/>
      <c r="I5" s="134" t="s">
        <v>327</v>
      </c>
      <c r="J5" s="2567" t="str">
        <f>+Index!$E$10</f>
        <v>01</v>
      </c>
      <c r="K5" s="2567"/>
      <c r="L5" s="2567"/>
      <c r="M5" s="2567"/>
      <c r="N5" s="890"/>
    </row>
    <row r="6" spans="1:27" s="132" customFormat="1" ht="15" customHeight="1" x14ac:dyDescent="0.2">
      <c r="I6" s="134" t="s">
        <v>1154</v>
      </c>
      <c r="J6" s="2561" t="str">
        <f>+Index!$E$11</f>
        <v>North Carolina General Assembly</v>
      </c>
      <c r="K6" s="2561"/>
      <c r="L6" s="2561"/>
      <c r="M6" s="2561"/>
      <c r="N6" s="890"/>
    </row>
    <row r="7" spans="1:27" s="132" customFormat="1" ht="15" customHeight="1" x14ac:dyDescent="0.2">
      <c r="A7" s="132" t="s">
        <v>477</v>
      </c>
      <c r="D7" s="2562" t="s">
        <v>805</v>
      </c>
      <c r="E7" s="2563"/>
      <c r="I7" s="134" t="s">
        <v>972</v>
      </c>
      <c r="J7" s="2513" t="str">
        <f>CONCATENATE(Index!$E$12," ",Index!$E$14)</f>
        <v xml:space="preserve"> </v>
      </c>
      <c r="K7" s="2513"/>
      <c r="L7" s="2513"/>
      <c r="M7" s="2513"/>
      <c r="N7" s="891"/>
    </row>
    <row r="8" spans="1:27" s="132" customFormat="1" ht="15" customHeight="1" x14ac:dyDescent="0.2">
      <c r="D8" s="137"/>
      <c r="I8" s="134" t="s">
        <v>348</v>
      </c>
      <c r="J8" s="2564">
        <f>+Index!$E$13</f>
        <v>0</v>
      </c>
      <c r="K8" s="2564"/>
      <c r="L8" s="2564"/>
      <c r="M8" s="2564"/>
      <c r="N8" s="892"/>
    </row>
    <row r="9" spans="1:27" s="132" customFormat="1" ht="6" customHeight="1" thickBot="1" x14ac:dyDescent="0.25">
      <c r="A9" s="136"/>
      <c r="B9" s="136"/>
      <c r="C9" s="136"/>
      <c r="D9" s="136"/>
      <c r="E9" s="136"/>
      <c r="F9" s="136"/>
      <c r="G9" s="136"/>
      <c r="H9" s="136"/>
      <c r="I9" s="136"/>
      <c r="J9" s="136"/>
      <c r="K9" s="136"/>
      <c r="L9" s="136"/>
      <c r="M9" s="136"/>
    </row>
    <row r="10" spans="1:27" s="132" customFormat="1" ht="5.0999999999999996" customHeight="1" x14ac:dyDescent="0.2"/>
    <row r="11" spans="1:27" s="132" customFormat="1" ht="5.0999999999999996" customHeight="1" x14ac:dyDescent="0.2"/>
    <row r="12" spans="1:27" s="132" customFormat="1" ht="12.75" customHeight="1" x14ac:dyDescent="0.2">
      <c r="A12" s="2559" t="s">
        <v>1268</v>
      </c>
      <c r="B12" s="2378"/>
      <c r="C12" s="2378"/>
      <c r="D12" s="2378"/>
      <c r="E12" s="2378"/>
      <c r="F12" s="2378"/>
      <c r="G12" s="2378"/>
      <c r="H12" s="2378"/>
      <c r="I12" s="2378"/>
      <c r="J12" s="2378"/>
      <c r="K12" s="2378"/>
      <c r="L12" s="2378"/>
      <c r="M12" s="2378"/>
    </row>
    <row r="13" spans="1:27" s="132" customFormat="1" ht="12.75" customHeight="1" x14ac:dyDescent="0.2">
      <c r="A13" s="2560" t="s">
        <v>4163</v>
      </c>
      <c r="B13" s="2378"/>
      <c r="C13" s="2378"/>
      <c r="D13" s="2378"/>
      <c r="E13" s="2378"/>
      <c r="F13" s="2378"/>
      <c r="G13" s="2378"/>
      <c r="H13" s="2378"/>
      <c r="I13" s="2378"/>
      <c r="J13" s="2378"/>
      <c r="K13" s="2378"/>
      <c r="L13" s="2378"/>
      <c r="M13" s="2378"/>
    </row>
    <row r="14" spans="1:27" s="132" customFormat="1" ht="12.75" customHeight="1" x14ac:dyDescent="0.2">
      <c r="A14" s="1653" t="s">
        <v>4166</v>
      </c>
      <c r="B14"/>
      <c r="C14"/>
      <c r="D14"/>
      <c r="E14"/>
      <c r="F14"/>
      <c r="G14"/>
      <c r="H14"/>
      <c r="I14"/>
      <c r="J14"/>
      <c r="K14"/>
      <c r="L14"/>
      <c r="M14"/>
    </row>
    <row r="15" spans="1:27" s="132" customFormat="1" ht="12.75" customHeight="1" x14ac:dyDescent="0.2">
      <c r="A15" s="2565" t="s">
        <v>4164</v>
      </c>
      <c r="B15" s="2566"/>
      <c r="C15" s="2566"/>
      <c r="D15" s="2566"/>
      <c r="E15" s="2566"/>
      <c r="F15"/>
      <c r="G15"/>
      <c r="H15"/>
      <c r="I15"/>
      <c r="J15"/>
      <c r="K15"/>
      <c r="L15"/>
      <c r="M15"/>
    </row>
    <row r="16" spans="1:27" s="132" customFormat="1" ht="10.35" customHeight="1" x14ac:dyDescent="0.2">
      <c r="A16" s="1654"/>
      <c r="B16" s="2"/>
      <c r="C16" s="2"/>
      <c r="D16" s="2"/>
      <c r="E16" s="2"/>
      <c r="F16"/>
      <c r="G16"/>
      <c r="H16"/>
      <c r="I16"/>
      <c r="J16"/>
      <c r="K16"/>
      <c r="L16"/>
      <c r="M16"/>
    </row>
    <row r="17" spans="1:13" s="132" customFormat="1" ht="14.1" customHeight="1" x14ac:dyDescent="0.25">
      <c r="A17" s="2560" t="s">
        <v>4165</v>
      </c>
      <c r="B17" s="2378"/>
      <c r="C17" s="2378"/>
      <c r="D17" s="2378"/>
      <c r="E17" s="2378"/>
      <c r="F17" s="2378"/>
      <c r="G17" s="2378"/>
      <c r="H17" s="2378"/>
      <c r="I17" s="2378"/>
      <c r="J17" s="2378"/>
      <c r="K17" s="2378"/>
      <c r="L17" s="2378"/>
      <c r="M17" s="2378"/>
    </row>
    <row r="18" spans="1:13" s="132" customFormat="1" ht="10.35" customHeight="1" x14ac:dyDescent="0.2">
      <c r="A18" s="834"/>
      <c r="B18"/>
      <c r="C18"/>
      <c r="D18"/>
      <c r="E18"/>
      <c r="F18"/>
      <c r="G18"/>
      <c r="H18"/>
      <c r="I18"/>
      <c r="J18"/>
      <c r="K18"/>
      <c r="L18"/>
      <c r="M18"/>
    </row>
    <row r="19" spans="1:13" s="132" customFormat="1" ht="15" customHeight="1" x14ac:dyDescent="0.2">
      <c r="A19" s="828" t="s">
        <v>1267</v>
      </c>
    </row>
    <row r="20" spans="1:13" s="132" customFormat="1" ht="15" customHeight="1" x14ac:dyDescent="0.2">
      <c r="B20" s="827" t="s">
        <v>1266</v>
      </c>
      <c r="C20" s="822"/>
      <c r="G20" s="827"/>
      <c r="I20" s="886"/>
      <c r="K20" s="829" t="s">
        <v>1265</v>
      </c>
    </row>
    <row r="21" spans="1:13" s="132" customFormat="1" ht="14.85" customHeight="1" x14ac:dyDescent="0.2">
      <c r="B21" s="132" t="s">
        <v>1264</v>
      </c>
      <c r="C21" s="822"/>
      <c r="G21" s="827"/>
      <c r="I21" s="887"/>
      <c r="K21" s="829" t="s">
        <v>1263</v>
      </c>
    </row>
    <row r="22" spans="1:13" s="132" customFormat="1" ht="14.85" customHeight="1" thickBot="1" x14ac:dyDescent="0.25">
      <c r="B22" s="833" t="s">
        <v>1262</v>
      </c>
      <c r="C22" s="822"/>
      <c r="G22" s="827"/>
      <c r="I22" s="888">
        <f>SUM(I20:I21)</f>
        <v>0</v>
      </c>
      <c r="K22" s="829" t="s">
        <v>1261</v>
      </c>
    </row>
    <row r="23" spans="1:13" s="132" customFormat="1" ht="6" customHeight="1" thickTop="1" x14ac:dyDescent="0.2">
      <c r="C23" s="833"/>
      <c r="G23" s="827"/>
      <c r="I23" s="830"/>
      <c r="K23" s="829"/>
    </row>
    <row r="24" spans="1:13" s="132" customFormat="1" ht="11.1" customHeight="1" x14ac:dyDescent="0.25">
      <c r="B24" s="832" t="s">
        <v>517</v>
      </c>
      <c r="C24" s="2557" t="s">
        <v>1260</v>
      </c>
      <c r="D24" s="2558"/>
      <c r="E24" s="2558"/>
      <c r="F24" s="2558"/>
      <c r="G24" s="2558"/>
      <c r="H24" s="2558"/>
      <c r="I24" s="2558"/>
      <c r="J24" s="2558"/>
      <c r="K24" s="2558"/>
      <c r="L24" s="2558"/>
      <c r="M24" s="2558"/>
    </row>
    <row r="25" spans="1:13" s="132" customFormat="1" ht="11.1" customHeight="1" x14ac:dyDescent="0.25">
      <c r="B25" s="832"/>
      <c r="C25" s="2557" t="s">
        <v>1259</v>
      </c>
      <c r="D25" s="2558"/>
      <c r="E25" s="2558"/>
      <c r="F25" s="2558"/>
      <c r="G25" s="2558"/>
      <c r="H25" s="2558"/>
      <c r="I25" s="2558"/>
      <c r="J25" s="2558"/>
      <c r="K25" s="2558"/>
      <c r="L25" s="2558"/>
      <c r="M25" s="2558"/>
    </row>
    <row r="26" spans="1:13" s="132" customFormat="1" ht="4.3499999999999996" customHeight="1" x14ac:dyDescent="0.25">
      <c r="B26" s="832"/>
      <c r="C26" s="824" t="s">
        <v>841</v>
      </c>
      <c r="D26" s="831"/>
      <c r="E26" s="831"/>
      <c r="F26" s="831"/>
      <c r="G26" s="827"/>
      <c r="I26" s="830"/>
      <c r="K26" s="829"/>
    </row>
    <row r="27" spans="1:13" s="132" customFormat="1" ht="15" customHeight="1" x14ac:dyDescent="0.2">
      <c r="B27" s="827" t="s">
        <v>1258</v>
      </c>
      <c r="C27" s="827"/>
      <c r="D27" s="831"/>
      <c r="E27" s="831"/>
      <c r="F27" s="831"/>
      <c r="G27" s="827"/>
      <c r="I27" s="830"/>
      <c r="K27" s="829"/>
    </row>
    <row r="28" spans="1:13" s="132" customFormat="1" ht="15" customHeight="1" x14ac:dyDescent="0.2">
      <c r="B28" s="827"/>
      <c r="C28" s="1655"/>
      <c r="D28" s="831"/>
      <c r="E28" s="831" t="s">
        <v>969</v>
      </c>
      <c r="F28" s="831"/>
      <c r="G28" s="827"/>
      <c r="I28" s="830"/>
      <c r="K28" s="829"/>
    </row>
    <row r="29" spans="1:13" s="132" customFormat="1" ht="15" customHeight="1" x14ac:dyDescent="0.2">
      <c r="B29" s="827"/>
      <c r="C29" s="1687"/>
      <c r="D29" s="831"/>
      <c r="E29" s="831" t="s">
        <v>970</v>
      </c>
      <c r="F29" s="831"/>
      <c r="G29" s="827"/>
      <c r="I29" s="830"/>
      <c r="K29" s="829"/>
    </row>
    <row r="30" spans="1:13" s="132" customFormat="1" ht="6" customHeight="1" x14ac:dyDescent="0.2"/>
    <row r="31" spans="1:13" ht="12.75" x14ac:dyDescent="0.2">
      <c r="A31" s="828" t="s">
        <v>1257</v>
      </c>
      <c r="C31"/>
      <c r="D31"/>
      <c r="E31"/>
      <c r="F31"/>
      <c r="G31"/>
      <c r="H31"/>
      <c r="I31"/>
      <c r="J31"/>
      <c r="K31"/>
      <c r="L31"/>
      <c r="M31"/>
    </row>
    <row r="32" spans="1:13" ht="14.1" customHeight="1" x14ac:dyDescent="0.2">
      <c r="A32" s="132"/>
      <c r="B32" s="826" t="s">
        <v>213</v>
      </c>
      <c r="C32" s="1655"/>
      <c r="E32" s="827" t="s">
        <v>1256</v>
      </c>
      <c r="F32" s="822"/>
      <c r="G32" s="822"/>
      <c r="H32" s="822"/>
      <c r="I32" s="822"/>
      <c r="J32" s="822"/>
      <c r="K32" s="822"/>
      <c r="L32" s="132"/>
      <c r="M32" s="132"/>
    </row>
    <row r="33" spans="1:13" ht="12.6" customHeight="1" x14ac:dyDescent="0.2">
      <c r="A33" s="132"/>
      <c r="B33" s="826"/>
      <c r="D33" s="822"/>
      <c r="E33" s="822" t="s">
        <v>1255</v>
      </c>
      <c r="F33" s="822"/>
      <c r="G33" s="822"/>
      <c r="H33" s="822"/>
      <c r="I33" s="822"/>
      <c r="J33" s="822"/>
      <c r="K33" s="822"/>
      <c r="L33" s="132"/>
      <c r="M33" s="132"/>
    </row>
    <row r="34" spans="1:13" ht="12.6" customHeight="1" x14ac:dyDescent="0.2">
      <c r="A34" s="132"/>
      <c r="B34" s="826"/>
      <c r="C34" s="822"/>
      <c r="D34" s="822"/>
      <c r="E34" s="822" t="s">
        <v>1254</v>
      </c>
      <c r="F34" s="822"/>
      <c r="G34" s="822"/>
      <c r="H34" s="822"/>
      <c r="I34" s="822"/>
      <c r="J34" s="822"/>
      <c r="K34" s="822"/>
      <c r="L34" s="132"/>
      <c r="M34" s="132"/>
    </row>
    <row r="35" spans="1:13" ht="14.1" customHeight="1" x14ac:dyDescent="0.2">
      <c r="A35" s="132"/>
      <c r="B35" s="826" t="s">
        <v>214</v>
      </c>
      <c r="C35" s="1655"/>
      <c r="D35" s="825" t="s">
        <v>1253</v>
      </c>
      <c r="E35" s="822"/>
      <c r="F35" s="822"/>
      <c r="G35" s="822"/>
      <c r="H35" s="822"/>
      <c r="I35" s="822"/>
      <c r="J35" s="822"/>
      <c r="K35" s="822"/>
      <c r="L35" s="132"/>
      <c r="M35" s="132"/>
    </row>
    <row r="36" spans="1:13" ht="12.6" customHeight="1" x14ac:dyDescent="0.2">
      <c r="A36" s="132"/>
      <c r="B36" s="826"/>
      <c r="D36" s="822"/>
      <c r="E36" s="822" t="s">
        <v>1252</v>
      </c>
      <c r="F36" s="822"/>
      <c r="G36" s="822"/>
      <c r="H36" s="822"/>
      <c r="I36" s="822"/>
      <c r="J36" s="822"/>
      <c r="K36" s="822"/>
      <c r="L36" s="132"/>
      <c r="M36" s="132"/>
    </row>
    <row r="37" spans="1:13" ht="14.1" customHeight="1" x14ac:dyDescent="0.2">
      <c r="A37" s="132"/>
      <c r="B37" s="826" t="s">
        <v>143</v>
      </c>
      <c r="C37" s="1655"/>
      <c r="D37" s="825" t="s">
        <v>1251</v>
      </c>
      <c r="E37" s="822"/>
      <c r="F37" s="822"/>
      <c r="G37" s="822"/>
      <c r="H37" s="822"/>
      <c r="I37" s="822"/>
      <c r="J37" s="822"/>
      <c r="K37" s="822"/>
      <c r="L37" s="132"/>
      <c r="M37" s="132"/>
    </row>
    <row r="38" spans="1:13" ht="12.6" customHeight="1" x14ac:dyDescent="0.2">
      <c r="A38" s="132"/>
      <c r="B38" s="826"/>
      <c r="D38" s="822"/>
      <c r="E38" s="822" t="s">
        <v>1250</v>
      </c>
      <c r="F38" s="822"/>
      <c r="G38" s="822"/>
      <c r="H38" s="822"/>
      <c r="I38" s="822"/>
      <c r="J38" s="822"/>
      <c r="K38" s="822"/>
      <c r="L38" s="132"/>
      <c r="M38" s="132"/>
    </row>
    <row r="39" spans="1:13" ht="12.6" customHeight="1" x14ac:dyDescent="0.2">
      <c r="A39" s="132"/>
      <c r="B39" s="826"/>
      <c r="D39" s="822"/>
      <c r="E39" s="822" t="s">
        <v>1249</v>
      </c>
      <c r="F39" s="822"/>
      <c r="G39" s="822"/>
      <c r="H39" s="822"/>
      <c r="I39" s="822"/>
      <c r="J39" s="822"/>
      <c r="K39" s="822"/>
      <c r="L39" s="132"/>
      <c r="M39" s="132"/>
    </row>
    <row r="40" spans="1:13" ht="14.1" customHeight="1" x14ac:dyDescent="0.2">
      <c r="A40" s="132"/>
      <c r="B40" s="826" t="s">
        <v>1231</v>
      </c>
      <c r="C40" s="1655"/>
      <c r="D40" s="825" t="s">
        <v>1248</v>
      </c>
      <c r="E40" s="822"/>
      <c r="F40" s="822"/>
      <c r="G40" s="822"/>
      <c r="H40" s="822"/>
      <c r="I40" s="822"/>
      <c r="J40" s="822"/>
      <c r="K40" s="822"/>
      <c r="L40" s="132"/>
      <c r="M40" s="132"/>
    </row>
    <row r="41" spans="1:13" ht="12.6" customHeight="1" x14ac:dyDescent="0.2">
      <c r="A41" s="132"/>
      <c r="B41" s="826"/>
      <c r="D41" s="822"/>
      <c r="E41" s="822" t="s">
        <v>1247</v>
      </c>
      <c r="F41" s="822"/>
      <c r="G41" s="822"/>
      <c r="H41" s="822"/>
      <c r="I41" s="822"/>
      <c r="J41" s="822"/>
      <c r="K41" s="822"/>
      <c r="L41" s="132"/>
      <c r="M41" s="132"/>
    </row>
    <row r="42" spans="1:13" ht="14.1" customHeight="1" x14ac:dyDescent="0.2">
      <c r="A42" s="132"/>
      <c r="B42" s="826" t="s">
        <v>1246</v>
      </c>
      <c r="C42" s="1655"/>
      <c r="D42" s="825" t="s">
        <v>1245</v>
      </c>
      <c r="E42" s="822"/>
      <c r="F42" s="822"/>
      <c r="G42" s="822"/>
      <c r="H42" s="822"/>
      <c r="I42" s="822"/>
      <c r="J42" s="822"/>
      <c r="K42" s="822"/>
      <c r="L42" s="132"/>
      <c r="M42" s="132"/>
    </row>
    <row r="43" spans="1:13" ht="12.6" customHeight="1" x14ac:dyDescent="0.2">
      <c r="A43" s="132"/>
      <c r="B43" s="822"/>
      <c r="D43" s="822"/>
      <c r="E43" s="822" t="s">
        <v>1244</v>
      </c>
      <c r="F43" s="822"/>
      <c r="G43" s="822"/>
      <c r="H43" s="822"/>
      <c r="I43" s="822"/>
      <c r="J43" s="822"/>
      <c r="K43" s="822"/>
      <c r="L43" s="132"/>
      <c r="M43" s="132"/>
    </row>
    <row r="44" spans="1:13" ht="12.6" customHeight="1" x14ac:dyDescent="0.2">
      <c r="A44" s="132"/>
      <c r="B44" s="822"/>
      <c r="D44" s="822"/>
      <c r="E44" s="822" t="s">
        <v>1243</v>
      </c>
      <c r="F44" s="822"/>
      <c r="G44" s="822"/>
      <c r="H44" s="822"/>
      <c r="I44" s="822"/>
      <c r="J44" s="822"/>
      <c r="K44" s="822"/>
      <c r="L44" s="132"/>
      <c r="M44" s="132"/>
    </row>
    <row r="45" spans="1:13" ht="12.6" customHeight="1" x14ac:dyDescent="0.2">
      <c r="A45" s="132"/>
      <c r="B45" s="822"/>
      <c r="D45" s="822"/>
      <c r="E45" s="822" t="s">
        <v>1242</v>
      </c>
      <c r="F45" s="822"/>
      <c r="G45" s="822"/>
      <c r="H45" s="822"/>
      <c r="I45" s="822"/>
      <c r="J45" s="822"/>
      <c r="K45" s="822"/>
      <c r="L45" s="132"/>
      <c r="M45" s="132"/>
    </row>
    <row r="46" spans="1:13" ht="12.6" customHeight="1" x14ac:dyDescent="0.2">
      <c r="A46" s="132"/>
      <c r="B46" s="822"/>
      <c r="D46" s="822"/>
      <c r="E46" s="822" t="s">
        <v>1241</v>
      </c>
      <c r="F46" s="822"/>
      <c r="G46" s="822"/>
      <c r="H46" s="822"/>
      <c r="I46" s="822"/>
      <c r="J46" s="822"/>
      <c r="K46" s="822"/>
      <c r="L46" s="132"/>
      <c r="M46" s="132"/>
    </row>
    <row r="47" spans="1:13" ht="15" customHeight="1" x14ac:dyDescent="0.25">
      <c r="A47" s="132"/>
      <c r="B47" s="824" t="s">
        <v>1240</v>
      </c>
      <c r="D47" s="822"/>
      <c r="E47" s="822"/>
      <c r="F47" s="822"/>
      <c r="G47" s="822"/>
      <c r="H47" s="822"/>
      <c r="I47" s="822"/>
      <c r="J47" s="822"/>
      <c r="K47" s="822"/>
      <c r="L47" s="132"/>
      <c r="M47" s="132"/>
    </row>
    <row r="48" spans="1:13" ht="4.3499999999999996" customHeight="1" x14ac:dyDescent="0.2">
      <c r="A48" s="132"/>
      <c r="B48" s="132"/>
      <c r="C48" s="132"/>
      <c r="D48" s="132"/>
      <c r="E48" s="132"/>
      <c r="F48" s="132"/>
      <c r="G48" s="132"/>
      <c r="H48" s="132"/>
      <c r="I48" s="132"/>
      <c r="J48" s="132"/>
      <c r="K48" s="132"/>
      <c r="L48" s="132"/>
      <c r="M48" s="132"/>
    </row>
    <row r="49" spans="1:13" ht="12.75" x14ac:dyDescent="0.2">
      <c r="A49" s="383" t="s">
        <v>1239</v>
      </c>
      <c r="B49" s="132"/>
      <c r="C49" s="132"/>
      <c r="D49" s="132"/>
      <c r="E49" s="132"/>
      <c r="F49" s="132"/>
      <c r="G49" s="132"/>
      <c r="H49" s="132"/>
      <c r="I49" s="132"/>
      <c r="J49" s="132"/>
      <c r="K49" s="132"/>
      <c r="L49" s="132"/>
      <c r="M49" s="132"/>
    </row>
    <row r="50" spans="1:13" ht="14.1" customHeight="1" x14ac:dyDescent="0.2">
      <c r="B50" s="823" t="s">
        <v>213</v>
      </c>
      <c r="C50" s="1655"/>
      <c r="E50" s="822" t="s">
        <v>1238</v>
      </c>
      <c r="F50" s="132"/>
      <c r="G50" s="132"/>
      <c r="H50" s="132"/>
      <c r="I50" s="132"/>
      <c r="J50" s="132"/>
      <c r="K50" s="132"/>
      <c r="L50" s="132"/>
      <c r="M50" s="132"/>
    </row>
    <row r="51" spans="1:13" ht="12.6" customHeight="1" x14ac:dyDescent="0.2">
      <c r="B51" s="14"/>
      <c r="C51" s="14"/>
      <c r="E51" s="822" t="s">
        <v>1237</v>
      </c>
      <c r="F51" s="132"/>
      <c r="G51" s="132"/>
      <c r="H51" s="132"/>
      <c r="I51" s="132"/>
      <c r="J51" s="132"/>
      <c r="K51" s="132"/>
      <c r="L51" s="132"/>
      <c r="M51" s="132"/>
    </row>
    <row r="52" spans="1:13" ht="14.1" customHeight="1" x14ac:dyDescent="0.2">
      <c r="B52" s="823" t="s">
        <v>214</v>
      </c>
      <c r="C52" s="1403"/>
      <c r="E52" s="822" t="s">
        <v>1236</v>
      </c>
      <c r="F52" s="132"/>
      <c r="G52" s="132"/>
      <c r="H52" s="132"/>
      <c r="I52" s="132"/>
      <c r="J52" s="132"/>
      <c r="K52" s="132"/>
      <c r="L52" s="132"/>
      <c r="M52" s="132"/>
    </row>
    <row r="53" spans="1:13" ht="12.6" customHeight="1" x14ac:dyDescent="0.2">
      <c r="B53" s="14"/>
      <c r="C53" s="14"/>
      <c r="E53" s="822" t="s">
        <v>1235</v>
      </c>
      <c r="F53" s="132"/>
      <c r="G53" s="132"/>
      <c r="H53" s="132"/>
      <c r="I53" s="132"/>
      <c r="J53" s="132"/>
      <c r="K53" s="132"/>
      <c r="L53" s="132"/>
      <c r="M53" s="132"/>
    </row>
    <row r="54" spans="1:13" ht="12.6" customHeight="1" x14ac:dyDescent="0.2">
      <c r="B54" s="14"/>
      <c r="C54" s="14"/>
      <c r="E54" s="822" t="s">
        <v>1234</v>
      </c>
      <c r="F54" s="132"/>
      <c r="G54" s="132"/>
      <c r="H54" s="132"/>
      <c r="I54" s="132"/>
      <c r="J54" s="132"/>
      <c r="K54" s="132"/>
      <c r="L54" s="132"/>
      <c r="M54" s="132"/>
    </row>
    <row r="55" spans="1:13" ht="14.1" customHeight="1" x14ac:dyDescent="0.2">
      <c r="B55" s="823" t="s">
        <v>143</v>
      </c>
      <c r="C55" s="1403"/>
      <c r="E55" s="822" t="s">
        <v>1233</v>
      </c>
      <c r="F55" s="132"/>
      <c r="G55" s="132"/>
      <c r="H55" s="132"/>
      <c r="I55" s="132"/>
      <c r="J55" s="132"/>
      <c r="K55" s="132"/>
      <c r="L55" s="132"/>
      <c r="M55" s="132"/>
    </row>
    <row r="56" spans="1:13" ht="12.6" customHeight="1" x14ac:dyDescent="0.2">
      <c r="B56" s="14"/>
      <c r="C56" s="14"/>
      <c r="E56" s="822" t="s">
        <v>1232</v>
      </c>
      <c r="F56" s="132"/>
      <c r="G56" s="132"/>
      <c r="H56" s="132"/>
      <c r="I56" s="132"/>
      <c r="J56" s="132"/>
      <c r="K56" s="132"/>
      <c r="L56" s="132"/>
      <c r="M56" s="132"/>
    </row>
    <row r="57" spans="1:13" ht="14.1" customHeight="1" x14ac:dyDescent="0.2">
      <c r="B57" s="823" t="s">
        <v>1231</v>
      </c>
      <c r="C57" s="1403"/>
      <c r="E57" s="822" t="s">
        <v>1230</v>
      </c>
      <c r="F57" s="132"/>
      <c r="G57" s="132"/>
      <c r="H57" s="132"/>
      <c r="I57" s="132"/>
      <c r="J57" s="132"/>
      <c r="K57" s="132"/>
      <c r="L57" s="132"/>
      <c r="M57" s="132"/>
    </row>
    <row r="58" spans="1:13" ht="6" customHeight="1" x14ac:dyDescent="0.2"/>
    <row r="59" spans="1:13" ht="12.75" x14ac:dyDescent="0.2">
      <c r="A59" s="383" t="s">
        <v>1229</v>
      </c>
    </row>
    <row r="60" spans="1:13" ht="12.75" customHeight="1" x14ac:dyDescent="0.2">
      <c r="A60" s="132" t="s">
        <v>1228</v>
      </c>
      <c r="B60" s="132"/>
      <c r="C60" s="132"/>
      <c r="D60" s="132"/>
      <c r="E60" s="132"/>
      <c r="F60" s="132"/>
      <c r="G60" s="132"/>
      <c r="H60" s="132"/>
      <c r="I60" s="132"/>
      <c r="J60" s="132"/>
      <c r="K60" s="132"/>
      <c r="L60" s="132"/>
      <c r="M60" s="132"/>
    </row>
    <row r="61" spans="1:13" ht="12.75" customHeight="1" x14ac:dyDescent="0.2">
      <c r="A61" s="273" t="s">
        <v>5523</v>
      </c>
      <c r="B61" s="132"/>
      <c r="C61" s="132"/>
      <c r="D61" s="132"/>
      <c r="E61" s="132"/>
      <c r="F61" s="132"/>
      <c r="G61" s="132"/>
      <c r="H61" s="132"/>
      <c r="I61" s="132"/>
      <c r="J61" s="132"/>
      <c r="K61" s="132"/>
      <c r="L61" s="132"/>
      <c r="M61" s="132"/>
    </row>
    <row r="62" spans="1:13" ht="8.1" customHeight="1" x14ac:dyDescent="0.2">
      <c r="A62" s="132"/>
      <c r="B62" s="132"/>
      <c r="C62" s="132"/>
      <c r="D62" s="132"/>
      <c r="E62" s="132"/>
      <c r="F62" s="132"/>
      <c r="G62" s="132"/>
      <c r="H62" s="132"/>
      <c r="I62" s="132"/>
      <c r="J62" s="132"/>
      <c r="K62" s="132"/>
      <c r="L62" s="132"/>
      <c r="M62" s="132"/>
    </row>
    <row r="63" spans="1:13" ht="12.75" x14ac:dyDescent="0.2">
      <c r="A63" s="132"/>
      <c r="B63" s="132"/>
      <c r="C63" s="132"/>
      <c r="D63" s="132"/>
      <c r="E63" s="132"/>
      <c r="F63" s="132"/>
      <c r="G63" s="132"/>
      <c r="H63" s="132"/>
      <c r="I63" s="132"/>
      <c r="J63" s="132"/>
      <c r="K63" s="132"/>
      <c r="L63" s="132"/>
      <c r="M63" s="132"/>
    </row>
    <row r="64" spans="1:13" ht="12.75" x14ac:dyDescent="0.2">
      <c r="A64" s="132"/>
      <c r="B64" s="132"/>
      <c r="C64" s="132"/>
      <c r="D64" s="132"/>
      <c r="E64" s="132"/>
      <c r="F64" s="132"/>
      <c r="G64" s="132"/>
      <c r="H64" s="132"/>
      <c r="I64" s="132"/>
      <c r="J64" s="132"/>
      <c r="K64" s="132"/>
      <c r="L64" s="132"/>
      <c r="M64" s="132"/>
    </row>
    <row r="65" spans="1:13" ht="12.75" x14ac:dyDescent="0.2">
      <c r="A65" s="132"/>
      <c r="B65" s="132"/>
      <c r="C65" s="132"/>
      <c r="D65" s="132"/>
      <c r="E65" s="132"/>
      <c r="F65" s="132"/>
      <c r="G65" s="132"/>
      <c r="H65" s="132"/>
      <c r="I65" s="132"/>
      <c r="J65" s="132"/>
      <c r="K65" s="132"/>
      <c r="L65" s="132"/>
      <c r="M65" s="132"/>
    </row>
  </sheetData>
  <sheetProtection algorithmName="SHA-512" hashValue="lHDPaVhyDMa4YW9TcWUkg4QNi8XOEYitAwfHGTJZ28F5PGfhi7ScI8e8wjiq0RAPDSF7kcx6505DvAwfxi7MOQ==" saltValue="skxOT+u7MXFkUFs6h80/8A==" spinCount="100000" sheet="1" objects="1" scenarios="1" autoFilter="0"/>
  <customSheetViews>
    <customSheetView guid="{B08879A4-635B-4C39-9937-AC7883D562FC}" showGridLines="0" fitToPage="1" topLeftCell="A25">
      <selection activeCell="C63" sqref="C63"/>
      <pageMargins left="0.75" right="0.5" top="0.5" bottom="0.5" header="0.5" footer="0.25"/>
      <pageSetup scale="94" orientation="portrait" r:id="rId1"/>
      <headerFooter alignWithMargins="0">
        <oddFooter>&amp;R&amp;A</oddFooter>
      </headerFooter>
    </customSheetView>
    <customSheetView guid="{9FCFC836-1CA5-48BF-958D-24D2EA94B219}" showGridLines="0" fitToPage="1" topLeftCell="A25">
      <selection activeCell="C63" sqref="C63"/>
      <pageMargins left="0.75" right="0.5" top="0.5" bottom="0.5" header="0.5" footer="0.25"/>
      <pageSetup scale="94" orientation="portrait" r:id="rId2"/>
      <headerFooter alignWithMargins="0">
        <oddFooter>&amp;R&amp;A</oddFooter>
      </headerFooter>
    </customSheetView>
  </customSheetViews>
  <mergeCells count="15">
    <mergeCell ref="A1:M1"/>
    <mergeCell ref="N1:N3"/>
    <mergeCell ref="A2:M2"/>
    <mergeCell ref="A3:M3"/>
    <mergeCell ref="J5:M5"/>
    <mergeCell ref="C25:M25"/>
    <mergeCell ref="A12:M12"/>
    <mergeCell ref="A13:M13"/>
    <mergeCell ref="A17:M17"/>
    <mergeCell ref="J6:M6"/>
    <mergeCell ref="D7:E7"/>
    <mergeCell ref="J7:M7"/>
    <mergeCell ref="J8:M8"/>
    <mergeCell ref="A15:E15"/>
    <mergeCell ref="C24:M24"/>
  </mergeCells>
  <conditionalFormatting sqref="N1:N3">
    <cfRule type="cellIs" dxfId="135" priority="7" stopIfTrue="1" operator="equal">
      <formula>"na"</formula>
    </cfRule>
  </conditionalFormatting>
  <hyperlinks>
    <hyperlink ref="A1:M1" location="Index!A1" display="Index!A1" xr:uid="{00000000-0004-0000-1000-000000000000}"/>
    <hyperlink ref="A15" r:id="rId3" xr:uid="{00000000-0004-0000-1000-000001000000}"/>
    <hyperlink ref="A15:E15" r:id="rId4" display="NC OSC Policy 103.2" xr:uid="{00000000-0004-0000-1000-000002000000}"/>
  </hyperlinks>
  <pageMargins left="0.7" right="0.5" top="0.5" bottom="0.5" header="0.5" footer="0.25"/>
  <pageSetup scale="91" orientation="portrait" r:id="rId5"/>
  <headerFooter alignWithMargins="0">
    <oddFooter>&amp;R&amp;A</oddFooter>
  </headerFooter>
  <ignoredErrors>
    <ignoredError sqref="J7:J8" unlockedFormula="1"/>
    <ignoredError sqref="B24"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80C43-C7A6-49C8-AACD-3439728920FB}">
  <sheetPr codeName="Sheet94"/>
  <dimension ref="A1:X121"/>
  <sheetViews>
    <sheetView showGridLines="0" topLeftCell="B1" zoomScaleNormal="100" workbookViewId="0">
      <selection activeCell="B1" sqref="B1:K1"/>
    </sheetView>
  </sheetViews>
  <sheetFormatPr defaultColWidth="9.42578125" defaultRowHeight="12.75" x14ac:dyDescent="0.2"/>
  <cols>
    <col min="1" max="1" width="9.42578125" style="61" hidden="1" customWidth="1"/>
    <col min="2" max="3" width="3.42578125" style="61" customWidth="1"/>
    <col min="4" max="4" width="7.5703125" style="61" customWidth="1"/>
    <col min="5" max="5" width="1" style="61" customWidth="1"/>
    <col min="6" max="6" width="8.5703125" style="61" customWidth="1"/>
    <col min="7" max="7" width="13.85546875" style="61" customWidth="1"/>
    <col min="8" max="8" width="8.140625" style="61" customWidth="1"/>
    <col min="9" max="9" width="8.5703125" style="61" customWidth="1"/>
    <col min="10" max="10" width="7.42578125" style="61" customWidth="1"/>
    <col min="11" max="11" width="21.5703125" style="61" customWidth="1"/>
    <col min="12" max="12" width="4.5703125" style="61" customWidth="1"/>
    <col min="13" max="16384" width="9.42578125" style="61"/>
  </cols>
  <sheetData>
    <row r="1" spans="1:13" ht="15.75" x14ac:dyDescent="0.25">
      <c r="A1" s="61" t="str">
        <f t="shared" ref="A1:A10" si="0">AgyIdx</f>
        <v>01</v>
      </c>
      <c r="B1" s="2379" t="str">
        <f>+Index!$A$1</f>
        <v xml:space="preserve">                                                               Office of the State Controller                                                                </v>
      </c>
      <c r="C1" s="2379"/>
      <c r="D1" s="2379"/>
      <c r="E1" s="2379"/>
      <c r="F1" s="2379"/>
      <c r="G1" s="2379"/>
      <c r="H1" s="2379"/>
      <c r="I1" s="2379"/>
      <c r="J1" s="2379"/>
      <c r="K1" s="2379"/>
      <c r="L1" s="2472" t="str">
        <f>IF(Index!$B$35="na","NA","")</f>
        <v/>
      </c>
    </row>
    <row r="2" spans="1:13" ht="15.75" x14ac:dyDescent="0.25">
      <c r="A2" s="61" t="str">
        <f t="shared" si="0"/>
        <v>01</v>
      </c>
      <c r="B2" s="2435" t="str">
        <f>+Index!$A$2</f>
        <v>2022 ACFR Worksheets</v>
      </c>
      <c r="C2" s="2435"/>
      <c r="D2" s="2435"/>
      <c r="E2" s="2435"/>
      <c r="F2" s="2435"/>
      <c r="G2" s="2435"/>
      <c r="H2" s="2435"/>
      <c r="I2" s="2435"/>
      <c r="J2" s="2435"/>
      <c r="K2" s="2435"/>
      <c r="L2" s="2472"/>
    </row>
    <row r="3" spans="1:13" ht="15.75" x14ac:dyDescent="0.25">
      <c r="A3" s="61" t="str">
        <f t="shared" si="0"/>
        <v>01</v>
      </c>
      <c r="B3" s="2436" t="s">
        <v>4675</v>
      </c>
      <c r="C3" s="2436"/>
      <c r="D3" s="2436"/>
      <c r="E3" s="2436"/>
      <c r="F3" s="2436"/>
      <c r="G3" s="2436"/>
      <c r="H3" s="2436"/>
      <c r="I3" s="2436"/>
      <c r="J3" s="2436"/>
      <c r="K3" s="2436"/>
      <c r="L3" s="2472"/>
    </row>
    <row r="4" spans="1:13" ht="12.75" customHeight="1" x14ac:dyDescent="0.2">
      <c r="A4" s="61" t="str">
        <f t="shared" si="0"/>
        <v>01</v>
      </c>
      <c r="B4" s="454"/>
      <c r="C4" s="454"/>
      <c r="D4" s="454"/>
      <c r="E4" s="454"/>
      <c r="F4" s="454"/>
      <c r="G4" s="454"/>
      <c r="H4" s="454"/>
      <c r="I4" s="454"/>
      <c r="J4" s="454"/>
      <c r="K4" s="447"/>
      <c r="L4" s="448"/>
    </row>
    <row r="5" spans="1:13" x14ac:dyDescent="0.2">
      <c r="A5" s="61" t="str">
        <f t="shared" si="0"/>
        <v>01</v>
      </c>
      <c r="B5" s="1089"/>
      <c r="C5" s="1089"/>
      <c r="D5" s="1089"/>
      <c r="E5" s="1089"/>
      <c r="F5" s="451"/>
      <c r="G5" s="1345"/>
      <c r="H5" s="1335" t="s">
        <v>327</v>
      </c>
      <c r="I5" s="2567" t="str">
        <f>+Index!$E$10</f>
        <v>01</v>
      </c>
      <c r="J5" s="2567"/>
      <c r="K5" s="2567"/>
      <c r="L5" s="890"/>
    </row>
    <row r="6" spans="1:13" x14ac:dyDescent="0.2">
      <c r="A6" s="61" t="str">
        <f t="shared" si="0"/>
        <v>01</v>
      </c>
      <c r="B6" s="1089"/>
      <c r="C6" s="1089"/>
      <c r="D6" s="1089"/>
      <c r="E6" s="1089"/>
      <c r="F6" s="1089"/>
      <c r="G6" s="1333"/>
      <c r="H6" s="1335" t="s">
        <v>1154</v>
      </c>
      <c r="I6" s="2561" t="str">
        <f>+Index!$E$11</f>
        <v>North Carolina General Assembly</v>
      </c>
      <c r="J6" s="2561"/>
      <c r="K6" s="2561"/>
      <c r="L6" s="890"/>
    </row>
    <row r="7" spans="1:13" x14ac:dyDescent="0.2">
      <c r="A7" s="61" t="str">
        <f t="shared" si="0"/>
        <v>01</v>
      </c>
      <c r="B7" s="2452" t="s">
        <v>3447</v>
      </c>
      <c r="C7" s="2421"/>
      <c r="D7" s="2421"/>
      <c r="E7" s="272"/>
      <c r="F7" s="1334" t="s">
        <v>805</v>
      </c>
      <c r="G7" s="454"/>
      <c r="H7" s="1335" t="s">
        <v>972</v>
      </c>
      <c r="I7" s="2513" t="str">
        <f>CONCATENATE(Index!$E$12," ",Index!$E$14)</f>
        <v xml:space="preserve"> </v>
      </c>
      <c r="J7" s="2513"/>
      <c r="K7" s="2513"/>
      <c r="L7" s="891"/>
    </row>
    <row r="8" spans="1:13" x14ac:dyDescent="0.2">
      <c r="A8" s="61" t="str">
        <f t="shared" si="0"/>
        <v>01</v>
      </c>
      <c r="B8" s="1333"/>
      <c r="C8" s="1333"/>
      <c r="D8" s="1345"/>
      <c r="E8" s="1345"/>
      <c r="F8" s="454"/>
      <c r="G8" s="454"/>
      <c r="H8" s="1335" t="s">
        <v>348</v>
      </c>
      <c r="I8" s="2564">
        <f>+Index!$E$13</f>
        <v>0</v>
      </c>
      <c r="J8" s="2564"/>
      <c r="K8" s="2564"/>
      <c r="L8" s="892"/>
    </row>
    <row r="9" spans="1:13" ht="10.35" customHeight="1" thickBot="1" x14ac:dyDescent="0.25">
      <c r="A9" s="61" t="str">
        <f t="shared" si="0"/>
        <v>01</v>
      </c>
      <c r="B9" s="1346"/>
      <c r="C9" s="1346"/>
      <c r="D9" s="1346"/>
      <c r="E9" s="1346"/>
      <c r="F9" s="1346"/>
      <c r="G9" s="1346"/>
      <c r="H9" s="1346"/>
      <c r="I9" s="1346"/>
      <c r="J9" s="1346"/>
      <c r="K9" s="1346"/>
    </row>
    <row r="10" spans="1:13" ht="12" customHeight="1" x14ac:dyDescent="0.25">
      <c r="A10" s="61" t="str">
        <f t="shared" si="0"/>
        <v>01</v>
      </c>
      <c r="B10" s="1341"/>
      <c r="C10" s="1341"/>
      <c r="D10" s="1341"/>
      <c r="E10" s="1341"/>
      <c r="F10" s="1341"/>
      <c r="G10" s="1341"/>
      <c r="H10" s="1341"/>
      <c r="I10" s="1341"/>
      <c r="J10" s="1341"/>
      <c r="K10" s="1341"/>
    </row>
    <row r="11" spans="1:13" ht="12" customHeight="1" x14ac:dyDescent="0.2">
      <c r="B11" s="1204" t="s">
        <v>4541</v>
      </c>
      <c r="C11" s="1204"/>
      <c r="D11" s="1204"/>
      <c r="E11" s="1204"/>
      <c r="F11" s="1204"/>
      <c r="G11" s="1204"/>
      <c r="H11" s="1204"/>
      <c r="I11" s="1204"/>
      <c r="J11" s="1204"/>
      <c r="K11" s="1204"/>
      <c r="L11" s="1342"/>
      <c r="M11" s="1306"/>
    </row>
    <row r="12" spans="1:13" ht="12" customHeight="1" x14ac:dyDescent="0.2">
      <c r="B12" s="1204" t="s">
        <v>4561</v>
      </c>
      <c r="C12" s="1204"/>
      <c r="D12" s="1204"/>
      <c r="E12" s="1204"/>
      <c r="F12" s="1204"/>
      <c r="G12" s="1204"/>
      <c r="H12" s="1204"/>
      <c r="I12" s="1204"/>
      <c r="J12" s="1204"/>
      <c r="K12" s="1204"/>
      <c r="L12" s="1342"/>
      <c r="M12" s="1306"/>
    </row>
    <row r="13" spans="1:13" ht="12" customHeight="1" x14ac:dyDescent="0.2">
      <c r="B13" s="2568" t="s">
        <v>5649</v>
      </c>
      <c r="C13" s="2568"/>
      <c r="D13" s="2568"/>
      <c r="E13" s="2568"/>
      <c r="F13" s="2568"/>
      <c r="G13" s="2568"/>
      <c r="H13" s="1204" t="s">
        <v>5638</v>
      </c>
      <c r="I13" s="1204"/>
      <c r="J13" s="1204"/>
      <c r="K13" s="1204"/>
      <c r="L13" s="1342"/>
      <c r="M13" s="1306"/>
    </row>
    <row r="14" spans="1:13" ht="12" customHeight="1" x14ac:dyDescent="0.2">
      <c r="B14" s="2094"/>
      <c r="C14" s="2094"/>
      <c r="D14" s="2094"/>
      <c r="E14" s="2094"/>
      <c r="F14" s="2094"/>
      <c r="G14" s="2094"/>
      <c r="H14" s="1204"/>
      <c r="I14" s="1204"/>
      <c r="J14" s="1204"/>
      <c r="K14" s="1204"/>
      <c r="L14" s="1342"/>
      <c r="M14" s="1306"/>
    </row>
    <row r="15" spans="1:13" s="63" customFormat="1" ht="12" customHeight="1" x14ac:dyDescent="0.25">
      <c r="B15" s="1204" t="s">
        <v>4830</v>
      </c>
      <c r="C15" s="1088"/>
      <c r="D15" s="1089"/>
      <c r="E15" s="1089"/>
      <c r="F15" s="1089"/>
      <c r="G15" s="1089"/>
      <c r="H15" s="1089"/>
      <c r="I15" s="1089"/>
      <c r="J15" s="1089"/>
      <c r="K15" s="1089"/>
      <c r="L15" s="61"/>
    </row>
    <row r="16" spans="1:13" s="63" customFormat="1" ht="12" customHeight="1" x14ac:dyDescent="0.25">
      <c r="B16" s="1204" t="s">
        <v>4831</v>
      </c>
      <c r="C16" s="1088"/>
      <c r="D16" s="1089"/>
      <c r="E16" s="1089"/>
      <c r="F16" s="1089"/>
      <c r="G16" s="1089"/>
      <c r="H16" s="1089"/>
      <c r="I16" s="1089"/>
      <c r="J16" s="1089"/>
      <c r="K16" s="1089"/>
      <c r="L16" s="61"/>
    </row>
    <row r="17" spans="2:24" s="63" customFormat="1" ht="12" customHeight="1" x14ac:dyDescent="0.25">
      <c r="B17" s="1204" t="s">
        <v>4832</v>
      </c>
      <c r="C17" s="1088"/>
      <c r="D17" s="1089"/>
      <c r="E17" s="1089"/>
      <c r="F17" s="1089"/>
      <c r="G17" s="1089"/>
      <c r="H17" s="1089"/>
      <c r="I17" s="1089"/>
      <c r="J17" s="1089"/>
      <c r="K17" s="1089"/>
      <c r="L17" s="61"/>
    </row>
    <row r="18" spans="2:24" s="63" customFormat="1" ht="12.75" customHeight="1" x14ac:dyDescent="0.25">
      <c r="B18" s="1204" t="s">
        <v>4833</v>
      </c>
      <c r="C18" s="1088"/>
      <c r="D18" s="1089"/>
      <c r="E18" s="1089"/>
      <c r="F18" s="1089"/>
      <c r="G18" s="1089"/>
      <c r="H18" s="1089"/>
      <c r="I18" s="1089"/>
      <c r="J18" s="1089"/>
      <c r="K18" s="1089"/>
      <c r="L18" s="61"/>
    </row>
    <row r="19" spans="2:24" s="63" customFormat="1" ht="12" customHeight="1" x14ac:dyDescent="0.25">
      <c r="B19" s="1204" t="s">
        <v>4834</v>
      </c>
      <c r="C19" s="1088"/>
      <c r="D19" s="1089"/>
      <c r="E19" s="1089"/>
      <c r="F19" s="1089"/>
      <c r="G19" s="1089"/>
      <c r="H19" s="1089"/>
      <c r="I19" s="1089"/>
      <c r="J19" s="1089"/>
      <c r="K19" s="1089"/>
      <c r="L19" s="61"/>
    </row>
    <row r="20" spans="2:24" s="63" customFormat="1" ht="12" customHeight="1" x14ac:dyDescent="0.25">
      <c r="B20" s="1204" t="s">
        <v>4835</v>
      </c>
      <c r="C20" s="1088"/>
      <c r="D20" s="1089"/>
      <c r="E20" s="1089"/>
      <c r="F20" s="1089"/>
      <c r="G20" s="1089"/>
      <c r="H20" s="1089"/>
      <c r="I20" s="1089"/>
      <c r="J20" s="1089"/>
      <c r="K20" s="1089"/>
      <c r="L20" s="61"/>
    </row>
    <row r="21" spans="2:24" s="63" customFormat="1" ht="6" customHeight="1" x14ac:dyDescent="0.25">
      <c r="B21" s="1089"/>
      <c r="C21" s="1204"/>
      <c r="D21" s="1343"/>
      <c r="E21" s="1343"/>
      <c r="F21" s="272"/>
      <c r="G21" s="272"/>
      <c r="H21" s="272"/>
      <c r="I21" s="272"/>
      <c r="J21" s="272"/>
      <c r="K21" s="272"/>
      <c r="L21" s="61"/>
      <c r="M21" s="1307"/>
      <c r="O21" s="1204"/>
      <c r="P21" s="1343"/>
      <c r="Q21" s="1343"/>
      <c r="R21" s="272"/>
      <c r="S21" s="272"/>
      <c r="T21" s="272"/>
      <c r="U21" s="272"/>
      <c r="V21" s="272"/>
      <c r="W21" s="272"/>
      <c r="X21" s="61"/>
    </row>
    <row r="22" spans="2:24" s="63" customFormat="1" ht="12" customHeight="1" x14ac:dyDescent="0.25">
      <c r="B22" s="1089" t="s">
        <v>4556</v>
      </c>
      <c r="C22" s="1204"/>
      <c r="D22" s="1343"/>
      <c r="E22" s="1343"/>
      <c r="F22" s="272"/>
      <c r="G22" s="272"/>
      <c r="H22" s="272"/>
      <c r="I22" s="272"/>
      <c r="J22" s="272"/>
      <c r="K22" s="272"/>
      <c r="L22" s="61"/>
      <c r="M22" s="1307"/>
      <c r="N22" s="908"/>
    </row>
    <row r="23" spans="2:24" s="63" customFormat="1" ht="3.6" customHeight="1" x14ac:dyDescent="0.25">
      <c r="B23" s="1089"/>
      <c r="C23" s="1204"/>
      <c r="D23" s="1343"/>
      <c r="E23" s="1343"/>
      <c r="F23" s="272"/>
      <c r="G23" s="272"/>
      <c r="H23" s="272"/>
      <c r="I23" s="272"/>
      <c r="J23" s="272"/>
      <c r="K23" s="272"/>
      <c r="L23" s="61"/>
      <c r="M23" s="1307"/>
      <c r="N23" s="908"/>
    </row>
    <row r="24" spans="2:24" s="63" customFormat="1" ht="12" customHeight="1" x14ac:dyDescent="0.25">
      <c r="B24" s="1088" t="s">
        <v>4545</v>
      </c>
      <c r="C24" s="1204"/>
      <c r="D24" s="1343"/>
      <c r="E24" s="1343"/>
      <c r="F24" s="272"/>
      <c r="G24" s="272"/>
      <c r="H24" s="272"/>
      <c r="I24" s="272"/>
      <c r="J24" s="272"/>
      <c r="K24" s="272"/>
      <c r="L24" s="61"/>
      <c r="M24" s="1307"/>
      <c r="N24" s="908"/>
    </row>
    <row r="25" spans="2:24" s="63" customFormat="1" ht="12" customHeight="1" x14ac:dyDescent="0.25">
      <c r="B25" s="1089"/>
      <c r="C25" s="1204" t="s">
        <v>213</v>
      </c>
      <c r="D25" s="1990"/>
      <c r="F25" s="1343" t="s">
        <v>4546</v>
      </c>
      <c r="G25" s="272"/>
      <c r="H25" s="272"/>
      <c r="I25" s="272"/>
      <c r="J25" s="272"/>
      <c r="K25" s="272"/>
      <c r="L25" s="61"/>
      <c r="M25" s="1307"/>
      <c r="N25" s="908"/>
    </row>
    <row r="26" spans="2:24" s="63" customFormat="1" ht="12" customHeight="1" x14ac:dyDescent="0.25">
      <c r="B26" s="1089"/>
      <c r="C26" s="1204" t="s">
        <v>214</v>
      </c>
      <c r="D26" s="1991"/>
      <c r="F26" s="1343" t="s">
        <v>4566</v>
      </c>
      <c r="G26" s="272"/>
      <c r="H26" s="272"/>
      <c r="I26" s="272"/>
      <c r="J26" s="272"/>
      <c r="K26" s="272"/>
      <c r="L26" s="61"/>
      <c r="M26" s="1307"/>
      <c r="N26" s="908"/>
    </row>
    <row r="27" spans="2:24" s="63" customFormat="1" ht="12" customHeight="1" x14ac:dyDescent="0.25">
      <c r="B27" s="1089"/>
      <c r="C27" s="1204" t="s">
        <v>143</v>
      </c>
      <c r="D27" s="1991"/>
      <c r="F27" s="1343" t="s">
        <v>4547</v>
      </c>
      <c r="G27" s="272"/>
      <c r="H27" s="272"/>
      <c r="I27" s="272"/>
      <c r="J27" s="272"/>
      <c r="K27" s="272"/>
      <c r="L27" s="61"/>
      <c r="M27" s="1307"/>
      <c r="N27" s="908"/>
    </row>
    <row r="28" spans="2:24" s="63" customFormat="1" ht="6" customHeight="1" x14ac:dyDescent="0.25">
      <c r="B28" s="1089"/>
      <c r="C28" s="1204"/>
      <c r="D28" s="1343"/>
      <c r="E28" s="1343"/>
      <c r="F28" s="272"/>
      <c r="G28" s="272"/>
      <c r="H28" s="272"/>
      <c r="I28" s="272"/>
      <c r="J28" s="272"/>
      <c r="K28" s="272"/>
      <c r="L28" s="61"/>
      <c r="M28" s="1307"/>
      <c r="N28" s="908"/>
    </row>
    <row r="29" spans="2:24" s="63" customFormat="1" ht="12" customHeight="1" x14ac:dyDescent="0.25">
      <c r="B29" s="1088" t="s">
        <v>4548</v>
      </c>
      <c r="C29" s="1204"/>
      <c r="D29" s="1343"/>
      <c r="E29" s="1343"/>
      <c r="F29" s="272"/>
      <c r="G29" s="272"/>
      <c r="H29" s="272"/>
      <c r="I29" s="272"/>
      <c r="J29" s="272"/>
      <c r="K29" s="272"/>
      <c r="L29" s="61"/>
      <c r="M29" s="1307"/>
      <c r="N29" s="908"/>
    </row>
    <row r="30" spans="2:24" s="63" customFormat="1" ht="12" customHeight="1" x14ac:dyDescent="0.25">
      <c r="B30" s="1089"/>
      <c r="C30" s="1204" t="s">
        <v>213</v>
      </c>
      <c r="D30" s="1990"/>
      <c r="E30" s="1343"/>
      <c r="F30" s="1343" t="s">
        <v>4836</v>
      </c>
      <c r="G30" s="272"/>
      <c r="H30" s="272"/>
      <c r="I30" s="272"/>
      <c r="J30" s="272"/>
      <c r="K30" s="272"/>
      <c r="L30" s="61"/>
      <c r="M30" s="1307"/>
      <c r="N30" s="908"/>
    </row>
    <row r="31" spans="2:24" s="63" customFormat="1" ht="12" customHeight="1" x14ac:dyDescent="0.25">
      <c r="B31" s="1089"/>
      <c r="C31" s="1204"/>
      <c r="E31" s="1343"/>
      <c r="F31" s="1343" t="s">
        <v>4837</v>
      </c>
      <c r="G31" s="272"/>
      <c r="H31" s="272"/>
      <c r="I31" s="272"/>
      <c r="J31" s="272"/>
      <c r="K31" s="272"/>
      <c r="L31" s="61"/>
      <c r="M31" s="1307"/>
      <c r="N31" s="908"/>
    </row>
    <row r="32" spans="2:24" s="63" customFormat="1" ht="12" customHeight="1" x14ac:dyDescent="0.25">
      <c r="B32" s="1089"/>
      <c r="C32" s="1204" t="s">
        <v>214</v>
      </c>
      <c r="D32" s="1990"/>
      <c r="E32" s="1343"/>
      <c r="F32" s="1343" t="s">
        <v>4549</v>
      </c>
      <c r="G32" s="272"/>
      <c r="H32" s="272"/>
      <c r="I32" s="272"/>
      <c r="J32" s="272"/>
      <c r="K32" s="272"/>
      <c r="L32" s="61"/>
      <c r="M32" s="1307"/>
      <c r="N32" s="908"/>
    </row>
    <row r="33" spans="2:14" s="63" customFormat="1" ht="12" customHeight="1" x14ac:dyDescent="0.25">
      <c r="B33" s="1089"/>
      <c r="C33" s="1204" t="s">
        <v>143</v>
      </c>
      <c r="D33" s="1991"/>
      <c r="E33" s="1343"/>
      <c r="F33" s="1343" t="s">
        <v>4550</v>
      </c>
      <c r="G33" s="272"/>
      <c r="H33" s="272"/>
      <c r="I33" s="272"/>
      <c r="J33" s="272"/>
      <c r="K33" s="272"/>
      <c r="L33" s="61"/>
      <c r="M33" s="1307"/>
      <c r="N33" s="908"/>
    </row>
    <row r="34" spans="2:14" s="63" customFormat="1" ht="12" customHeight="1" x14ac:dyDescent="0.25">
      <c r="B34" s="1089"/>
      <c r="C34" s="1204" t="s">
        <v>1231</v>
      </c>
      <c r="D34" s="1991"/>
      <c r="E34" s="1343"/>
      <c r="F34" s="1343" t="s">
        <v>4551</v>
      </c>
      <c r="G34" s="272"/>
      <c r="H34" s="272"/>
      <c r="I34" s="272"/>
      <c r="J34" s="272"/>
      <c r="K34" s="272"/>
      <c r="L34" s="61"/>
      <c r="M34" s="1307"/>
      <c r="N34" s="908"/>
    </row>
    <row r="35" spans="2:14" s="63" customFormat="1" ht="12" customHeight="1" x14ac:dyDescent="0.25">
      <c r="B35" s="1089"/>
      <c r="C35" s="1204"/>
      <c r="E35" s="1343"/>
      <c r="F35" s="1343"/>
      <c r="G35" s="272"/>
      <c r="H35" s="272"/>
      <c r="I35" s="272"/>
      <c r="J35" s="272"/>
      <c r="K35" s="272"/>
      <c r="L35" s="61"/>
      <c r="M35" s="1307"/>
      <c r="N35" s="908"/>
    </row>
    <row r="36" spans="2:14" s="63" customFormat="1" ht="12" customHeight="1" x14ac:dyDescent="0.25">
      <c r="B36" s="1089" t="s">
        <v>4838</v>
      </c>
      <c r="C36" s="61"/>
      <c r="D36" s="61"/>
      <c r="E36" s="61"/>
      <c r="F36" s="61"/>
      <c r="G36" s="61"/>
      <c r="H36" s="61"/>
      <c r="I36" s="61"/>
      <c r="J36" s="61"/>
      <c r="K36" s="61"/>
      <c r="L36" s="61"/>
      <c r="M36" s="2095"/>
      <c r="N36" s="908"/>
    </row>
    <row r="37" spans="2:14" s="63" customFormat="1" ht="13.5" customHeight="1" x14ac:dyDescent="0.25">
      <c r="B37" s="1089" t="s">
        <v>4839</v>
      </c>
      <c r="C37" s="61"/>
      <c r="D37" s="61"/>
      <c r="E37" s="61"/>
      <c r="F37" s="61"/>
      <c r="G37" s="61"/>
      <c r="H37" s="61"/>
      <c r="I37" s="61"/>
      <c r="J37" s="61"/>
      <c r="K37" s="61"/>
      <c r="L37" s="61"/>
      <c r="M37" s="61"/>
    </row>
    <row r="38" spans="2:14" s="63" customFormat="1" ht="12" customHeight="1" x14ac:dyDescent="0.25">
      <c r="B38" s="1088" t="s">
        <v>5639</v>
      </c>
      <c r="C38" s="1088"/>
      <c r="D38" s="1090"/>
      <c r="E38" s="1090"/>
      <c r="F38" s="1492"/>
      <c r="G38" s="1089"/>
      <c r="H38" s="1089"/>
      <c r="I38" s="1089"/>
      <c r="J38" s="1089"/>
      <c r="K38" s="1089"/>
      <c r="L38" s="61"/>
    </row>
    <row r="39" spans="2:14" s="63" customFormat="1" ht="12" customHeight="1" x14ac:dyDescent="0.25">
      <c r="B39" s="2096"/>
      <c r="C39" s="2096"/>
      <c r="D39" s="2097"/>
      <c r="E39" s="2097"/>
      <c r="F39" s="2098"/>
      <c r="G39" s="1909"/>
      <c r="H39" s="1909"/>
      <c r="I39" s="1909"/>
      <c r="J39" s="1909"/>
      <c r="K39" s="1909"/>
      <c r="L39" s="2099"/>
    </row>
    <row r="40" spans="2:14" s="63" customFormat="1" ht="13.5" customHeight="1" x14ac:dyDescent="0.25">
      <c r="B40" s="1956" t="s">
        <v>4840</v>
      </c>
      <c r="C40" s="1088"/>
      <c r="D40" s="1090"/>
      <c r="E40" s="1090"/>
      <c r="F40" s="1492"/>
      <c r="G40" s="1089"/>
      <c r="H40" s="1089"/>
      <c r="I40" s="1089"/>
      <c r="J40" s="1089"/>
      <c r="K40" s="1089"/>
      <c r="L40" s="61"/>
    </row>
    <row r="41" spans="2:14" s="63" customFormat="1" ht="6" customHeight="1" x14ac:dyDescent="0.25">
      <c r="B41" s="1956"/>
      <c r="C41" s="1088"/>
      <c r="D41" s="1090"/>
      <c r="E41" s="1090"/>
      <c r="F41" s="1492"/>
      <c r="G41" s="1089"/>
      <c r="H41" s="1089"/>
      <c r="I41" s="1089"/>
      <c r="J41" s="1089"/>
      <c r="K41" s="1089"/>
      <c r="L41" s="61"/>
    </row>
    <row r="42" spans="2:14" s="63" customFormat="1" ht="15.75" x14ac:dyDescent="0.25">
      <c r="B42" s="1089" t="s">
        <v>4560</v>
      </c>
      <c r="C42" s="1088"/>
      <c r="D42" s="1090"/>
      <c r="E42" s="1090"/>
      <c r="F42" s="1492"/>
      <c r="G42" s="1089"/>
      <c r="H42" s="1089"/>
      <c r="I42" s="1089"/>
      <c r="J42" s="1089"/>
      <c r="K42" s="1089"/>
      <c r="L42" s="61"/>
    </row>
    <row r="43" spans="2:14" s="63" customFormat="1" ht="12" customHeight="1" x14ac:dyDescent="0.25">
      <c r="B43" s="1088" t="s">
        <v>4841</v>
      </c>
      <c r="C43" s="1088"/>
      <c r="D43" s="1090"/>
      <c r="E43" s="1090"/>
      <c r="F43" s="1492"/>
      <c r="G43" s="1089"/>
      <c r="H43" s="1089"/>
      <c r="I43" s="1089"/>
      <c r="J43" s="1089"/>
      <c r="K43" s="1089"/>
      <c r="L43" s="61"/>
    </row>
    <row r="44" spans="2:14" s="63" customFormat="1" ht="5.25" customHeight="1" x14ac:dyDescent="0.25">
      <c r="B44" s="1089"/>
      <c r="C44" s="1088"/>
      <c r="D44" s="1090"/>
      <c r="E44" s="1090"/>
      <c r="F44" s="1492"/>
      <c r="G44" s="1089"/>
      <c r="H44" s="1089"/>
      <c r="I44" s="1089"/>
      <c r="J44" s="1089"/>
      <c r="K44" s="1089"/>
      <c r="L44" s="61"/>
    </row>
    <row r="45" spans="2:14" s="63" customFormat="1" ht="15.75" x14ac:dyDescent="0.25">
      <c r="B45" s="1955" t="s">
        <v>4558</v>
      </c>
      <c r="C45" s="1088"/>
      <c r="D45" s="1090"/>
      <c r="E45" s="1090"/>
      <c r="F45" s="1492"/>
      <c r="G45" s="1089"/>
      <c r="H45" s="1089"/>
      <c r="I45" s="1089"/>
      <c r="J45" s="1089"/>
      <c r="K45" s="1089"/>
      <c r="L45" s="61"/>
    </row>
    <row r="46" spans="2:14" s="63" customFormat="1" ht="6" customHeight="1" x14ac:dyDescent="0.25">
      <c r="B46" s="1954"/>
      <c r="C46" s="1088"/>
      <c r="D46" s="1090"/>
      <c r="E46" s="1090"/>
      <c r="F46" s="1492"/>
      <c r="G46" s="1089"/>
      <c r="H46" s="1089"/>
      <c r="I46" s="1089"/>
      <c r="J46" s="1089"/>
      <c r="K46" s="1089"/>
      <c r="L46" s="61"/>
    </row>
    <row r="47" spans="2:14" s="1089" customFormat="1" x14ac:dyDescent="0.2">
      <c r="B47" s="1953" t="s">
        <v>4552</v>
      </c>
      <c r="C47" s="1953"/>
      <c r="D47" s="1953"/>
      <c r="E47" s="1953"/>
      <c r="F47" s="1953"/>
      <c r="G47" s="1953"/>
    </row>
    <row r="48" spans="2:14" s="1089" customFormat="1" ht="12" customHeight="1" x14ac:dyDescent="0.2">
      <c r="B48" s="1089" t="s">
        <v>4842</v>
      </c>
    </row>
    <row r="49" spans="2:10" s="1089" customFormat="1" ht="12" customHeight="1" x14ac:dyDescent="0.2">
      <c r="B49" s="1089" t="s">
        <v>4843</v>
      </c>
    </row>
    <row r="50" spans="2:10" s="1089" customFormat="1" ht="12" customHeight="1" x14ac:dyDescent="0.2">
      <c r="B50" s="1088" t="s">
        <v>4553</v>
      </c>
      <c r="I50" s="2570"/>
      <c r="J50" s="2570"/>
    </row>
    <row r="51" spans="2:10" s="1089" customFormat="1" ht="12" customHeight="1" x14ac:dyDescent="0.2">
      <c r="B51" s="1088" t="s">
        <v>4641</v>
      </c>
      <c r="I51" s="2100"/>
      <c r="J51" s="2100"/>
    </row>
    <row r="52" spans="2:10" s="1089" customFormat="1" ht="12" customHeight="1" x14ac:dyDescent="0.2"/>
    <row r="53" spans="2:10" s="1089" customFormat="1" ht="12" customHeight="1" x14ac:dyDescent="0.2">
      <c r="B53" s="1953" t="s">
        <v>4554</v>
      </c>
      <c r="C53" s="1088"/>
      <c r="D53" s="1090"/>
      <c r="E53" s="1090"/>
      <c r="F53" s="1492"/>
    </row>
    <row r="54" spans="2:10" s="1089" customFormat="1" ht="12" customHeight="1" x14ac:dyDescent="0.2">
      <c r="B54" s="1089" t="s">
        <v>4844</v>
      </c>
      <c r="C54" s="1088"/>
      <c r="D54" s="1090"/>
      <c r="E54" s="1090"/>
      <c r="F54" s="1492"/>
    </row>
    <row r="55" spans="2:10" s="1089" customFormat="1" ht="12" customHeight="1" x14ac:dyDescent="0.2">
      <c r="B55" s="1089" t="s">
        <v>4845</v>
      </c>
      <c r="C55" s="1088"/>
      <c r="D55" s="1090"/>
      <c r="E55" s="1090"/>
      <c r="F55" s="1492"/>
    </row>
    <row r="56" spans="2:10" s="1089" customFormat="1" ht="12" customHeight="1" x14ac:dyDescent="0.2">
      <c r="B56" s="1088" t="s">
        <v>4555</v>
      </c>
      <c r="C56" s="1088"/>
      <c r="I56" s="2570"/>
      <c r="J56" s="2570"/>
    </row>
    <row r="57" spans="2:10" s="1089" customFormat="1" ht="12" customHeight="1" x14ac:dyDescent="0.2">
      <c r="C57" s="1088"/>
      <c r="I57" s="2100"/>
      <c r="J57" s="2100"/>
    </row>
    <row r="58" spans="2:10" s="1089" customFormat="1" ht="12" customHeight="1" x14ac:dyDescent="0.2">
      <c r="B58" s="1953" t="s">
        <v>4637</v>
      </c>
      <c r="C58" s="1088"/>
      <c r="I58" s="2100"/>
      <c r="J58" s="2100"/>
    </row>
    <row r="59" spans="2:10" s="1089" customFormat="1" ht="12" customHeight="1" x14ac:dyDescent="0.2">
      <c r="B59" s="1088" t="s">
        <v>4640</v>
      </c>
      <c r="C59" s="1088"/>
      <c r="I59" s="2569"/>
      <c r="J59" s="2569"/>
    </row>
    <row r="60" spans="2:10" s="1089" customFormat="1" ht="12" customHeight="1" x14ac:dyDescent="0.2">
      <c r="B60" s="1088" t="s">
        <v>4639</v>
      </c>
      <c r="C60" s="1088"/>
      <c r="I60" s="2570"/>
      <c r="J60" s="2570"/>
    </row>
    <row r="61" spans="2:10" s="1089" customFormat="1" ht="12" customHeight="1" x14ac:dyDescent="0.2">
      <c r="C61" s="1088"/>
      <c r="I61" s="1934"/>
      <c r="J61" s="1934"/>
    </row>
    <row r="62" spans="2:10" s="1089" customFormat="1" ht="13.5" customHeight="1" x14ac:dyDescent="0.2">
      <c r="B62" s="1088" t="s">
        <v>4846</v>
      </c>
      <c r="C62" s="1088"/>
      <c r="I62" s="1934"/>
      <c r="J62" s="1934"/>
    </row>
    <row r="63" spans="2:10" s="1089" customFormat="1" ht="5.25" customHeight="1" x14ac:dyDescent="0.2">
      <c r="C63" s="1088"/>
      <c r="I63" s="1934"/>
      <c r="J63" s="1934"/>
    </row>
    <row r="64" spans="2:10" s="1089" customFormat="1" ht="15" x14ac:dyDescent="0.2">
      <c r="B64" s="1955" t="s">
        <v>4559</v>
      </c>
      <c r="C64" s="1088"/>
      <c r="I64" s="1934"/>
      <c r="J64" s="1934"/>
    </row>
    <row r="65" spans="2:13" s="1089" customFormat="1" ht="6" customHeight="1" x14ac:dyDescent="0.2">
      <c r="B65" s="1955"/>
      <c r="C65" s="1088"/>
      <c r="I65" s="1934"/>
      <c r="J65" s="1934"/>
    </row>
    <row r="66" spans="2:13" s="1089" customFormat="1" ht="12" customHeight="1" x14ac:dyDescent="0.2">
      <c r="B66" s="1953" t="s">
        <v>4557</v>
      </c>
      <c r="C66" s="1088"/>
      <c r="I66" s="1934"/>
      <c r="J66" s="1934"/>
    </row>
    <row r="67" spans="2:13" s="1089" customFormat="1" ht="12" customHeight="1" x14ac:dyDescent="0.2">
      <c r="B67" s="1089" t="s">
        <v>4847</v>
      </c>
      <c r="C67" s="1088"/>
      <c r="I67" s="1934"/>
      <c r="J67" s="1934"/>
    </row>
    <row r="68" spans="2:13" s="1089" customFormat="1" ht="12" customHeight="1" x14ac:dyDescent="0.2">
      <c r="B68" s="1089" t="s">
        <v>4848</v>
      </c>
      <c r="I68" s="1934"/>
      <c r="J68" s="1934"/>
    </row>
    <row r="69" spans="2:13" s="1089" customFormat="1" ht="12" customHeight="1" x14ac:dyDescent="0.2">
      <c r="B69" s="1089" t="s">
        <v>4849</v>
      </c>
      <c r="I69" s="1934"/>
      <c r="J69" s="1934"/>
    </row>
    <row r="70" spans="2:13" s="1089" customFormat="1" ht="12" customHeight="1" x14ac:dyDescent="0.2">
      <c r="B70" s="1089" t="s">
        <v>4850</v>
      </c>
      <c r="I70" s="1934"/>
      <c r="J70" s="1934"/>
    </row>
    <row r="71" spans="2:13" s="1089" customFormat="1" ht="12" customHeight="1" x14ac:dyDescent="0.2">
      <c r="B71" s="1088" t="s">
        <v>4642</v>
      </c>
      <c r="I71" s="2100"/>
      <c r="J71" s="2100"/>
    </row>
    <row r="72" spans="2:13" s="1089" customFormat="1" ht="12" customHeight="1" x14ac:dyDescent="0.2">
      <c r="I72" s="1934"/>
      <c r="J72" s="1934"/>
    </row>
    <row r="73" spans="2:13" s="1089" customFormat="1" ht="12" customHeight="1" x14ac:dyDescent="0.2">
      <c r="B73" s="1953" t="s">
        <v>4567</v>
      </c>
      <c r="I73" s="1934"/>
      <c r="J73" s="1934"/>
    </row>
    <row r="74" spans="2:13" s="1089" customFormat="1" ht="12" customHeight="1" x14ac:dyDescent="0.2">
      <c r="B74" s="1089" t="s">
        <v>4851</v>
      </c>
      <c r="I74" s="1934"/>
      <c r="J74" s="1934"/>
    </row>
    <row r="75" spans="2:13" s="1089" customFormat="1" ht="12" customHeight="1" x14ac:dyDescent="0.2">
      <c r="B75" s="1089" t="s">
        <v>4852</v>
      </c>
      <c r="I75" s="1934"/>
      <c r="J75" s="1934"/>
    </row>
    <row r="76" spans="2:13" s="1089" customFormat="1" ht="12" customHeight="1" x14ac:dyDescent="0.2">
      <c r="B76" s="1088" t="s">
        <v>4638</v>
      </c>
      <c r="I76" s="2569"/>
      <c r="J76" s="2569"/>
    </row>
    <row r="77" spans="2:13" s="1089" customFormat="1" ht="12" customHeight="1" x14ac:dyDescent="0.2">
      <c r="B77" s="1088" t="s">
        <v>4639</v>
      </c>
      <c r="I77" s="2570"/>
      <c r="J77" s="2570"/>
    </row>
    <row r="78" spans="2:13" s="1089" customFormat="1" ht="12" customHeight="1" x14ac:dyDescent="0.2"/>
    <row r="79" spans="2:13" ht="12" customHeight="1" x14ac:dyDescent="0.2">
      <c r="B79" s="1344" t="s">
        <v>1229</v>
      </c>
      <c r="C79" s="1088"/>
      <c r="D79" s="1089"/>
      <c r="E79" s="1089"/>
      <c r="F79" s="1089"/>
      <c r="G79" s="1089"/>
      <c r="H79" s="1089"/>
      <c r="I79" s="1089"/>
      <c r="J79" s="1089"/>
      <c r="K79" s="1089"/>
    </row>
    <row r="80" spans="2:13" ht="12" customHeight="1" x14ac:dyDescent="0.2">
      <c r="B80" s="1204" t="s">
        <v>4544</v>
      </c>
      <c r="C80" s="273"/>
      <c r="D80" s="273"/>
      <c r="E80" s="273"/>
      <c r="F80" s="273"/>
      <c r="G80" s="273"/>
      <c r="H80" s="273"/>
      <c r="I80" s="273"/>
      <c r="J80" s="273"/>
      <c r="K80" s="1089"/>
      <c r="L80" s="273"/>
      <c r="M80" s="40"/>
    </row>
    <row r="81" spans="2:13" ht="12" customHeight="1" x14ac:dyDescent="0.2">
      <c r="B81" s="1204" t="s">
        <v>5640</v>
      </c>
      <c r="C81" s="273"/>
      <c r="D81" s="273"/>
      <c r="E81" s="273"/>
      <c r="F81" s="273"/>
      <c r="G81" s="273"/>
      <c r="H81" s="273"/>
      <c r="I81" s="273"/>
      <c r="J81" s="273"/>
      <c r="K81" s="1089"/>
      <c r="L81" s="273"/>
      <c r="M81" s="273"/>
    </row>
    <row r="82" spans="2:13" ht="15.75" customHeight="1" x14ac:dyDescent="0.2">
      <c r="B82" s="1088"/>
      <c r="C82" s="1088"/>
      <c r="D82" s="1089"/>
      <c r="E82" s="1089"/>
      <c r="F82" s="1089"/>
      <c r="G82" s="1089"/>
      <c r="H82" s="1089"/>
      <c r="I82" s="1089"/>
      <c r="J82" s="1089"/>
      <c r="K82" s="1089"/>
    </row>
    <row r="83" spans="2:13" ht="12" customHeight="1" x14ac:dyDescent="0.2">
      <c r="B83" s="1088"/>
      <c r="C83" s="1088"/>
      <c r="D83" s="1089"/>
      <c r="E83" s="1089"/>
      <c r="F83" s="1089"/>
      <c r="G83" s="1089"/>
      <c r="H83" s="1089"/>
      <c r="I83" s="1089"/>
      <c r="J83" s="1089"/>
      <c r="K83" s="1089"/>
    </row>
    <row r="84" spans="2:13" ht="12" customHeight="1" x14ac:dyDescent="0.2">
      <c r="B84" s="1088"/>
      <c r="C84" s="1088"/>
      <c r="D84" s="1089"/>
      <c r="E84" s="1089"/>
      <c r="F84" s="1089"/>
      <c r="G84" s="1089"/>
      <c r="H84" s="1089"/>
      <c r="I84" s="1089"/>
      <c r="J84" s="1089"/>
      <c r="K84" s="1089"/>
    </row>
    <row r="85" spans="2:13" ht="12" customHeight="1" x14ac:dyDescent="0.2">
      <c r="B85" s="1088"/>
      <c r="C85" s="1088"/>
      <c r="D85" s="1089"/>
      <c r="E85" s="1089"/>
      <c r="F85" s="1089"/>
      <c r="G85" s="1089"/>
      <c r="H85" s="1089"/>
      <c r="I85" s="1089"/>
      <c r="J85" s="1089"/>
      <c r="K85" s="1089"/>
    </row>
    <row r="86" spans="2:13" ht="12" customHeight="1" x14ac:dyDescent="0.2">
      <c r="B86" s="1088"/>
      <c r="C86" s="1088"/>
      <c r="D86" s="1089"/>
      <c r="E86" s="1089"/>
      <c r="F86" s="1089"/>
      <c r="G86" s="1089"/>
      <c r="H86" s="1089"/>
      <c r="I86" s="1089"/>
      <c r="J86" s="1089"/>
      <c r="K86" s="1089"/>
    </row>
    <row r="87" spans="2:13" ht="5.0999999999999996" customHeight="1" x14ac:dyDescent="0.2">
      <c r="B87" s="1088"/>
      <c r="C87" s="1088"/>
      <c r="D87" s="1089"/>
      <c r="E87" s="1089"/>
      <c r="F87" s="1089"/>
      <c r="G87" s="1089"/>
      <c r="H87" s="1089"/>
      <c r="I87" s="1089"/>
      <c r="J87" s="1089"/>
      <c r="K87" s="1089"/>
    </row>
    <row r="88" spans="2:13" ht="12" customHeight="1" x14ac:dyDescent="0.2">
      <c r="B88" s="1088"/>
      <c r="C88" s="1088"/>
      <c r="D88" s="1089"/>
      <c r="E88" s="1089"/>
      <c r="F88" s="1089"/>
      <c r="G88" s="1089"/>
      <c r="H88" s="1089"/>
      <c r="I88" s="1089"/>
      <c r="J88" s="1089"/>
      <c r="K88" s="1089"/>
    </row>
    <row r="89" spans="2:13" ht="12" customHeight="1" x14ac:dyDescent="0.2">
      <c r="B89" s="1088"/>
      <c r="C89" s="1088"/>
      <c r="D89" s="1089"/>
      <c r="E89" s="1089"/>
      <c r="F89" s="1089"/>
      <c r="G89" s="1089"/>
      <c r="H89" s="1089"/>
      <c r="I89" s="1089"/>
      <c r="J89" s="1089"/>
      <c r="K89" s="1089"/>
    </row>
    <row r="90" spans="2:13" ht="12" customHeight="1" x14ac:dyDescent="0.2">
      <c r="B90" s="1088"/>
      <c r="C90" s="1088"/>
      <c r="D90" s="1089"/>
      <c r="E90" s="1089"/>
      <c r="F90" s="1089"/>
      <c r="G90" s="1089"/>
      <c r="H90" s="1089"/>
      <c r="I90" s="1089"/>
      <c r="J90" s="1089"/>
      <c r="K90" s="1089"/>
    </row>
    <row r="91" spans="2:13" ht="12" customHeight="1" x14ac:dyDescent="0.2">
      <c r="B91" s="1088"/>
      <c r="C91" s="1088"/>
      <c r="D91" s="1089"/>
      <c r="E91" s="1089"/>
      <c r="F91" s="1089"/>
      <c r="G91" s="1089"/>
      <c r="H91" s="1089"/>
      <c r="I91" s="1089"/>
      <c r="J91" s="1089"/>
      <c r="K91" s="1089"/>
    </row>
    <row r="92" spans="2:13" ht="12" customHeight="1" x14ac:dyDescent="0.2">
      <c r="B92" s="1190"/>
      <c r="C92" s="1190"/>
      <c r="D92" s="949"/>
      <c r="E92" s="949"/>
      <c r="F92" s="949"/>
      <c r="G92" s="949"/>
      <c r="H92" s="949"/>
      <c r="I92" s="949"/>
      <c r="J92" s="949"/>
      <c r="K92" s="949"/>
    </row>
    <row r="93" spans="2:13" ht="12" customHeight="1" x14ac:dyDescent="0.2">
      <c r="B93" s="1190"/>
      <c r="C93" s="1190"/>
      <c r="D93" s="949"/>
      <c r="E93" s="949"/>
      <c r="F93" s="949"/>
      <c r="G93" s="949"/>
      <c r="H93" s="949"/>
      <c r="I93" s="949"/>
      <c r="J93" s="949"/>
      <c r="K93" s="949"/>
    </row>
    <row r="94" spans="2:13" ht="5.0999999999999996" customHeight="1" x14ac:dyDescent="0.2">
      <c r="B94" s="1190"/>
      <c r="C94" s="1190"/>
      <c r="D94" s="949"/>
      <c r="E94" s="949"/>
      <c r="F94" s="949"/>
      <c r="G94" s="949"/>
      <c r="H94" s="949"/>
      <c r="I94" s="949"/>
      <c r="J94" s="949"/>
      <c r="K94" s="949"/>
    </row>
    <row r="98" spans="1:13" ht="14.1" customHeight="1" x14ac:dyDescent="0.2">
      <c r="B98" s="1190"/>
      <c r="C98" s="273"/>
      <c r="D98" s="273"/>
      <c r="E98" s="273"/>
      <c r="F98" s="273"/>
      <c r="G98" s="273"/>
      <c r="H98" s="273"/>
      <c r="I98" s="273"/>
      <c r="J98" s="273"/>
      <c r="K98" s="273"/>
      <c r="L98" s="273"/>
      <c r="M98" s="273"/>
    </row>
    <row r="99" spans="1:13" ht="5.0999999999999996" customHeight="1" x14ac:dyDescent="0.2">
      <c r="B99" s="1190"/>
      <c r="C99" s="1190"/>
      <c r="D99" s="949"/>
      <c r="E99" s="949"/>
      <c r="F99" s="949"/>
      <c r="G99" s="949"/>
      <c r="H99" s="949"/>
      <c r="I99" s="949"/>
      <c r="J99" s="949"/>
      <c r="K99" s="949"/>
    </row>
    <row r="100" spans="1:13" ht="12" customHeight="1" x14ac:dyDescent="0.2">
      <c r="B100" s="1190"/>
      <c r="C100" s="1190"/>
      <c r="D100" s="949"/>
      <c r="E100" s="949"/>
      <c r="F100" s="949"/>
      <c r="G100" s="949"/>
      <c r="H100" s="949"/>
      <c r="I100" s="949"/>
      <c r="J100" s="949"/>
      <c r="K100" s="949"/>
    </row>
    <row r="101" spans="1:13" x14ac:dyDescent="0.2">
      <c r="B101" s="1190"/>
      <c r="C101" s="1190"/>
      <c r="D101" s="949"/>
      <c r="E101" s="949"/>
      <c r="F101" s="949"/>
      <c r="G101" s="949"/>
      <c r="H101" s="949"/>
      <c r="I101" s="949"/>
      <c r="J101" s="949"/>
      <c r="K101" s="949"/>
    </row>
    <row r="102" spans="1:13" x14ac:dyDescent="0.2">
      <c r="B102" s="1190"/>
      <c r="C102" s="1190"/>
      <c r="D102" s="949"/>
      <c r="E102" s="949"/>
      <c r="F102" s="949"/>
      <c r="G102" s="949"/>
      <c r="H102" s="949"/>
      <c r="I102" s="949"/>
      <c r="J102" s="949"/>
      <c r="K102" s="949"/>
    </row>
    <row r="103" spans="1:13" ht="16.5" customHeight="1" x14ac:dyDescent="0.2">
      <c r="B103" s="1190"/>
      <c r="C103" s="1190"/>
      <c r="D103" s="949"/>
      <c r="E103" s="949"/>
      <c r="F103" s="949"/>
      <c r="G103" s="949"/>
      <c r="H103" s="949"/>
      <c r="I103" s="949"/>
      <c r="J103" s="949"/>
      <c r="K103" s="949"/>
    </row>
    <row r="104" spans="1:13" ht="5.0999999999999996" customHeight="1" x14ac:dyDescent="0.2">
      <c r="B104" s="1190"/>
      <c r="C104" s="1190"/>
      <c r="D104" s="949"/>
      <c r="E104" s="949"/>
      <c r="F104" s="949"/>
      <c r="G104" s="949"/>
      <c r="H104" s="949"/>
      <c r="I104" s="949"/>
      <c r="J104" s="949"/>
      <c r="K104" s="949"/>
    </row>
    <row r="105" spans="1:13" x14ac:dyDescent="0.2">
      <c r="B105" s="1190"/>
      <c r="C105" s="1190"/>
      <c r="D105" s="949"/>
      <c r="E105" s="949"/>
      <c r="F105" s="949"/>
      <c r="G105" s="949"/>
      <c r="H105" s="949"/>
      <c r="I105" s="949"/>
      <c r="J105" s="949"/>
      <c r="K105" s="949"/>
    </row>
    <row r="106" spans="1:13" x14ac:dyDescent="0.2">
      <c r="B106" s="1190"/>
      <c r="C106" s="1190"/>
      <c r="D106" s="949"/>
      <c r="E106" s="949"/>
      <c r="F106" s="949"/>
      <c r="G106" s="949"/>
      <c r="H106" s="949"/>
      <c r="I106" s="949"/>
      <c r="J106" s="949"/>
      <c r="K106" s="949"/>
    </row>
    <row r="107" spans="1:13" x14ac:dyDescent="0.2">
      <c r="B107" s="1190"/>
      <c r="C107" s="1190"/>
      <c r="D107" s="949"/>
      <c r="E107" s="949"/>
      <c r="F107" s="949"/>
      <c r="G107" s="949"/>
      <c r="H107" s="949"/>
      <c r="I107" s="949"/>
      <c r="J107" s="949"/>
      <c r="K107" s="949"/>
    </row>
    <row r="108" spans="1:13" ht="16.5" customHeight="1" x14ac:dyDescent="0.2">
      <c r="B108" s="1190"/>
      <c r="C108" s="1190"/>
      <c r="D108" s="949"/>
      <c r="E108" s="949"/>
      <c r="F108" s="949"/>
      <c r="G108" s="949"/>
      <c r="H108" s="949"/>
      <c r="I108" s="949"/>
      <c r="J108" s="949"/>
      <c r="K108" s="949"/>
    </row>
    <row r="109" spans="1:13" ht="11.1" customHeight="1" x14ac:dyDescent="0.2">
      <c r="B109" s="1190"/>
      <c r="C109" s="1190"/>
      <c r="D109" s="949"/>
      <c r="E109" s="949"/>
      <c r="F109" s="949"/>
      <c r="G109" s="949"/>
      <c r="H109" s="949"/>
      <c r="I109" s="949"/>
      <c r="J109" s="949"/>
      <c r="K109" s="949"/>
    </row>
    <row r="110" spans="1:13" x14ac:dyDescent="0.2">
      <c r="A110" s="61" t="str">
        <f>AgyIdx</f>
        <v>01</v>
      </c>
      <c r="B110" s="1190"/>
      <c r="C110" s="1190"/>
      <c r="D110" s="949"/>
      <c r="E110" s="949"/>
      <c r="F110" s="949"/>
      <c r="G110" s="949"/>
      <c r="H110" s="949"/>
      <c r="I110" s="949"/>
      <c r="J110" s="949"/>
      <c r="K110" s="949"/>
    </row>
    <row r="111" spans="1:13" ht="15" x14ac:dyDescent="0.2">
      <c r="A111" s="794" t="str">
        <f ca="1">MID(CELL("filename",A1),FIND("]",CELL("filename",A1))+1,256)</f>
        <v>323</v>
      </c>
      <c r="B111" s="1190" t="str">
        <f t="shared" ref="B111:B120" ca="1" si="1">IF(ISNA(INDEX(ErrorTable,MATCH($A$111&amp;$A112&amp;FALSE,ErrorKey,0),6)),"",INDEX(ErrorTable,MATCH($A$111&amp;$A112&amp;FALSE,ErrorKey,0),6))</f>
        <v/>
      </c>
      <c r="C111" s="1190"/>
      <c r="D111" s="949"/>
      <c r="E111" s="949"/>
      <c r="F111" s="949"/>
      <c r="G111" s="949"/>
      <c r="H111" s="949"/>
      <c r="I111" s="949"/>
      <c r="J111" s="949"/>
      <c r="K111" s="949"/>
    </row>
    <row r="112" spans="1:13" ht="15" x14ac:dyDescent="0.2">
      <c r="A112" s="794" t="s">
        <v>446</v>
      </c>
      <c r="B112" s="1190" t="str">
        <f t="shared" ca="1" si="1"/>
        <v/>
      </c>
      <c r="C112" s="1190"/>
      <c r="D112" s="949"/>
      <c r="E112" s="949"/>
      <c r="F112" s="949"/>
      <c r="G112" s="949"/>
      <c r="H112" s="949"/>
      <c r="I112" s="949"/>
      <c r="J112" s="949"/>
      <c r="K112" s="949"/>
    </row>
    <row r="113" spans="1:11" ht="15" x14ac:dyDescent="0.2">
      <c r="A113" s="794" t="s">
        <v>447</v>
      </c>
      <c r="B113" s="1190" t="str">
        <f t="shared" ca="1" si="1"/>
        <v/>
      </c>
      <c r="C113" s="1190"/>
      <c r="D113" s="949"/>
      <c r="E113" s="949"/>
      <c r="F113" s="949"/>
      <c r="G113" s="949"/>
      <c r="H113" s="949"/>
      <c r="I113" s="949"/>
      <c r="J113" s="949"/>
      <c r="K113" s="949"/>
    </row>
    <row r="114" spans="1:11" ht="15" x14ac:dyDescent="0.2">
      <c r="A114" s="794" t="s">
        <v>448</v>
      </c>
      <c r="B114" s="794" t="str">
        <f t="shared" ca="1" si="1"/>
        <v/>
      </c>
      <c r="C114" s="1190"/>
      <c r="D114" s="949"/>
      <c r="E114" s="949"/>
      <c r="F114" s="949"/>
      <c r="G114" s="949"/>
      <c r="H114" s="949"/>
      <c r="I114" s="949"/>
      <c r="J114" s="949"/>
      <c r="K114" s="949"/>
    </row>
    <row r="115" spans="1:11" ht="15" x14ac:dyDescent="0.2">
      <c r="A115" s="794" t="s">
        <v>450</v>
      </c>
      <c r="B115" s="794" t="str">
        <f t="shared" ca="1" si="1"/>
        <v/>
      </c>
      <c r="C115" s="794"/>
    </row>
    <row r="116" spans="1:11" ht="15" x14ac:dyDescent="0.2">
      <c r="A116" s="794" t="s">
        <v>451</v>
      </c>
      <c r="B116" s="794" t="str">
        <f t="shared" ca="1" si="1"/>
        <v/>
      </c>
      <c r="C116" s="794"/>
    </row>
    <row r="117" spans="1:11" ht="15" x14ac:dyDescent="0.2">
      <c r="A117" s="794" t="s">
        <v>452</v>
      </c>
      <c r="B117" s="794" t="str">
        <f t="shared" ca="1" si="1"/>
        <v/>
      </c>
      <c r="C117" s="794"/>
    </row>
    <row r="118" spans="1:11" ht="15" x14ac:dyDescent="0.2">
      <c r="A118" s="794" t="s">
        <v>453</v>
      </c>
      <c r="B118" s="794" t="str">
        <f t="shared" ca="1" si="1"/>
        <v/>
      </c>
      <c r="C118" s="794"/>
    </row>
    <row r="119" spans="1:11" ht="15" x14ac:dyDescent="0.2">
      <c r="A119" s="794" t="s">
        <v>454</v>
      </c>
      <c r="B119" s="794" t="str">
        <f t="shared" ca="1" si="1"/>
        <v/>
      </c>
      <c r="C119" s="794"/>
    </row>
    <row r="120" spans="1:11" ht="15" x14ac:dyDescent="0.2">
      <c r="A120" s="794" t="s">
        <v>455</v>
      </c>
      <c r="B120" s="794" t="str">
        <f t="shared" ca="1" si="1"/>
        <v/>
      </c>
      <c r="C120" s="794"/>
    </row>
    <row r="121" spans="1:11" ht="15" x14ac:dyDescent="0.2">
      <c r="A121" s="794" t="s">
        <v>456</v>
      </c>
      <c r="C121" s="794"/>
    </row>
  </sheetData>
  <sheetProtection algorithmName="SHA-512" hashValue="oczWWOcsB919MqBZFe6tknYq3VvEDyk6oLJlKiVy7af+x/pITUNEl2hLjKa2C02uz36nNWK6dLgar8NPG2qB8g==" saltValue="ECFNGE7lQ/nPVvd5uqjDaw==" spinCount="100000" sheet="1" objects="1" scenarios="1" autoFilter="0"/>
  <mergeCells count="16">
    <mergeCell ref="I76:J76"/>
    <mergeCell ref="I77:J77"/>
    <mergeCell ref="I6:K6"/>
    <mergeCell ref="I7:K7"/>
    <mergeCell ref="I8:K8"/>
    <mergeCell ref="I50:J50"/>
    <mergeCell ref="I56:J56"/>
    <mergeCell ref="I59:J59"/>
    <mergeCell ref="I60:J60"/>
    <mergeCell ref="B13:G13"/>
    <mergeCell ref="B1:K1"/>
    <mergeCell ref="I5:K5"/>
    <mergeCell ref="L1:L3"/>
    <mergeCell ref="B2:K2"/>
    <mergeCell ref="B3:K3"/>
    <mergeCell ref="B7:D7"/>
  </mergeCells>
  <conditionalFormatting sqref="L1:L3">
    <cfRule type="cellIs" dxfId="134" priority="1" stopIfTrue="1" operator="equal">
      <formula>"na"</formula>
    </cfRule>
  </conditionalFormatting>
  <hyperlinks>
    <hyperlink ref="B1:K1" location="Index!A1" display="Index!A1" xr:uid="{11A3A842-DD3A-4C6F-9789-C2655813C48C}"/>
    <hyperlink ref="B13" r:id="rId1" display="Financial Reporting Update for GASB 83" xr:uid="{E1507681-22C2-4727-AF40-105569943C09}"/>
  </hyperlinks>
  <pageMargins left="0.5" right="0.5" top="0.5" bottom="0.5" header="0.43" footer="0.25"/>
  <pageSetup orientation="portrait" r:id="rId2"/>
  <headerFooter alignWithMargins="0">
    <oddFooter>&amp;R&amp;A</oddFooter>
  </headerFooter>
  <rowBreaks count="1" manualBreakCount="1">
    <brk id="61" max="16383" man="1"/>
  </rowBreaks>
  <colBreaks count="1" manualBreakCount="1">
    <brk id="1" max="66"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AA84"/>
  <sheetViews>
    <sheetView showGridLines="0" topLeftCell="C1" zoomScaleNormal="100" workbookViewId="0">
      <selection activeCell="M27" sqref="M27"/>
    </sheetView>
  </sheetViews>
  <sheetFormatPr defaultColWidth="9.42578125" defaultRowHeight="12.75" x14ac:dyDescent="0.2"/>
  <cols>
    <col min="1" max="1" width="9.5703125" style="514" hidden="1" customWidth="1"/>
    <col min="2" max="2" width="4" style="514" hidden="1" customWidth="1"/>
    <col min="3" max="3" width="7.5703125" style="514" customWidth="1"/>
    <col min="4" max="4" width="1.42578125" style="514" customWidth="1"/>
    <col min="5" max="5" width="27.5703125" style="514" customWidth="1"/>
    <col min="6" max="6" width="1.42578125" style="514" customWidth="1"/>
    <col min="7" max="7" width="15.5703125" style="514" customWidth="1"/>
    <col min="8" max="8" width="1.42578125" style="514" customWidth="1"/>
    <col min="9" max="9" width="15.5703125" style="514" customWidth="1"/>
    <col min="10" max="10" width="1.42578125" style="514" customWidth="1"/>
    <col min="11" max="11" width="15.5703125" style="514" customWidth="1"/>
    <col min="12" max="12" width="1.42578125" style="514" customWidth="1"/>
    <col min="13" max="13" width="15" style="514" customWidth="1"/>
    <col min="14" max="14" width="1.42578125" style="514" customWidth="1"/>
    <col min="15" max="15" width="15.42578125" style="514" customWidth="1"/>
    <col min="16" max="16" width="4.42578125" style="514" customWidth="1"/>
    <col min="17" max="19" width="9.42578125" style="514"/>
    <col min="20" max="20" width="9.42578125" style="2155"/>
    <col min="21" max="16384" width="9.42578125" style="514"/>
  </cols>
  <sheetData>
    <row r="1" spans="1:27" s="502" customFormat="1" ht="15" customHeight="1" x14ac:dyDescent="0.3">
      <c r="A1" s="502" t="str">
        <f t="shared" ref="A1:A36" si="0">_AGY325</f>
        <v>01</v>
      </c>
      <c r="C1" s="2449" t="str">
        <f>+Index!$A$1</f>
        <v xml:space="preserve">                                                               Office of the State Controller                                                                </v>
      </c>
      <c r="D1" s="2449"/>
      <c r="E1" s="2449"/>
      <c r="F1" s="2449"/>
      <c r="G1" s="2449"/>
      <c r="H1" s="2449"/>
      <c r="I1" s="2449"/>
      <c r="J1" s="2449"/>
      <c r="K1" s="2449"/>
      <c r="L1" s="2449"/>
      <c r="M1" s="2449"/>
      <c r="N1" s="2449"/>
      <c r="O1" s="2449"/>
      <c r="P1" s="2448" t="str">
        <f>IF(Index!$B$36="na","NA","")</f>
        <v/>
      </c>
      <c r="Q1"/>
      <c r="T1" s="2153"/>
      <c r="AA1" s="503"/>
    </row>
    <row r="2" spans="1:27" s="502" customFormat="1" ht="15" customHeight="1" x14ac:dyDescent="0.3">
      <c r="A2" s="502" t="str">
        <f t="shared" si="0"/>
        <v>01</v>
      </c>
      <c r="C2" s="2431" t="str">
        <f>+Index!$A$2</f>
        <v>2022 ACFR Worksheets</v>
      </c>
      <c r="D2" s="2431"/>
      <c r="E2" s="2431"/>
      <c r="F2" s="2431"/>
      <c r="G2" s="2431"/>
      <c r="H2" s="2431"/>
      <c r="I2" s="2431"/>
      <c r="J2" s="2431"/>
      <c r="K2" s="2431"/>
      <c r="L2" s="2431"/>
      <c r="M2" s="2431"/>
      <c r="N2" s="2431"/>
      <c r="O2" s="2431"/>
      <c r="P2" s="2448"/>
      <c r="Q2"/>
      <c r="T2" s="2153"/>
    </row>
    <row r="3" spans="1:27" s="502" customFormat="1" ht="15" customHeight="1" x14ac:dyDescent="0.3">
      <c r="A3" s="502" t="str">
        <f t="shared" si="0"/>
        <v>01</v>
      </c>
      <c r="C3" s="2431" t="s">
        <v>3519</v>
      </c>
      <c r="D3" s="2431"/>
      <c r="E3" s="2431"/>
      <c r="F3" s="2431"/>
      <c r="G3" s="2431"/>
      <c r="H3" s="2431"/>
      <c r="I3" s="2431"/>
      <c r="J3" s="2431"/>
      <c r="K3" s="2431"/>
      <c r="L3" s="2431"/>
      <c r="M3" s="2431"/>
      <c r="N3" s="2431"/>
      <c r="O3" s="2431"/>
      <c r="P3" s="2448"/>
      <c r="Q3"/>
      <c r="T3" s="2153"/>
    </row>
    <row r="4" spans="1:27" s="504" customFormat="1" ht="6" customHeight="1" x14ac:dyDescent="0.3">
      <c r="A4" s="502" t="str">
        <f t="shared" si="0"/>
        <v>01</v>
      </c>
      <c r="C4" s="505"/>
      <c r="K4" s="430"/>
      <c r="T4" s="2154"/>
    </row>
    <row r="5" spans="1:27" s="504" customFormat="1" ht="15" customHeight="1" x14ac:dyDescent="0.3">
      <c r="A5" s="502" t="str">
        <f t="shared" si="0"/>
        <v>01</v>
      </c>
      <c r="H5" s="505"/>
      <c r="J5" s="734" t="s">
        <v>327</v>
      </c>
      <c r="K5" s="2567" t="str">
        <f>+Index!$E$10</f>
        <v>01</v>
      </c>
      <c r="L5" s="2567"/>
      <c r="M5" s="2567"/>
      <c r="N5" s="2567"/>
      <c r="O5" s="2567"/>
      <c r="T5" s="2154"/>
    </row>
    <row r="6" spans="1:27" s="504" customFormat="1" ht="15" customHeight="1" x14ac:dyDescent="0.3">
      <c r="A6" s="502" t="str">
        <f t="shared" si="0"/>
        <v>01</v>
      </c>
      <c r="J6" s="734" t="s">
        <v>1154</v>
      </c>
      <c r="K6" s="2567" t="str">
        <f>+Index!$E$11</f>
        <v>North Carolina General Assembly</v>
      </c>
      <c r="L6" s="2567"/>
      <c r="M6" s="2567"/>
      <c r="N6" s="2567"/>
      <c r="O6" s="2567"/>
      <c r="T6" s="2154"/>
    </row>
    <row r="7" spans="1:27" s="504" customFormat="1" ht="15" customHeight="1" x14ac:dyDescent="0.3">
      <c r="A7" s="502" t="str">
        <f t="shared" si="0"/>
        <v>01</v>
      </c>
      <c r="C7" s="504" t="s">
        <v>477</v>
      </c>
      <c r="F7" s="509"/>
      <c r="G7" s="2210"/>
      <c r="J7" s="734" t="s">
        <v>972</v>
      </c>
      <c r="K7" s="2490" t="str">
        <f>CONCATENATE(Index!$E$12," ",Index!$E$14)</f>
        <v xml:space="preserve"> </v>
      </c>
      <c r="L7" s="2490"/>
      <c r="M7" s="2490"/>
      <c r="N7" s="2490"/>
      <c r="O7" s="2490"/>
      <c r="T7" s="2154"/>
    </row>
    <row r="8" spans="1:27" s="504" customFormat="1" ht="15" customHeight="1" x14ac:dyDescent="0.3">
      <c r="A8" s="502" t="str">
        <f t="shared" si="0"/>
        <v>01</v>
      </c>
      <c r="C8" s="1499" t="s">
        <v>3892</v>
      </c>
      <c r="D8" s="1499"/>
      <c r="E8" s="1499"/>
      <c r="F8" s="1500"/>
      <c r="G8" s="1501"/>
      <c r="J8" s="734" t="s">
        <v>348</v>
      </c>
      <c r="K8" s="2572">
        <f>+Index!$E$13</f>
        <v>0</v>
      </c>
      <c r="L8" s="2572"/>
      <c r="M8" s="2572"/>
      <c r="N8" s="2572"/>
      <c r="O8" s="2572"/>
      <c r="T8" s="2154"/>
    </row>
    <row r="9" spans="1:27" s="504" customFormat="1" ht="9.75" customHeight="1" thickBot="1" x14ac:dyDescent="0.35">
      <c r="A9" s="502" t="str">
        <f t="shared" si="0"/>
        <v>01</v>
      </c>
      <c r="C9" s="735"/>
      <c r="D9" s="735"/>
      <c r="E9" s="735"/>
      <c r="F9" s="735"/>
      <c r="G9" s="735"/>
      <c r="H9" s="735"/>
      <c r="I9" s="735"/>
      <c r="J9" s="735"/>
      <c r="K9" s="735"/>
      <c r="L9" s="735"/>
      <c r="M9" s="735"/>
      <c r="N9" s="735"/>
      <c r="O9" s="735"/>
      <c r="T9" s="2154"/>
    </row>
    <row r="10" spans="1:27" s="504" customFormat="1" ht="8.25" customHeight="1" thickBot="1" x14ac:dyDescent="0.35">
      <c r="A10" s="502"/>
      <c r="G10" s="1349"/>
      <c r="T10" s="2154"/>
    </row>
    <row r="11" spans="1:27" s="504" customFormat="1" ht="3" hidden="1" customHeight="1" thickBot="1" x14ac:dyDescent="0.35">
      <c r="A11" s="502" t="str">
        <f t="shared" si="0"/>
        <v>01</v>
      </c>
      <c r="G11" s="504" t="s">
        <v>1553</v>
      </c>
      <c r="I11" s="504" t="s">
        <v>321</v>
      </c>
      <c r="K11" s="504" t="s">
        <v>996</v>
      </c>
      <c r="M11" s="504" t="s">
        <v>997</v>
      </c>
      <c r="O11" s="504" t="s">
        <v>1817</v>
      </c>
      <c r="T11" s="2154"/>
    </row>
    <row r="12" spans="1:27" s="504" customFormat="1" ht="14.25" customHeight="1" thickBot="1" x14ac:dyDescent="0.35">
      <c r="A12" s="502" t="str">
        <f t="shared" si="0"/>
        <v>01</v>
      </c>
      <c r="E12" s="817" t="s">
        <v>3468</v>
      </c>
      <c r="G12" s="1438" t="s">
        <v>3467</v>
      </c>
      <c r="H12" s="1348"/>
      <c r="I12" s="512"/>
      <c r="J12" s="1348"/>
      <c r="K12" s="512"/>
      <c r="L12" s="1348"/>
      <c r="M12" s="512"/>
      <c r="N12" s="1348"/>
      <c r="O12" s="1269"/>
      <c r="P12" s="1348"/>
      <c r="T12" s="2154"/>
    </row>
    <row r="13" spans="1:27" s="504" customFormat="1" ht="8.25" customHeight="1" thickBot="1" x14ac:dyDescent="0.35">
      <c r="A13" s="502" t="str">
        <f t="shared" si="0"/>
        <v>01</v>
      </c>
      <c r="C13" s="735"/>
      <c r="D13" s="735"/>
      <c r="E13" s="735"/>
      <c r="F13" s="735"/>
      <c r="G13" s="735"/>
      <c r="H13" s="735"/>
      <c r="I13" s="735"/>
      <c r="J13" s="735"/>
      <c r="K13" s="735"/>
      <c r="L13" s="735"/>
      <c r="M13" s="735"/>
      <c r="N13" s="735"/>
      <c r="O13" s="735"/>
      <c r="T13" s="2154"/>
    </row>
    <row r="14" spans="1:27" s="504" customFormat="1" ht="9.75" customHeight="1" x14ac:dyDescent="0.3">
      <c r="A14" s="502" t="str">
        <f t="shared" si="0"/>
        <v>01</v>
      </c>
      <c r="T14" s="2154"/>
    </row>
    <row r="15" spans="1:27" s="504" customFormat="1" ht="18.75" x14ac:dyDescent="0.3">
      <c r="A15" s="502"/>
      <c r="G15" s="2131" t="s">
        <v>5024</v>
      </c>
      <c r="H15" s="2131"/>
      <c r="I15" s="2131" t="s">
        <v>5025</v>
      </c>
      <c r="J15" s="2131"/>
      <c r="K15" s="2131" t="s">
        <v>5026</v>
      </c>
      <c r="L15" s="2131"/>
      <c r="M15" s="2131" t="s">
        <v>5027</v>
      </c>
      <c r="N15" s="2131"/>
      <c r="O15" s="2131" t="s">
        <v>5028</v>
      </c>
      <c r="T15" s="2154"/>
    </row>
    <row r="16" spans="1:27" s="504" customFormat="1" ht="15" customHeight="1" x14ac:dyDescent="0.3">
      <c r="A16" s="502" t="str">
        <f t="shared" si="0"/>
        <v>01</v>
      </c>
      <c r="C16" s="506" t="s">
        <v>118</v>
      </c>
      <c r="E16" s="506"/>
      <c r="F16" s="506"/>
      <c r="G16" s="507">
        <f>YEAR(Data!A2)</f>
        <v>2022</v>
      </c>
      <c r="H16" s="506"/>
      <c r="I16" s="507">
        <f>+G16-1</f>
        <v>2021</v>
      </c>
      <c r="J16" s="506"/>
      <c r="K16" s="507">
        <f>+I16-1</f>
        <v>2020</v>
      </c>
      <c r="L16" s="506"/>
      <c r="M16" s="507">
        <f>+K16-1</f>
        <v>2019</v>
      </c>
      <c r="N16" s="506"/>
      <c r="O16" s="507">
        <f>+M16-1</f>
        <v>2018</v>
      </c>
      <c r="T16" s="2154"/>
    </row>
    <row r="17" spans="1:20" s="504" customFormat="1" ht="7.5" customHeight="1" x14ac:dyDescent="0.3">
      <c r="A17" s="502" t="str">
        <f t="shared" si="0"/>
        <v>01</v>
      </c>
      <c r="C17" s="506"/>
      <c r="E17" s="506"/>
      <c r="F17" s="506"/>
      <c r="G17" s="506"/>
      <c r="H17" s="506"/>
      <c r="I17" s="506"/>
      <c r="J17" s="506"/>
      <c r="K17" s="506"/>
      <c r="L17" s="506"/>
      <c r="M17" s="506"/>
      <c r="N17" s="506"/>
      <c r="O17" s="506"/>
      <c r="T17" s="2154"/>
    </row>
    <row r="18" spans="1:20" s="504" customFormat="1" ht="15" customHeight="1" x14ac:dyDescent="0.3">
      <c r="A18" s="502" t="str">
        <f t="shared" si="0"/>
        <v>01</v>
      </c>
      <c r="C18" s="506" t="s">
        <v>119</v>
      </c>
      <c r="E18" s="505" t="s">
        <v>228</v>
      </c>
      <c r="F18" s="508"/>
      <c r="G18" s="508"/>
      <c r="H18" s="508"/>
      <c r="I18" s="508">
        <f>SUM(E18:H18)</f>
        <v>0</v>
      </c>
      <c r="J18" s="508"/>
      <c r="K18" s="508"/>
      <c r="L18" s="508"/>
      <c r="M18" s="508"/>
      <c r="N18" s="508"/>
      <c r="O18" s="508">
        <f>SUM(K18:N18)</f>
        <v>0</v>
      </c>
      <c r="P18" s="508"/>
      <c r="T18" s="2154"/>
    </row>
    <row r="19" spans="1:20" s="504" customFormat="1" ht="15" customHeight="1" x14ac:dyDescent="0.3">
      <c r="A19" s="502" t="str">
        <f t="shared" si="0"/>
        <v>01</v>
      </c>
      <c r="B19" s="504">
        <v>100</v>
      </c>
      <c r="C19" s="506"/>
      <c r="E19" s="509" t="s">
        <v>216</v>
      </c>
      <c r="F19" s="508"/>
      <c r="G19" s="515"/>
      <c r="H19" s="508"/>
      <c r="I19" s="515"/>
      <c r="J19" s="508"/>
      <c r="K19" s="515"/>
      <c r="L19" s="508"/>
      <c r="M19" s="515"/>
      <c r="N19" s="508"/>
      <c r="O19" s="515"/>
      <c r="P19" s="508"/>
      <c r="T19" s="2154" t="s">
        <v>216</v>
      </c>
    </row>
    <row r="20" spans="1:20" s="504" customFormat="1" ht="15" customHeight="1" x14ac:dyDescent="0.3">
      <c r="A20" s="502" t="str">
        <f t="shared" si="0"/>
        <v>01</v>
      </c>
      <c r="B20" s="504">
        <v>105</v>
      </c>
      <c r="C20" s="506"/>
      <c r="E20" s="509" t="s">
        <v>833</v>
      </c>
      <c r="F20" s="508"/>
      <c r="G20" s="515"/>
      <c r="H20" s="508"/>
      <c r="I20" s="515"/>
      <c r="J20" s="508"/>
      <c r="K20" s="515"/>
      <c r="L20" s="508"/>
      <c r="M20" s="515"/>
      <c r="N20" s="508"/>
      <c r="O20" s="515"/>
      <c r="P20" s="508"/>
      <c r="T20" s="2154" t="s">
        <v>833</v>
      </c>
    </row>
    <row r="21" spans="1:20" s="504" customFormat="1" ht="15" customHeight="1" x14ac:dyDescent="0.3">
      <c r="A21" s="502" t="str">
        <f t="shared" si="0"/>
        <v>01</v>
      </c>
      <c r="B21" s="504">
        <v>110</v>
      </c>
      <c r="C21" s="506"/>
      <c r="E21" s="509" t="s">
        <v>834</v>
      </c>
      <c r="F21" s="508"/>
      <c r="G21" s="515"/>
      <c r="H21" s="508"/>
      <c r="I21" s="515"/>
      <c r="J21" s="508"/>
      <c r="K21" s="515"/>
      <c r="L21" s="508"/>
      <c r="M21" s="515"/>
      <c r="N21" s="508"/>
      <c r="O21" s="515"/>
      <c r="P21" s="508"/>
      <c r="T21" s="2154" t="s">
        <v>834</v>
      </c>
    </row>
    <row r="22" spans="1:20" s="504" customFormat="1" ht="15" customHeight="1" x14ac:dyDescent="0.3">
      <c r="A22" s="502" t="str">
        <f t="shared" si="0"/>
        <v>01</v>
      </c>
      <c r="B22" s="504">
        <v>115</v>
      </c>
      <c r="C22" s="506"/>
      <c r="E22" s="511" t="s">
        <v>835</v>
      </c>
      <c r="F22" s="508"/>
      <c r="G22" s="515"/>
      <c r="H22" s="508"/>
      <c r="I22" s="515"/>
      <c r="J22" s="508"/>
      <c r="K22" s="515"/>
      <c r="L22" s="508"/>
      <c r="M22" s="515"/>
      <c r="N22" s="508"/>
      <c r="O22" s="515"/>
      <c r="P22" s="508"/>
      <c r="T22" s="2154" t="s">
        <v>835</v>
      </c>
    </row>
    <row r="23" spans="1:20" s="504" customFormat="1" ht="15" customHeight="1" x14ac:dyDescent="0.3">
      <c r="A23" s="502" t="str">
        <f t="shared" si="0"/>
        <v>01</v>
      </c>
      <c r="B23" s="504">
        <v>120</v>
      </c>
      <c r="C23" s="506"/>
      <c r="E23" s="511" t="s">
        <v>8</v>
      </c>
      <c r="F23" s="508"/>
      <c r="G23" s="2048"/>
      <c r="H23" s="508"/>
      <c r="I23" s="2048"/>
      <c r="J23" s="508"/>
      <c r="K23" s="2048"/>
      <c r="L23" s="508"/>
      <c r="M23" s="515"/>
      <c r="N23" s="508"/>
      <c r="O23" s="515"/>
      <c r="P23" s="508"/>
      <c r="T23" s="2154" t="s">
        <v>8</v>
      </c>
    </row>
    <row r="24" spans="1:20" s="504" customFormat="1" ht="15" customHeight="1" x14ac:dyDescent="0.3">
      <c r="A24" s="502" t="str">
        <f t="shared" si="0"/>
        <v>01</v>
      </c>
      <c r="B24" s="504">
        <v>125</v>
      </c>
      <c r="C24" s="506"/>
      <c r="E24" s="1351" t="s">
        <v>3724</v>
      </c>
      <c r="F24" s="508"/>
      <c r="G24" s="515"/>
      <c r="H24" s="508"/>
      <c r="I24" s="515"/>
      <c r="J24" s="508"/>
      <c r="K24" s="515"/>
      <c r="L24" s="508"/>
      <c r="M24" s="515"/>
      <c r="N24" s="508"/>
      <c r="O24" s="515"/>
      <c r="P24" s="508"/>
      <c r="T24" s="2154" t="s">
        <v>3724</v>
      </c>
    </row>
    <row r="25" spans="1:20" s="504" customFormat="1" ht="15" customHeight="1" x14ac:dyDescent="0.3">
      <c r="A25" s="502" t="str">
        <f t="shared" si="0"/>
        <v>01</v>
      </c>
      <c r="B25" s="504">
        <v>130</v>
      </c>
      <c r="C25" s="506"/>
      <c r="E25" s="1351" t="s">
        <v>1045</v>
      </c>
      <c r="F25" s="508"/>
      <c r="G25" s="515"/>
      <c r="H25" s="508"/>
      <c r="I25" s="515"/>
      <c r="J25" s="508"/>
      <c r="K25" s="515"/>
      <c r="L25" s="508"/>
      <c r="M25" s="515"/>
      <c r="N25" s="508"/>
      <c r="O25" s="515"/>
      <c r="P25" s="508"/>
      <c r="T25" s="2154" t="s">
        <v>1045</v>
      </c>
    </row>
    <row r="26" spans="1:20" s="504" customFormat="1" ht="15" customHeight="1" x14ac:dyDescent="0.3">
      <c r="A26" s="502" t="str">
        <f t="shared" si="0"/>
        <v>01</v>
      </c>
      <c r="B26" s="504">
        <v>135</v>
      </c>
      <c r="C26" s="506"/>
      <c r="E26" s="511" t="s">
        <v>1046</v>
      </c>
      <c r="F26" s="508"/>
      <c r="G26" s="515"/>
      <c r="H26" s="508"/>
      <c r="I26" s="515"/>
      <c r="J26" s="508"/>
      <c r="K26" s="515"/>
      <c r="L26" s="508"/>
      <c r="M26" s="515"/>
      <c r="N26" s="508"/>
      <c r="O26" s="515"/>
      <c r="P26" s="508"/>
      <c r="T26" s="2154" t="s">
        <v>1046</v>
      </c>
    </row>
    <row r="27" spans="1:20" s="504" customFormat="1" ht="15" customHeight="1" x14ac:dyDescent="0.3">
      <c r="A27" s="502" t="str">
        <f t="shared" si="0"/>
        <v>01</v>
      </c>
      <c r="B27" s="504">
        <v>140</v>
      </c>
      <c r="C27" s="506"/>
      <c r="E27" s="511" t="s">
        <v>290</v>
      </c>
      <c r="F27" s="508"/>
      <c r="G27" s="515"/>
      <c r="H27" s="508"/>
      <c r="I27" s="515"/>
      <c r="J27" s="508"/>
      <c r="K27" s="515"/>
      <c r="L27" s="508"/>
      <c r="M27" s="515"/>
      <c r="N27" s="508"/>
      <c r="O27" s="515"/>
      <c r="P27" s="508"/>
      <c r="T27" s="2154" t="s">
        <v>290</v>
      </c>
    </row>
    <row r="28" spans="1:20" s="504" customFormat="1" ht="15" customHeight="1" x14ac:dyDescent="0.3">
      <c r="A28" s="502" t="str">
        <f t="shared" si="0"/>
        <v>01</v>
      </c>
      <c r="B28" s="504">
        <v>145</v>
      </c>
      <c r="C28" s="506"/>
      <c r="E28" s="1351" t="s">
        <v>3688</v>
      </c>
      <c r="F28" s="508"/>
      <c r="G28" s="515"/>
      <c r="H28" s="508"/>
      <c r="I28" s="515"/>
      <c r="J28" s="508"/>
      <c r="K28" s="515"/>
      <c r="L28" s="508"/>
      <c r="M28" s="515"/>
      <c r="N28" s="508"/>
      <c r="O28" s="515"/>
      <c r="P28" s="508"/>
      <c r="T28" s="2154" t="s">
        <v>3688</v>
      </c>
    </row>
    <row r="29" spans="1:20" s="504" customFormat="1" ht="15" customHeight="1" x14ac:dyDescent="0.3">
      <c r="A29" s="502" t="str">
        <f t="shared" si="0"/>
        <v>01</v>
      </c>
      <c r="B29" s="504">
        <v>150</v>
      </c>
      <c r="C29" s="506"/>
      <c r="E29" s="511" t="s">
        <v>1431</v>
      </c>
      <c r="F29" s="508"/>
      <c r="G29" s="515"/>
      <c r="H29" s="508"/>
      <c r="I29" s="515"/>
      <c r="J29" s="508"/>
      <c r="K29" s="515"/>
      <c r="L29" s="508"/>
      <c r="M29" s="515"/>
      <c r="N29" s="508"/>
      <c r="O29" s="515"/>
      <c r="P29" s="508"/>
      <c r="T29" s="2154" t="s">
        <v>1431</v>
      </c>
    </row>
    <row r="30" spans="1:20" s="504" customFormat="1" ht="15" customHeight="1" x14ac:dyDescent="0.3">
      <c r="A30" s="502" t="str">
        <f t="shared" si="0"/>
        <v>01</v>
      </c>
      <c r="B30" s="504">
        <v>160</v>
      </c>
      <c r="C30" s="506"/>
      <c r="E30" s="511" t="s">
        <v>1801</v>
      </c>
      <c r="F30" s="508"/>
      <c r="G30" s="515"/>
      <c r="H30" s="508"/>
      <c r="I30" s="515"/>
      <c r="J30" s="508"/>
      <c r="K30" s="515"/>
      <c r="L30" s="508"/>
      <c r="M30" s="515"/>
      <c r="N30" s="508"/>
      <c r="O30" s="515"/>
      <c r="P30" s="508"/>
      <c r="T30" s="2154" t="s">
        <v>1801</v>
      </c>
    </row>
    <row r="31" spans="1:20" s="504" customFormat="1" ht="15" customHeight="1" x14ac:dyDescent="0.3">
      <c r="A31" s="502" t="str">
        <f t="shared" si="0"/>
        <v>01</v>
      </c>
      <c r="B31" s="504">
        <v>165</v>
      </c>
      <c r="C31" s="506"/>
      <c r="E31" s="511" t="s">
        <v>391</v>
      </c>
      <c r="F31" s="508"/>
      <c r="G31" s="515"/>
      <c r="H31" s="508"/>
      <c r="I31" s="515"/>
      <c r="J31" s="508"/>
      <c r="K31" s="515"/>
      <c r="L31" s="508"/>
      <c r="M31" s="515"/>
      <c r="N31" s="508"/>
      <c r="O31" s="515"/>
      <c r="P31" s="508"/>
      <c r="T31" s="2154" t="s">
        <v>391</v>
      </c>
    </row>
    <row r="32" spans="1:20" s="504" customFormat="1" ht="15" customHeight="1" x14ac:dyDescent="0.3">
      <c r="A32" s="502" t="str">
        <f t="shared" si="0"/>
        <v>01</v>
      </c>
      <c r="B32" s="504">
        <v>170</v>
      </c>
      <c r="C32" s="506"/>
      <c r="E32" s="511" t="s">
        <v>1802</v>
      </c>
      <c r="F32" s="508"/>
      <c r="G32" s="515"/>
      <c r="H32" s="508"/>
      <c r="I32" s="515"/>
      <c r="J32" s="508"/>
      <c r="K32" s="515"/>
      <c r="L32" s="508"/>
      <c r="M32" s="515"/>
      <c r="N32" s="508"/>
      <c r="O32" s="515"/>
      <c r="P32" s="508"/>
      <c r="T32" s="2154" t="s">
        <v>1802</v>
      </c>
    </row>
    <row r="33" spans="1:20" s="504" customFormat="1" ht="15" customHeight="1" x14ac:dyDescent="0.3">
      <c r="A33" s="502" t="str">
        <f t="shared" si="0"/>
        <v>01</v>
      </c>
      <c r="B33" s="504">
        <v>171</v>
      </c>
      <c r="C33" s="506"/>
      <c r="E33" s="504" t="s">
        <v>1818</v>
      </c>
      <c r="F33" s="508"/>
      <c r="G33" s="515"/>
      <c r="H33" s="508"/>
      <c r="I33" s="515"/>
      <c r="J33" s="508"/>
      <c r="K33" s="515"/>
      <c r="L33" s="508"/>
      <c r="M33" s="515"/>
      <c r="N33" s="508"/>
      <c r="O33" s="515"/>
      <c r="P33" s="508"/>
      <c r="T33" s="2154" t="s">
        <v>1818</v>
      </c>
    </row>
    <row r="34" spans="1:20" s="504" customFormat="1" ht="15" customHeight="1" x14ac:dyDescent="0.3">
      <c r="A34" s="502" t="str">
        <f t="shared" si="0"/>
        <v>01</v>
      </c>
      <c r="B34" s="504">
        <v>172</v>
      </c>
      <c r="C34" s="506"/>
      <c r="E34" s="1351" t="s">
        <v>3708</v>
      </c>
      <c r="F34" s="508"/>
      <c r="G34" s="515"/>
      <c r="H34" s="508"/>
      <c r="I34" s="515"/>
      <c r="J34" s="508"/>
      <c r="K34" s="515"/>
      <c r="L34" s="508"/>
      <c r="M34" s="515"/>
      <c r="N34" s="508"/>
      <c r="O34" s="515"/>
      <c r="P34" s="508"/>
      <c r="T34" s="2154" t="s">
        <v>3708</v>
      </c>
    </row>
    <row r="35" spans="1:20" s="504" customFormat="1" ht="15" customHeight="1" x14ac:dyDescent="0.3">
      <c r="A35" s="502" t="str">
        <f t="shared" si="0"/>
        <v>01</v>
      </c>
      <c r="B35" s="504">
        <v>173</v>
      </c>
      <c r="C35" s="506"/>
      <c r="E35" s="516"/>
      <c r="F35" s="508"/>
      <c r="G35" s="515"/>
      <c r="H35" s="508"/>
      <c r="I35" s="515"/>
      <c r="J35" s="508"/>
      <c r="K35" s="515"/>
      <c r="L35" s="508"/>
      <c r="M35" s="515"/>
      <c r="N35" s="508"/>
      <c r="O35" s="515"/>
      <c r="P35" s="508"/>
      <c r="T35" s="2154"/>
    </row>
    <row r="36" spans="1:20" s="504" customFormat="1" ht="15" customHeight="1" x14ac:dyDescent="0.3">
      <c r="A36" s="502" t="str">
        <f t="shared" si="0"/>
        <v>01</v>
      </c>
      <c r="B36" s="504">
        <v>175</v>
      </c>
      <c r="C36" s="506" t="s">
        <v>996</v>
      </c>
      <c r="E36" s="505" t="s">
        <v>956</v>
      </c>
      <c r="F36" s="508"/>
      <c r="G36" s="515"/>
      <c r="H36" s="508"/>
      <c r="I36" s="515"/>
      <c r="J36" s="508"/>
      <c r="K36" s="515"/>
      <c r="L36" s="508"/>
      <c r="M36" s="515"/>
      <c r="N36" s="508"/>
      <c r="O36" s="515"/>
      <c r="P36" s="508"/>
      <c r="T36" s="2154" t="s">
        <v>956</v>
      </c>
    </row>
    <row r="37" spans="1:20" s="504" customFormat="1" ht="15" customHeight="1" x14ac:dyDescent="0.3">
      <c r="A37" s="502" t="str">
        <f t="shared" ref="A37:A68" si="1">_AGY325</f>
        <v>01</v>
      </c>
      <c r="B37" s="504">
        <v>180</v>
      </c>
      <c r="C37" s="506" t="s">
        <v>997</v>
      </c>
      <c r="E37" s="505" t="s">
        <v>957</v>
      </c>
      <c r="F37" s="508"/>
      <c r="G37" s="510">
        <f>SUM(G19:G36)</f>
        <v>0</v>
      </c>
      <c r="H37" s="508"/>
      <c r="I37" s="510">
        <f>SUM(I19:I36)</f>
        <v>0</v>
      </c>
      <c r="J37" s="508"/>
      <c r="K37" s="510">
        <f>SUM(K19:K36)</f>
        <v>0</v>
      </c>
      <c r="L37" s="508"/>
      <c r="M37" s="510">
        <f>SUM(M19:M36)</f>
        <v>0</v>
      </c>
      <c r="N37" s="508"/>
      <c r="O37" s="510">
        <f>SUM(O19:O36)</f>
        <v>0</v>
      </c>
      <c r="P37" s="508"/>
      <c r="T37" s="2154"/>
    </row>
    <row r="38" spans="1:20" s="504" customFormat="1" ht="15" customHeight="1" x14ac:dyDescent="0.3">
      <c r="A38" s="502" t="str">
        <f t="shared" si="1"/>
        <v>01</v>
      </c>
      <c r="B38" s="504">
        <v>185</v>
      </c>
      <c r="C38" s="506" t="s">
        <v>998</v>
      </c>
      <c r="E38" s="505" t="s">
        <v>261</v>
      </c>
      <c r="F38" s="508"/>
      <c r="G38" s="515"/>
      <c r="H38" s="508"/>
      <c r="I38" s="515"/>
      <c r="J38" s="508"/>
      <c r="K38" s="515"/>
      <c r="L38" s="508"/>
      <c r="M38" s="515"/>
      <c r="N38" s="508"/>
      <c r="O38" s="515"/>
      <c r="P38" s="508"/>
      <c r="T38" s="2154" t="s">
        <v>5051</v>
      </c>
    </row>
    <row r="39" spans="1:20" s="504" customFormat="1" ht="15" customHeight="1" x14ac:dyDescent="0.3">
      <c r="A39" s="502" t="str">
        <f t="shared" si="1"/>
        <v>01</v>
      </c>
      <c r="B39" s="504">
        <v>190</v>
      </c>
      <c r="C39" s="506" t="s">
        <v>999</v>
      </c>
      <c r="E39" s="505" t="s">
        <v>262</v>
      </c>
      <c r="F39" s="508"/>
      <c r="G39" s="515"/>
      <c r="H39" s="508"/>
      <c r="I39" s="515"/>
      <c r="J39" s="508"/>
      <c r="K39" s="515"/>
      <c r="L39" s="508"/>
      <c r="M39" s="515"/>
      <c r="N39" s="508"/>
      <c r="O39" s="515"/>
      <c r="P39" s="508"/>
      <c r="T39" s="2154" t="s">
        <v>5052</v>
      </c>
    </row>
    <row r="40" spans="1:20" s="504" customFormat="1" ht="15" customHeight="1" x14ac:dyDescent="0.3">
      <c r="A40" s="502" t="str">
        <f t="shared" si="1"/>
        <v>01</v>
      </c>
      <c r="B40" s="504">
        <v>195</v>
      </c>
      <c r="C40" s="506" t="s">
        <v>321</v>
      </c>
      <c r="E40" s="505" t="s">
        <v>659</v>
      </c>
      <c r="F40" s="508"/>
      <c r="G40" s="510">
        <f>SUM(G38:G39)</f>
        <v>0</v>
      </c>
      <c r="H40" s="508"/>
      <c r="I40" s="510">
        <f>SUM(I38:I39)</f>
        <v>0</v>
      </c>
      <c r="J40" s="508"/>
      <c r="K40" s="510">
        <f>SUM(K38:K39)</f>
        <v>0</v>
      </c>
      <c r="L40" s="508"/>
      <c r="M40" s="510">
        <f>SUM(M38:M39)</f>
        <v>0</v>
      </c>
      <c r="N40" s="508"/>
      <c r="O40" s="510">
        <f>SUM(O38:O39)</f>
        <v>0</v>
      </c>
      <c r="P40" s="508"/>
      <c r="T40" s="2154"/>
    </row>
    <row r="41" spans="1:20" s="504" customFormat="1" ht="15" customHeight="1" x14ac:dyDescent="0.3">
      <c r="A41" s="502" t="str">
        <f t="shared" si="1"/>
        <v>01</v>
      </c>
      <c r="B41" s="504">
        <v>200</v>
      </c>
      <c r="C41" s="506" t="s">
        <v>322</v>
      </c>
      <c r="E41" s="505" t="s">
        <v>263</v>
      </c>
      <c r="F41" s="508"/>
      <c r="G41" s="510">
        <f>IF(AND(G37=0,G40=0),0,+G37/G40)</f>
        <v>0</v>
      </c>
      <c r="H41" s="508"/>
      <c r="I41" s="510">
        <f>IF(AND(I37=0,I40=0),0,+I37/I40)</f>
        <v>0</v>
      </c>
      <c r="J41" s="508"/>
      <c r="K41" s="510">
        <f>IF(AND(K37=0,K40=0),0,+K37/K40)</f>
        <v>0</v>
      </c>
      <c r="L41" s="508"/>
      <c r="M41" s="510">
        <f>IF(AND(M37=0,M40=0),0,+M37/M40)</f>
        <v>0</v>
      </c>
      <c r="N41" s="508"/>
      <c r="O41" s="510">
        <f>IF(AND(O37=0,O40=0),0,+O37/O40)</f>
        <v>0</v>
      </c>
      <c r="P41" s="508"/>
      <c r="T41" s="2154" t="s">
        <v>263</v>
      </c>
    </row>
    <row r="42" spans="1:20" s="504" customFormat="1" ht="6" customHeight="1" x14ac:dyDescent="0.3">
      <c r="A42" s="502" t="str">
        <f t="shared" si="1"/>
        <v>01</v>
      </c>
      <c r="C42" s="512"/>
      <c r="E42" s="508"/>
      <c r="F42" s="508"/>
      <c r="G42" s="508"/>
      <c r="H42" s="508"/>
      <c r="I42" s="508"/>
      <c r="J42" s="508"/>
      <c r="K42" s="508"/>
      <c r="L42" s="508"/>
      <c r="M42" s="508"/>
      <c r="N42" s="508"/>
      <c r="O42" s="508">
        <f>SUM(K42:N42)</f>
        <v>0</v>
      </c>
      <c r="P42" s="508"/>
      <c r="T42" s="2154"/>
    </row>
    <row r="43" spans="1:20" s="504" customFormat="1" ht="9" customHeight="1" x14ac:dyDescent="0.3">
      <c r="A43" s="502" t="str">
        <f t="shared" si="1"/>
        <v>01</v>
      </c>
      <c r="C43" s="513"/>
      <c r="E43" s="508"/>
      <c r="F43" s="508"/>
      <c r="G43" s="508"/>
      <c r="H43" s="508"/>
      <c r="I43" s="508"/>
      <c r="J43" s="508"/>
      <c r="K43" s="508"/>
      <c r="L43" s="508"/>
      <c r="M43" s="508"/>
      <c r="N43" s="508"/>
      <c r="O43" s="508"/>
      <c r="P43" s="508"/>
      <c r="T43" s="2154"/>
    </row>
    <row r="44" spans="1:20" s="504" customFormat="1" ht="15" customHeight="1" x14ac:dyDescent="0.3">
      <c r="A44" s="502" t="str">
        <f t="shared" si="1"/>
        <v>01</v>
      </c>
      <c r="C44" s="1502" t="s">
        <v>3894</v>
      </c>
      <c r="D44" s="1498"/>
      <c r="E44" s="1503"/>
      <c r="F44" s="1503"/>
      <c r="G44" s="1503"/>
      <c r="H44" s="1503"/>
      <c r="I44" s="1503"/>
      <c r="J44" s="1503"/>
      <c r="K44" s="1503"/>
      <c r="L44" s="1503"/>
      <c r="M44" s="1503"/>
      <c r="N44" s="1503"/>
      <c r="O44" s="1503"/>
      <c r="P44" s="508"/>
      <c r="T44" s="2154"/>
    </row>
    <row r="45" spans="1:20" s="504" customFormat="1" ht="13.5" customHeight="1" x14ac:dyDescent="0.3">
      <c r="A45" s="502" t="str">
        <f t="shared" si="1"/>
        <v>01</v>
      </c>
      <c r="C45" s="1502" t="s">
        <v>839</v>
      </c>
      <c r="D45" s="1499" t="str">
        <f>CONCATENATE("If you have previously submitted this information for fiscal years ",+YEAR(Data!$A$4)," and earlier, and that")</f>
        <v>If you have previously submitted this information for fiscal years 2021 and earlier, and that</v>
      </c>
      <c r="E45" s="1499"/>
      <c r="F45" s="1499"/>
      <c r="G45" s="1499"/>
      <c r="H45" s="1499"/>
      <c r="I45" s="1499"/>
      <c r="J45" s="1499"/>
      <c r="K45" s="1499"/>
      <c r="L45" s="1499"/>
      <c r="M45" s="1499"/>
      <c r="N45" s="1499"/>
      <c r="O45" s="1499"/>
      <c r="P45" s="508"/>
      <c r="T45" s="2154"/>
    </row>
    <row r="46" spans="1:20" s="504" customFormat="1" ht="15" customHeight="1" x14ac:dyDescent="0.3">
      <c r="A46" s="502" t="str">
        <f t="shared" si="1"/>
        <v>01</v>
      </c>
      <c r="C46" s="1504"/>
      <c r="D46" s="2571" t="str">
        <f>CONCATENATE("data remains unchanged, you may complete just the ",YEAR(Data!$A$2)," line and ignore lines ",O16," - ",I16,".")</f>
        <v>data remains unchanged, you may complete just the 2022 line and ignore lines 2018 - 2021.</v>
      </c>
      <c r="E46" s="2571"/>
      <c r="F46" s="2571"/>
      <c r="G46" s="2571"/>
      <c r="H46" s="2571"/>
      <c r="I46" s="2571"/>
      <c r="J46" s="2571"/>
      <c r="K46" s="2571"/>
      <c r="L46" s="2571"/>
      <c r="M46" s="2571"/>
      <c r="N46" s="2571"/>
      <c r="O46" s="2571"/>
      <c r="T46" s="2154"/>
    </row>
    <row r="47" spans="1:20" s="504" customFormat="1" ht="15" customHeight="1" x14ac:dyDescent="0.3">
      <c r="A47" s="502" t="str">
        <f t="shared" si="1"/>
        <v>01</v>
      </c>
      <c r="C47" s="1505" t="s">
        <v>3893</v>
      </c>
      <c r="D47" s="1506"/>
      <c r="E47" s="1506"/>
      <c r="F47" s="1506"/>
      <c r="G47" s="1506"/>
      <c r="H47" s="1506"/>
      <c r="I47" s="1506"/>
      <c r="J47" s="1506"/>
      <c r="K47" s="1506"/>
      <c r="L47" s="1506"/>
      <c r="M47" s="1506"/>
      <c r="N47" s="1498"/>
      <c r="O47" s="1498"/>
      <c r="T47" s="2154"/>
    </row>
    <row r="48" spans="1:20" s="504" customFormat="1" ht="18.75" x14ac:dyDescent="0.3">
      <c r="A48" s="502" t="str">
        <f t="shared" si="1"/>
        <v>01</v>
      </c>
      <c r="C48" s="1507" t="s">
        <v>3898</v>
      </c>
      <c r="D48" s="1507"/>
      <c r="E48" s="1507"/>
      <c r="F48" s="1508"/>
      <c r="G48" s="1508"/>
      <c r="H48" s="1508"/>
      <c r="I48" s="1508"/>
      <c r="J48" s="1508"/>
      <c r="K48" s="1508"/>
      <c r="L48" s="1508"/>
      <c r="M48" s="1508"/>
      <c r="N48" s="1508"/>
      <c r="O48" s="1508"/>
      <c r="T48" s="2154"/>
    </row>
    <row r="49" spans="1:20" s="504" customFormat="1" ht="15" customHeight="1" x14ac:dyDescent="0.3">
      <c r="A49" s="502" t="str">
        <f t="shared" si="1"/>
        <v>01</v>
      </c>
      <c r="C49" s="817" t="s">
        <v>840</v>
      </c>
      <c r="D49" s="1509"/>
      <c r="E49" s="1509"/>
      <c r="F49" s="1509"/>
      <c r="T49" s="2154"/>
    </row>
    <row r="50" spans="1:20" s="504" customFormat="1" ht="15" customHeight="1" x14ac:dyDescent="0.3">
      <c r="A50" s="502" t="str">
        <f t="shared" si="1"/>
        <v>01</v>
      </c>
      <c r="C50" s="504" t="s">
        <v>720</v>
      </c>
      <c r="D50" s="512" t="s">
        <v>841</v>
      </c>
      <c r="E50" s="504" t="str">
        <f>CONCATENATE("Provide information for the fiscal years ",O16," through ",G16)</f>
        <v>Provide information for the fiscal years 2018 through 2022</v>
      </c>
      <c r="T50" s="2154"/>
    </row>
    <row r="51" spans="1:20" s="504" customFormat="1" ht="15" customHeight="1" x14ac:dyDescent="0.3">
      <c r="A51" s="502" t="str">
        <f t="shared" si="1"/>
        <v>01</v>
      </c>
      <c r="C51" s="504" t="s">
        <v>721</v>
      </c>
      <c r="D51" s="512" t="s">
        <v>841</v>
      </c>
      <c r="E51" s="504" t="s">
        <v>585</v>
      </c>
      <c r="T51" s="2154"/>
    </row>
    <row r="52" spans="1:20" s="504" customFormat="1" ht="15" customHeight="1" x14ac:dyDescent="0.3">
      <c r="A52" s="502" t="str">
        <f t="shared" si="1"/>
        <v>01</v>
      </c>
      <c r="C52" s="504" t="s">
        <v>1135</v>
      </c>
      <c r="D52" s="512" t="s">
        <v>841</v>
      </c>
      <c r="E52" s="504" t="s">
        <v>842</v>
      </c>
      <c r="T52" s="2154"/>
    </row>
    <row r="53" spans="1:20" s="504" customFormat="1" ht="15" customHeight="1" x14ac:dyDescent="0.3">
      <c r="A53" s="502" t="str">
        <f t="shared" si="1"/>
        <v>01</v>
      </c>
      <c r="D53" s="512"/>
      <c r="E53" s="504" t="s">
        <v>904</v>
      </c>
      <c r="T53" s="2154"/>
    </row>
    <row r="54" spans="1:20" s="504" customFormat="1" ht="15" customHeight="1" x14ac:dyDescent="0.3">
      <c r="A54" s="502" t="str">
        <f t="shared" si="1"/>
        <v>01</v>
      </c>
      <c r="C54" s="504" t="s">
        <v>1136</v>
      </c>
      <c r="D54" s="512" t="s">
        <v>841</v>
      </c>
      <c r="E54" s="504" t="s">
        <v>1225</v>
      </c>
      <c r="T54" s="2154"/>
    </row>
    <row r="55" spans="1:20" s="504" customFormat="1" ht="15" customHeight="1" x14ac:dyDescent="0.3">
      <c r="A55" s="502" t="str">
        <f t="shared" si="1"/>
        <v>01</v>
      </c>
      <c r="C55" s="504" t="s">
        <v>1137</v>
      </c>
      <c r="D55" s="512" t="s">
        <v>841</v>
      </c>
      <c r="E55" s="504" t="s">
        <v>647</v>
      </c>
      <c r="T55" s="2154"/>
    </row>
    <row r="56" spans="1:20" s="504" customFormat="1" ht="15" customHeight="1" x14ac:dyDescent="0.3">
      <c r="A56" s="502" t="str">
        <f t="shared" si="1"/>
        <v>01</v>
      </c>
      <c r="D56" s="512"/>
      <c r="F56" s="505" t="s">
        <v>644</v>
      </c>
      <c r="T56" s="2154"/>
    </row>
    <row r="57" spans="1:20" s="504" customFormat="1" ht="15" customHeight="1" x14ac:dyDescent="0.3">
      <c r="A57" s="502" t="str">
        <f t="shared" si="1"/>
        <v>01</v>
      </c>
      <c r="C57" s="504" t="s">
        <v>1138</v>
      </c>
      <c r="D57" s="512" t="s">
        <v>841</v>
      </c>
      <c r="E57" s="504" t="s">
        <v>651</v>
      </c>
      <c r="T57" s="2154"/>
    </row>
    <row r="58" spans="1:20" s="504" customFormat="1" ht="15" customHeight="1" x14ac:dyDescent="0.3">
      <c r="A58" s="502" t="str">
        <f t="shared" si="1"/>
        <v>01</v>
      </c>
      <c r="D58" s="512"/>
      <c r="F58" s="505" t="s">
        <v>644</v>
      </c>
      <c r="T58" s="2154"/>
    </row>
    <row r="59" spans="1:20" s="504" customFormat="1" ht="15" customHeight="1" x14ac:dyDescent="0.3">
      <c r="A59" s="502" t="str">
        <f t="shared" si="1"/>
        <v>01</v>
      </c>
      <c r="C59" s="504" t="s">
        <v>1139</v>
      </c>
      <c r="D59" s="512" t="s">
        <v>841</v>
      </c>
      <c r="E59" s="504" t="s">
        <v>716</v>
      </c>
      <c r="T59" s="2154"/>
    </row>
    <row r="60" spans="1:20" s="504" customFormat="1" ht="15" customHeight="1" x14ac:dyDescent="0.3">
      <c r="A60" s="502" t="str">
        <f t="shared" si="1"/>
        <v>01</v>
      </c>
      <c r="C60" s="504" t="s">
        <v>1140</v>
      </c>
      <c r="D60" s="512" t="s">
        <v>841</v>
      </c>
      <c r="E60" s="504" t="s">
        <v>717</v>
      </c>
      <c r="T60" s="2154"/>
    </row>
    <row r="61" spans="1:20" s="504" customFormat="1" ht="15" customHeight="1" x14ac:dyDescent="0.3">
      <c r="A61" s="502" t="str">
        <f t="shared" si="1"/>
        <v>01</v>
      </c>
      <c r="D61" s="512"/>
      <c r="T61" s="2154"/>
    </row>
    <row r="62" spans="1:20" ht="18.75" x14ac:dyDescent="0.3">
      <c r="A62" s="502" t="str">
        <f t="shared" si="1"/>
        <v>01</v>
      </c>
      <c r="C62" s="836" t="s">
        <v>4886</v>
      </c>
    </row>
    <row r="63" spans="1:20" ht="15" customHeight="1" x14ac:dyDescent="0.3">
      <c r="A63" s="502" t="str">
        <f t="shared" si="1"/>
        <v>01</v>
      </c>
      <c r="B63" s="440"/>
      <c r="C63" s="835" t="s">
        <v>1275</v>
      </c>
      <c r="D63" s="440"/>
    </row>
    <row r="64" spans="1:20" ht="15" customHeight="1" x14ac:dyDescent="0.3">
      <c r="A64" s="502" t="str">
        <f t="shared" si="1"/>
        <v>01</v>
      </c>
      <c r="B64" s="440"/>
      <c r="C64" s="505" t="s">
        <v>3895</v>
      </c>
      <c r="D64" s="504"/>
      <c r="E64" s="504"/>
      <c r="F64" s="504"/>
      <c r="G64" s="504"/>
      <c r="H64" s="504"/>
      <c r="I64" s="504"/>
      <c r="J64" s="504"/>
      <c r="K64" s="504"/>
      <c r="L64" s="504"/>
      <c r="M64" s="504"/>
    </row>
    <row r="65" spans="1:20" s="504" customFormat="1" ht="15" customHeight="1" x14ac:dyDescent="0.3">
      <c r="A65" s="502" t="str">
        <f t="shared" si="1"/>
        <v>01</v>
      </c>
      <c r="C65" s="505" t="s">
        <v>3896</v>
      </c>
      <c r="D65" s="512"/>
      <c r="E65" s="505"/>
      <c r="F65" s="505"/>
      <c r="T65" s="2154"/>
    </row>
    <row r="66" spans="1:20" ht="15" customHeight="1" x14ac:dyDescent="0.3">
      <c r="A66" s="502" t="str">
        <f t="shared" si="1"/>
        <v>01</v>
      </c>
      <c r="B66" s="440"/>
      <c r="C66" s="443" t="str">
        <f ca="1">IF(ISNA(INDEX(ErrorTable,MATCH($B$72&amp;$B66&amp;FALSE,ErrorKey,0),6)),"",INDEX(ErrorTable,MATCH($B$72&amp;$B66&amp;FALSE,ErrorKey,0),6))</f>
        <v/>
      </c>
      <c r="D66" s="440"/>
    </row>
    <row r="67" spans="1:20" ht="18.75" x14ac:dyDescent="0.3">
      <c r="A67" s="502" t="str">
        <f t="shared" si="1"/>
        <v>01</v>
      </c>
      <c r="B67" s="440"/>
      <c r="C67" s="835" t="s">
        <v>1338</v>
      </c>
      <c r="D67" s="440"/>
    </row>
    <row r="68" spans="1:20" ht="18.75" x14ac:dyDescent="0.3">
      <c r="A68" s="502" t="str">
        <f t="shared" si="1"/>
        <v>01</v>
      </c>
      <c r="B68" s="440"/>
      <c r="C68" s="505" t="s">
        <v>3897</v>
      </c>
      <c r="D68" s="512"/>
      <c r="E68" s="504"/>
      <c r="F68" s="504"/>
      <c r="G68" s="504"/>
      <c r="H68" s="504"/>
      <c r="I68" s="504"/>
      <c r="J68" s="504"/>
      <c r="K68" s="504"/>
      <c r="L68" s="504"/>
      <c r="M68" s="504"/>
    </row>
    <row r="69" spans="1:20" ht="18.75" x14ac:dyDescent="0.3">
      <c r="A69" s="502" t="str">
        <f t="shared" ref="A69:A75" si="2">_AGY325</f>
        <v>01</v>
      </c>
      <c r="B69" s="440"/>
      <c r="C69" s="2" t="s">
        <v>4239</v>
      </c>
    </row>
    <row r="70" spans="1:20" ht="18.75" x14ac:dyDescent="0.3">
      <c r="A70" s="502" t="str">
        <f t="shared" si="2"/>
        <v>01</v>
      </c>
      <c r="B70" s="440"/>
      <c r="C70" s="2" t="s">
        <v>1342</v>
      </c>
    </row>
    <row r="71" spans="1:20" ht="18.75" x14ac:dyDescent="0.3">
      <c r="A71" s="502" t="str">
        <f t="shared" si="2"/>
        <v>01</v>
      </c>
    </row>
    <row r="72" spans="1:20" ht="15" customHeight="1" x14ac:dyDescent="0.3">
      <c r="A72" s="502" t="str">
        <f t="shared" si="2"/>
        <v>01</v>
      </c>
      <c r="B72" s="440" t="str">
        <f ca="1">MID(CELL("filename",B1),FIND("]",CELL("filename",B1))+1,256)</f>
        <v>325</v>
      </c>
      <c r="C72" s="443" t="s">
        <v>449</v>
      </c>
      <c r="D72" s="440"/>
    </row>
    <row r="73" spans="1:20" ht="15" customHeight="1" x14ac:dyDescent="0.3">
      <c r="A73" s="502" t="str">
        <f t="shared" si="2"/>
        <v>01</v>
      </c>
      <c r="B73" s="440" t="s">
        <v>446</v>
      </c>
      <c r="C73" s="443" t="str">
        <f t="shared" ref="C73:C81" ca="1" si="3">IF(ISNA(INDEX(ErrorTable,MATCH($B$72&amp;$B73&amp;FALSE,ErrorKey,0),6)),"",INDEX(ErrorTable,MATCH($B$72&amp;$B73&amp;FALSE,ErrorKey,0),6))</f>
        <v>GASB number is blank.</v>
      </c>
      <c r="D73" s="440"/>
    </row>
    <row r="74" spans="1:20" ht="18.75" x14ac:dyDescent="0.3">
      <c r="A74" s="502" t="str">
        <f t="shared" si="2"/>
        <v>01</v>
      </c>
      <c r="B74" s="514" t="s">
        <v>447</v>
      </c>
      <c r="C74" s="443" t="str">
        <f t="shared" ca="1" si="3"/>
        <v/>
      </c>
    </row>
    <row r="75" spans="1:20" ht="18.75" x14ac:dyDescent="0.3">
      <c r="A75" s="502" t="str">
        <f t="shared" si="2"/>
        <v>01</v>
      </c>
      <c r="B75" s="514" t="s">
        <v>448</v>
      </c>
      <c r="C75" s="443" t="str">
        <f t="shared" ca="1" si="3"/>
        <v/>
      </c>
    </row>
    <row r="76" spans="1:20" ht="15" x14ac:dyDescent="0.2">
      <c r="B76" s="514" t="s">
        <v>450</v>
      </c>
      <c r="C76" s="443" t="str">
        <f t="shared" ca="1" si="3"/>
        <v/>
      </c>
    </row>
    <row r="77" spans="1:20" ht="15" x14ac:dyDescent="0.2">
      <c r="B77" s="514" t="s">
        <v>451</v>
      </c>
      <c r="C77" s="443" t="str">
        <f t="shared" ca="1" si="3"/>
        <v/>
      </c>
    </row>
    <row r="78" spans="1:20" ht="15" x14ac:dyDescent="0.2">
      <c r="B78" s="514" t="s">
        <v>452</v>
      </c>
      <c r="C78" s="443" t="str">
        <f t="shared" ca="1" si="3"/>
        <v/>
      </c>
    </row>
    <row r="79" spans="1:20" ht="15" x14ac:dyDescent="0.2">
      <c r="B79" s="514" t="s">
        <v>453</v>
      </c>
      <c r="C79" s="443" t="str">
        <f t="shared" ca="1" si="3"/>
        <v/>
      </c>
    </row>
    <row r="80" spans="1:20" ht="15" x14ac:dyDescent="0.2">
      <c r="B80" s="514" t="s">
        <v>454</v>
      </c>
      <c r="C80" s="443" t="str">
        <f t="shared" ca="1" si="3"/>
        <v/>
      </c>
    </row>
    <row r="81" spans="2:3" ht="15" x14ac:dyDescent="0.2">
      <c r="B81" s="514" t="s">
        <v>455</v>
      </c>
      <c r="C81" s="443" t="str">
        <f t="shared" ca="1" si="3"/>
        <v/>
      </c>
    </row>
    <row r="82" spans="2:3" ht="15" x14ac:dyDescent="0.2">
      <c r="C82" s="443"/>
    </row>
    <row r="83" spans="2:3" ht="15" x14ac:dyDescent="0.2">
      <c r="C83" s="443"/>
    </row>
    <row r="84" spans="2:3" ht="15" x14ac:dyDescent="0.2">
      <c r="C84" s="443"/>
    </row>
  </sheetData>
  <sheetProtection algorithmName="SHA-512" hashValue="OW5s/Y9KKQSQV5quaBZN4qkYu7so7PkEzkLra5dNvItoaabHALczUjo8ULoEtgjzbmn2IQxSbrgIzv56JOy2sQ==" saltValue="UFBMSjWCrXlAukDHo80R0g==" spinCount="100000" sheet="1" objects="1" scenarios="1" autoFilter="0"/>
  <autoFilter ref="G11:G12" xr:uid="{00000000-0009-0000-0000-000011000000}"/>
  <customSheetViews>
    <customSheetView guid="{B08879A4-635B-4C39-9937-AC7883D562FC}" showGridLines="0" fitToPage="1" hiddenColumns="1" topLeftCell="B25">
      <selection activeCell="B12" sqref="B12"/>
      <pageMargins left="0.75" right="0.5" top="0.5" bottom="0.5" header="0.5" footer="0.5"/>
      <printOptions horizontalCentered="1"/>
      <pageSetup scale="91" orientation="landscape" r:id="rId1"/>
      <headerFooter alignWithMargins="0">
        <oddFooter>&amp;R&amp;A</oddFooter>
      </headerFooter>
    </customSheetView>
    <customSheetView guid="{1250FD07-FF56-4A9D-AF9E-C27124A7EBE9}" showGridLines="0" fitToPage="1" showRuler="0">
      <selection sqref="A1:O1"/>
      <pageMargins left="0.75" right="0.5" top="0.5" bottom="0.5" header="0.5" footer="0.5"/>
      <printOptions horizontalCentered="1"/>
      <pageSetup scale="91" orientation="landscape" r:id="rId2"/>
      <headerFooter alignWithMargins="0">
        <oddFooter>&amp;R&amp;A</oddFooter>
      </headerFooter>
    </customSheetView>
    <customSheetView guid="{BEA4BE86-04D1-4C96-9358-7A260B9D2B2D}" showGridLines="0" fitToPage="1" showRuler="0">
      <selection sqref="A1:O1"/>
      <pageMargins left="0.75" right="0.5" top="0.5" bottom="0.5" header="0.5" footer="0.5"/>
      <printOptions horizontalCentered="1"/>
      <pageSetup scale="91" orientation="landscape" r:id="rId3"/>
      <headerFooter alignWithMargins="0">
        <oddFooter>&amp;R&amp;A</oddFooter>
      </headerFooter>
    </customSheetView>
    <customSheetView guid="{9FCFC836-1CA5-48BF-958D-24D2EA94B219}" showGridLines="0" fitToPage="1" hiddenColumns="1" topLeftCell="B25">
      <selection activeCell="B12" sqref="B12"/>
      <pageMargins left="0.75" right="0.5" top="0.5" bottom="0.5" header="0.5" footer="0.5"/>
      <printOptions horizontalCentered="1"/>
      <pageSetup scale="91" orientation="landscape" r:id="rId4"/>
      <headerFooter alignWithMargins="0">
        <oddFooter>&amp;R&amp;A</oddFooter>
      </headerFooter>
    </customSheetView>
  </customSheetViews>
  <mergeCells count="9">
    <mergeCell ref="P1:P3"/>
    <mergeCell ref="D46:O46"/>
    <mergeCell ref="C1:O1"/>
    <mergeCell ref="C2:O2"/>
    <mergeCell ref="C3:O3"/>
    <mergeCell ref="K5:O5"/>
    <mergeCell ref="K6:O6"/>
    <mergeCell ref="K7:O7"/>
    <mergeCell ref="K8:O8"/>
  </mergeCells>
  <phoneticPr fontId="15" type="noConversion"/>
  <conditionalFormatting sqref="P1:P3">
    <cfRule type="cellIs" dxfId="133" priority="1" stopIfTrue="1" operator="equal">
      <formula>"na"</formula>
    </cfRule>
  </conditionalFormatting>
  <dataValidations count="3">
    <dataValidation type="decimal" operator="lessThanOrEqual" allowBlank="1" showInputMessage="1" showErrorMessage="1" errorTitle="Invalid data!" error="Amount must be negative." sqref="O36 G36 I36 K36 M36" xr:uid="{00000000-0002-0000-1100-000000000000}">
      <formula1>0</formula1>
    </dataValidation>
    <dataValidation type="textLength" operator="equal" allowBlank="1" showInputMessage="1" showErrorMessage="1" errorTitle="Invalid data!" error="GASB number must be 4 digits." sqref="F7:G8" xr:uid="{00000000-0002-0000-1100-000001000000}">
      <formula1>4</formula1>
    </dataValidation>
    <dataValidation type="list" allowBlank="1" showInputMessage="1" showErrorMessage="1" sqref="G12" xr:uid="{00000000-0002-0000-1100-000002000000}">
      <formula1>Pledged_Revenue</formula1>
    </dataValidation>
  </dataValidations>
  <hyperlinks>
    <hyperlink ref="C1:O1" location="Index!A1" display="Index!A1" xr:uid="{00000000-0004-0000-1100-000000000000}"/>
  </hyperlinks>
  <printOptions horizontalCentered="1"/>
  <pageMargins left="0.5" right="0.5" top="0.5" bottom="0.5" header="0.5" footer="0.5"/>
  <pageSetup scale="90" orientation="landscape" r:id="rId5"/>
  <headerFooter alignWithMargins="0">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AA86"/>
  <sheetViews>
    <sheetView showGridLines="0" topLeftCell="B1" zoomScaleNormal="100" workbookViewId="0">
      <selection activeCell="R52" sqref="R52"/>
    </sheetView>
  </sheetViews>
  <sheetFormatPr defaultColWidth="9.42578125" defaultRowHeight="11.25" x14ac:dyDescent="0.2"/>
  <cols>
    <col min="1" max="1" width="9.42578125" style="40" hidden="1" customWidth="1"/>
    <col min="2" max="2" width="6.5703125" style="40" customWidth="1"/>
    <col min="3" max="3" width="8.5703125" style="40" customWidth="1"/>
    <col min="4" max="4" width="6.5703125" style="40" customWidth="1"/>
    <col min="5" max="5" width="9.5703125" style="40" customWidth="1"/>
    <col min="6" max="6" width="4.5703125" style="40" customWidth="1"/>
    <col min="7" max="8" width="1.5703125" style="40" customWidth="1"/>
    <col min="9" max="9" width="15.5703125" style="40" customWidth="1"/>
    <col min="10" max="10" width="1.5703125" style="40" customWidth="1"/>
    <col min="11" max="11" width="17.5703125" style="40" customWidth="1"/>
    <col min="12" max="12" width="1.5703125" style="40" customWidth="1"/>
    <col min="13" max="13" width="14.5703125" style="40" customWidth="1"/>
    <col min="14" max="14" width="1.5703125" style="40" customWidth="1"/>
    <col min="15" max="15" width="17.5703125" style="40" customWidth="1"/>
    <col min="16" max="16" width="1.5703125" style="40" customWidth="1"/>
    <col min="17" max="16384" width="9.42578125" style="40"/>
  </cols>
  <sheetData>
    <row r="1" spans="2:27" s="41" customFormat="1" ht="15" customHeight="1" x14ac:dyDescent="0.25">
      <c r="B1" s="2449" t="str">
        <f>+Index!$A$1</f>
        <v xml:space="preserve">                                                               Office of the State Controller                                                                </v>
      </c>
      <c r="C1" s="2449"/>
      <c r="D1" s="2449"/>
      <c r="E1" s="2449"/>
      <c r="F1" s="2449"/>
      <c r="G1" s="2449"/>
      <c r="H1" s="2449"/>
      <c r="I1" s="2449"/>
      <c r="J1" s="2449"/>
      <c r="K1" s="2449"/>
      <c r="L1" s="2449"/>
      <c r="M1" s="2449"/>
      <c r="N1" s="2510"/>
      <c r="O1" s="2510" t="str">
        <f>IF(Index!$B$38="na","NA","")</f>
        <v/>
      </c>
      <c r="AA1" s="42"/>
    </row>
    <row r="2" spans="2:27" s="41" customFormat="1" ht="15" customHeight="1" x14ac:dyDescent="0.3">
      <c r="B2" s="2578" t="str">
        <f>+Index!$A$2</f>
        <v>2022 ACFR Worksheets</v>
      </c>
      <c r="C2" s="2578"/>
      <c r="D2" s="2578"/>
      <c r="E2" s="2578"/>
      <c r="F2" s="2578"/>
      <c r="G2" s="2578"/>
      <c r="H2" s="2578"/>
      <c r="I2" s="2578"/>
      <c r="J2" s="2578"/>
      <c r="K2" s="2578"/>
      <c r="L2" s="2578"/>
      <c r="M2" s="2578"/>
      <c r="N2" s="2510"/>
      <c r="O2" s="2510"/>
    </row>
    <row r="3" spans="2:27" s="41" customFormat="1" ht="15" customHeight="1" x14ac:dyDescent="0.3">
      <c r="B3" s="2578" t="s">
        <v>3520</v>
      </c>
      <c r="C3" s="2578"/>
      <c r="D3" s="2578"/>
      <c r="E3" s="2578"/>
      <c r="F3" s="2578"/>
      <c r="G3" s="2578"/>
      <c r="H3" s="2578"/>
      <c r="I3" s="2578"/>
      <c r="J3" s="2578"/>
      <c r="K3" s="2578"/>
      <c r="L3" s="2578"/>
      <c r="M3" s="2578"/>
      <c r="N3" s="2510"/>
      <c r="O3" s="2510"/>
    </row>
    <row r="4" spans="2:27" s="132" customFormat="1" ht="13.35" customHeight="1" x14ac:dyDescent="0.2">
      <c r="I4" s="133"/>
      <c r="J4" s="133"/>
      <c r="K4" s="430"/>
    </row>
    <row r="5" spans="2:27" s="132" customFormat="1" ht="15" customHeight="1" x14ac:dyDescent="0.2">
      <c r="D5" s="2579"/>
      <c r="E5" s="2579"/>
      <c r="I5" s="134" t="s">
        <v>327</v>
      </c>
      <c r="J5" s="134"/>
      <c r="K5" s="2488" t="str">
        <f>+Index!$E$10</f>
        <v>01</v>
      </c>
      <c r="L5" s="2488"/>
      <c r="M5" s="2488"/>
    </row>
    <row r="6" spans="2:27" s="132" customFormat="1" ht="15" customHeight="1" x14ac:dyDescent="0.2">
      <c r="I6" s="134" t="s">
        <v>1154</v>
      </c>
      <c r="J6" s="134"/>
      <c r="K6" s="2512" t="str">
        <f>+Index!$E$11</f>
        <v>North Carolina General Assembly</v>
      </c>
      <c r="L6" s="2512"/>
      <c r="M6" s="2512"/>
    </row>
    <row r="7" spans="2:27" s="132" customFormat="1" ht="15" customHeight="1" x14ac:dyDescent="0.2">
      <c r="B7" s="132" t="s">
        <v>477</v>
      </c>
      <c r="D7" s="2562" t="s">
        <v>256</v>
      </c>
      <c r="E7" s="2562"/>
      <c r="I7" s="134" t="s">
        <v>972</v>
      </c>
      <c r="J7" s="134"/>
      <c r="K7" s="2513" t="str">
        <f>CONCATENATE(Index!$E$12," ",Index!$E$14)</f>
        <v xml:space="preserve"> </v>
      </c>
      <c r="L7" s="2513"/>
      <c r="M7" s="2513"/>
    </row>
    <row r="8" spans="2:27" s="132" customFormat="1" ht="15" customHeight="1" x14ac:dyDescent="0.2">
      <c r="D8" s="137"/>
      <c r="E8" s="137"/>
      <c r="I8" s="134" t="s">
        <v>348</v>
      </c>
      <c r="J8" s="134"/>
      <c r="K8" s="2513">
        <f>+Index!$E$13</f>
        <v>0</v>
      </c>
      <c r="L8" s="2513"/>
      <c r="M8" s="2513"/>
    </row>
    <row r="9" spans="2:27" s="132" customFormat="1" ht="5.25" customHeight="1" thickBot="1" x14ac:dyDescent="0.25">
      <c r="B9" s="136"/>
      <c r="C9" s="136"/>
      <c r="D9" s="136"/>
      <c r="E9" s="136"/>
      <c r="F9" s="136"/>
      <c r="G9" s="136"/>
      <c r="H9" s="136"/>
      <c r="I9" s="136"/>
      <c r="J9" s="136"/>
      <c r="K9" s="136"/>
      <c r="L9" s="136"/>
      <c r="M9" s="136"/>
    </row>
    <row r="10" spans="2:27" s="132" customFormat="1" ht="11.1" customHeight="1" x14ac:dyDescent="0.2"/>
    <row r="11" spans="2:27" s="132" customFormat="1" ht="15" customHeight="1" x14ac:dyDescent="0.2">
      <c r="B11" s="2576" t="s">
        <v>1161</v>
      </c>
      <c r="C11" s="2576"/>
      <c r="D11" s="2576"/>
      <c r="E11" s="2576"/>
      <c r="F11" s="2576"/>
      <c r="G11" s="2576"/>
      <c r="H11" s="2576"/>
      <c r="I11" s="2576"/>
      <c r="J11" s="2576"/>
      <c r="K11" s="2576"/>
      <c r="L11" s="2576"/>
      <c r="M11" s="2576"/>
    </row>
    <row r="12" spans="2:27" s="132" customFormat="1" ht="14.1" customHeight="1" x14ac:dyDescent="0.2">
      <c r="B12" s="2576"/>
      <c r="C12" s="2576"/>
      <c r="D12" s="2576"/>
      <c r="E12" s="2576"/>
      <c r="F12" s="2576"/>
      <c r="G12" s="2576"/>
      <c r="H12" s="2576"/>
      <c r="I12" s="2576"/>
      <c r="J12" s="2576"/>
      <c r="K12" s="2576"/>
      <c r="L12" s="2576"/>
      <c r="M12" s="2576"/>
    </row>
    <row r="13" spans="2:27" s="132" customFormat="1" ht="9" customHeight="1" x14ac:dyDescent="0.2">
      <c r="B13" s="740"/>
      <c r="C13" s="740"/>
      <c r="D13" s="740"/>
      <c r="E13" s="740"/>
      <c r="F13" s="740"/>
      <c r="G13" s="740"/>
      <c r="H13" s="740"/>
      <c r="I13" s="740"/>
      <c r="J13" s="740"/>
      <c r="K13" s="740"/>
      <c r="L13" s="740"/>
      <c r="M13" s="740"/>
    </row>
    <row r="14" spans="2:27" s="132" customFormat="1" ht="15" customHeight="1" x14ac:dyDescent="0.2">
      <c r="B14" s="3" t="s">
        <v>3848</v>
      </c>
      <c r="C14" s="14"/>
      <c r="D14" s="14"/>
      <c r="E14" s="14"/>
      <c r="F14" s="14"/>
      <c r="G14" s="14"/>
      <c r="H14" s="14"/>
      <c r="I14" s="14"/>
      <c r="J14" s="14"/>
      <c r="K14" s="14"/>
      <c r="L14" s="14"/>
      <c r="M14" s="14"/>
      <c r="O14" s="133" t="s">
        <v>4469</v>
      </c>
    </row>
    <row r="15" spans="2:27" s="132" customFormat="1" ht="14.1" customHeight="1" x14ac:dyDescent="0.2">
      <c r="B15" s="14" t="s">
        <v>920</v>
      </c>
      <c r="C15" s="14"/>
      <c r="D15" s="14"/>
      <c r="E15" s="14"/>
      <c r="F15" s="14"/>
      <c r="G15" s="14"/>
      <c r="H15" s="14"/>
      <c r="I15" s="14"/>
      <c r="J15" s="14"/>
      <c r="K15" s="14"/>
      <c r="L15" s="14"/>
      <c r="M15" s="14"/>
      <c r="O15" s="133" t="s">
        <v>4470</v>
      </c>
    </row>
    <row r="16" spans="2:27" s="132" customFormat="1" ht="14.1" customHeight="1" x14ac:dyDescent="0.2">
      <c r="B16" s="2" t="str">
        <f>CONCATENATE("For debt defeased, in substance, PRIOR to ",+TEXT(Data!$A$3,"mmmm d, yyyy"),":")</f>
        <v>For debt defeased, in substance, PRIOR to July 1, 2021:</v>
      </c>
      <c r="C16" s="14"/>
      <c r="D16" s="14"/>
      <c r="E16" s="14"/>
      <c r="F16" s="14"/>
      <c r="G16" s="14"/>
      <c r="H16" s="14"/>
      <c r="I16" s="14"/>
      <c r="J16" s="14"/>
      <c r="K16" s="14"/>
      <c r="L16" s="14"/>
      <c r="M16" s="14"/>
      <c r="O16" s="1098" t="s">
        <v>4471</v>
      </c>
    </row>
    <row r="17" spans="2:15" s="132" customFormat="1" ht="14.1" customHeight="1" x14ac:dyDescent="0.2">
      <c r="B17" s="2"/>
      <c r="C17" s="14"/>
      <c r="D17" s="14"/>
      <c r="E17" s="14"/>
      <c r="F17" s="14"/>
      <c r="G17" s="14"/>
      <c r="H17" s="14"/>
      <c r="I17" s="14"/>
      <c r="J17" s="14"/>
      <c r="K17" s="14"/>
      <c r="L17" s="14"/>
      <c r="M17" s="14"/>
      <c r="O17" s="1098" t="s">
        <v>4472</v>
      </c>
    </row>
    <row r="18" spans="2:15" s="132" customFormat="1" ht="12.75" customHeight="1" x14ac:dyDescent="0.2">
      <c r="B18" s="14"/>
      <c r="C18" s="14"/>
      <c r="D18" s="14"/>
      <c r="E18" s="14"/>
      <c r="F18" s="14"/>
      <c r="G18" s="14"/>
      <c r="H18" s="14"/>
      <c r="I18" s="14"/>
      <c r="J18" s="14"/>
      <c r="K18" s="4" t="s">
        <v>1160</v>
      </c>
      <c r="M18" s="1098" t="s">
        <v>3588</v>
      </c>
      <c r="O18" s="4" t="s">
        <v>4463</v>
      </c>
    </row>
    <row r="19" spans="2:15" s="132" customFormat="1" ht="12.75" customHeight="1" x14ac:dyDescent="0.2">
      <c r="B19" s="2577" t="s">
        <v>4693</v>
      </c>
      <c r="C19" s="2577"/>
      <c r="D19" s="2577"/>
      <c r="E19" s="2577"/>
      <c r="F19" s="2577"/>
      <c r="G19" s="2577"/>
      <c r="H19" s="2577"/>
      <c r="I19" s="2577"/>
      <c r="J19" s="14"/>
      <c r="K19" s="4" t="s">
        <v>206</v>
      </c>
      <c r="M19" s="4" t="s">
        <v>3589</v>
      </c>
      <c r="O19" s="133" t="s">
        <v>4464</v>
      </c>
    </row>
    <row r="20" spans="2:15" s="132" customFormat="1" ht="12.75" customHeight="1" x14ac:dyDescent="0.2">
      <c r="B20" s="2575" t="s">
        <v>4598</v>
      </c>
      <c r="C20" s="2575"/>
      <c r="D20" s="2575"/>
      <c r="E20" s="2575"/>
      <c r="F20" s="2575"/>
      <c r="G20" s="2575"/>
      <c r="H20" s="2575"/>
      <c r="I20" s="2575"/>
      <c r="J20" s="4"/>
      <c r="K20" s="104">
        <f>+Data!$A$2</f>
        <v>44742</v>
      </c>
      <c r="M20" s="104" t="s">
        <v>4694</v>
      </c>
      <c r="O20" s="104" t="s">
        <v>4695</v>
      </c>
    </row>
    <row r="21" spans="2:15" s="132" customFormat="1" ht="14.1" customHeight="1" x14ac:dyDescent="0.2">
      <c r="B21" s="2550"/>
      <c r="C21" s="2498"/>
      <c r="D21" s="2498"/>
      <c r="E21" s="2498"/>
      <c r="F21" s="2498"/>
      <c r="G21" s="2498"/>
      <c r="H21" s="2498"/>
      <c r="I21" s="2498"/>
      <c r="J21" s="898"/>
      <c r="K21" s="1986"/>
      <c r="M21" s="1688"/>
      <c r="O21" s="1986"/>
    </row>
    <row r="22" spans="2:15" s="132" customFormat="1" ht="14.1" customHeight="1" x14ac:dyDescent="0.2">
      <c r="B22" s="2550"/>
      <c r="C22" s="2498"/>
      <c r="D22" s="2498"/>
      <c r="E22" s="2498"/>
      <c r="F22" s="2498"/>
      <c r="G22" s="2498"/>
      <c r="H22" s="2498"/>
      <c r="I22" s="2498"/>
      <c r="J22" s="898"/>
      <c r="K22" s="1986"/>
      <c r="M22" s="899"/>
      <c r="O22" s="1986"/>
    </row>
    <row r="23" spans="2:15" s="132" customFormat="1" ht="14.1" customHeight="1" x14ac:dyDescent="0.2">
      <c r="B23" s="2550"/>
      <c r="C23" s="2498"/>
      <c r="D23" s="2498"/>
      <c r="E23" s="2498"/>
      <c r="F23" s="2498"/>
      <c r="G23" s="2498"/>
      <c r="H23" s="2498"/>
      <c r="I23" s="2498"/>
      <c r="J23" s="898"/>
      <c r="K23" s="1986"/>
      <c r="M23" s="899"/>
      <c r="O23" s="1986"/>
    </row>
    <row r="24" spans="2:15" s="132" customFormat="1" ht="14.1" customHeight="1" x14ac:dyDescent="0.2">
      <c r="B24" s="2550"/>
      <c r="C24" s="2498"/>
      <c r="D24" s="2498"/>
      <c r="E24" s="2498"/>
      <c r="F24" s="2498"/>
      <c r="G24" s="2498"/>
      <c r="H24" s="2498"/>
      <c r="I24" s="2498"/>
      <c r="J24" s="898"/>
      <c r="K24" s="1986"/>
      <c r="M24" s="1688"/>
      <c r="O24" s="1986"/>
    </row>
    <row r="25" spans="2:15" s="132" customFormat="1" ht="14.1" customHeight="1" x14ac:dyDescent="0.2">
      <c r="B25" s="2550"/>
      <c r="C25" s="2498"/>
      <c r="D25" s="2498"/>
      <c r="E25" s="2498"/>
      <c r="F25" s="2498"/>
      <c r="G25" s="2498"/>
      <c r="H25" s="2498"/>
      <c r="I25" s="2498"/>
      <c r="J25" s="898"/>
      <c r="K25" s="1986"/>
      <c r="M25" s="899"/>
      <c r="O25" s="1986"/>
    </row>
    <row r="26" spans="2:15" s="132" customFormat="1" ht="14.1" customHeight="1" x14ac:dyDescent="0.2">
      <c r="B26" s="2550"/>
      <c r="C26" s="2498"/>
      <c r="D26" s="2498"/>
      <c r="E26" s="2498"/>
      <c r="F26" s="2498"/>
      <c r="G26" s="2498"/>
      <c r="H26" s="2498"/>
      <c r="I26" s="2498"/>
      <c r="J26" s="898"/>
      <c r="K26" s="1986"/>
      <c r="M26" s="899"/>
      <c r="O26" s="1986"/>
    </row>
    <row r="27" spans="2:15" s="132" customFormat="1" ht="14.1" customHeight="1" x14ac:dyDescent="0.2">
      <c r="B27" s="2550"/>
      <c r="C27" s="2498"/>
      <c r="D27" s="2498"/>
      <c r="E27" s="2498"/>
      <c r="F27" s="2498"/>
      <c r="G27" s="2498"/>
      <c r="H27" s="2498"/>
      <c r="I27" s="2498"/>
      <c r="J27" s="898"/>
      <c r="K27" s="1986"/>
      <c r="M27" s="899"/>
      <c r="O27" s="1986"/>
    </row>
    <row r="28" spans="2:15" s="132" customFormat="1" ht="14.1" customHeight="1" x14ac:dyDescent="0.2">
      <c r="B28" s="2550"/>
      <c r="C28" s="2498"/>
      <c r="D28" s="2498"/>
      <c r="E28" s="2498"/>
      <c r="F28" s="2498"/>
      <c r="G28" s="2498"/>
      <c r="H28" s="2498"/>
      <c r="I28" s="2498"/>
      <c r="J28" s="898"/>
      <c r="K28" s="1986"/>
      <c r="M28" s="899"/>
      <c r="O28" s="1986"/>
    </row>
    <row r="29" spans="2:15" s="132" customFormat="1" ht="14.1" customHeight="1" x14ac:dyDescent="0.2">
      <c r="B29" s="2550"/>
      <c r="C29" s="2498"/>
      <c r="D29" s="2498"/>
      <c r="E29" s="2498"/>
      <c r="F29" s="2498"/>
      <c r="G29" s="2498"/>
      <c r="H29" s="2498"/>
      <c r="I29" s="2498"/>
      <c r="J29" s="898"/>
      <c r="K29" s="1986"/>
      <c r="M29" s="899"/>
      <c r="O29" s="1986"/>
    </row>
    <row r="30" spans="2:15" s="132" customFormat="1" ht="4.3499999999999996" customHeight="1" x14ac:dyDescent="0.2">
      <c r="B30" s="14"/>
      <c r="C30" s="14"/>
      <c r="D30" s="14"/>
      <c r="E30" s="14"/>
      <c r="F30" s="14"/>
      <c r="G30" s="14"/>
      <c r="H30" s="14"/>
      <c r="I30" s="14"/>
      <c r="J30" s="14"/>
      <c r="K30" s="14"/>
      <c r="L30" s="14"/>
      <c r="M30" s="14"/>
    </row>
    <row r="31" spans="2:15" s="132" customFormat="1" ht="16.5" x14ac:dyDescent="0.2">
      <c r="B31" s="1099" t="s">
        <v>4698</v>
      </c>
      <c r="C31" s="14"/>
      <c r="D31" s="14"/>
      <c r="E31" s="14"/>
      <c r="F31" s="14"/>
      <c r="G31" s="14"/>
      <c r="H31" s="14"/>
      <c r="I31" s="14"/>
      <c r="J31" s="14"/>
      <c r="K31" s="14"/>
      <c r="L31" s="14"/>
      <c r="M31" s="14"/>
    </row>
    <row r="32" spans="2:15" s="132" customFormat="1" ht="12.75" x14ac:dyDescent="0.2">
      <c r="B32" s="1863" t="s">
        <v>4699</v>
      </c>
      <c r="C32" s="14"/>
      <c r="D32" s="14"/>
      <c r="E32" s="14"/>
      <c r="F32" s="14"/>
      <c r="G32" s="14"/>
      <c r="H32" s="14"/>
      <c r="I32" s="14"/>
      <c r="J32" s="14"/>
      <c r="K32" s="14"/>
      <c r="L32" s="14"/>
      <c r="M32" s="14"/>
    </row>
    <row r="33" spans="2:13" s="132" customFormat="1" ht="15" customHeight="1" x14ac:dyDescent="0.2">
      <c r="B33" s="1099" t="s">
        <v>4696</v>
      </c>
      <c r="C33" s="14"/>
      <c r="D33" s="14"/>
      <c r="E33" s="14"/>
      <c r="F33" s="14"/>
      <c r="G33" s="14"/>
      <c r="H33" s="14"/>
      <c r="I33" s="14"/>
      <c r="J33" s="14"/>
      <c r="K33" s="14"/>
      <c r="L33" s="14"/>
      <c r="M33" s="14"/>
    </row>
    <row r="34" spans="2:13" s="132" customFormat="1" ht="15" customHeight="1" x14ac:dyDescent="0.2">
      <c r="B34" s="1099" t="s">
        <v>4697</v>
      </c>
      <c r="C34" s="14"/>
      <c r="D34" s="14"/>
      <c r="E34" s="14"/>
      <c r="F34" s="14"/>
      <c r="G34" s="14"/>
      <c r="H34" s="14"/>
      <c r="I34" s="14"/>
      <c r="J34" s="14"/>
      <c r="K34" s="14"/>
      <c r="L34" s="14"/>
      <c r="M34" s="14"/>
    </row>
    <row r="35" spans="2:13" s="132" customFormat="1" ht="15" customHeight="1" x14ac:dyDescent="0.2">
      <c r="B35" s="1863" t="s">
        <v>4468</v>
      </c>
      <c r="C35" s="14"/>
      <c r="D35" s="14"/>
      <c r="E35" s="14"/>
      <c r="F35" s="14"/>
      <c r="G35" s="14"/>
      <c r="H35" s="14"/>
      <c r="I35" s="14"/>
      <c r="J35" s="14"/>
      <c r="K35" s="14"/>
      <c r="L35" s="14"/>
      <c r="M35" s="14"/>
    </row>
    <row r="36" spans="2:13" s="132" customFormat="1" ht="7.35" customHeight="1" x14ac:dyDescent="0.2">
      <c r="B36" s="14"/>
      <c r="C36" s="14"/>
      <c r="D36" s="14"/>
      <c r="E36" s="14"/>
      <c r="F36" s="14"/>
      <c r="G36" s="14"/>
      <c r="H36" s="14"/>
      <c r="I36" s="14"/>
      <c r="J36" s="14"/>
      <c r="K36" s="14"/>
      <c r="L36" s="14"/>
      <c r="M36" s="14"/>
    </row>
    <row r="37" spans="2:13" s="132" customFormat="1" ht="15" customHeight="1" x14ac:dyDescent="0.2">
      <c r="B37" s="3" t="s">
        <v>3849</v>
      </c>
      <c r="C37" s="14"/>
      <c r="D37" s="14"/>
      <c r="E37" s="14"/>
      <c r="F37" s="14"/>
      <c r="G37" s="14"/>
      <c r="H37" s="14"/>
      <c r="I37" s="14"/>
      <c r="J37" s="14"/>
      <c r="K37" s="14"/>
      <c r="L37" s="14"/>
      <c r="M37" s="14"/>
    </row>
    <row r="38" spans="2:13" s="132" customFormat="1" ht="15" customHeight="1" x14ac:dyDescent="0.2">
      <c r="B38" s="14" t="s">
        <v>1209</v>
      </c>
      <c r="C38" s="14"/>
      <c r="D38" s="14"/>
      <c r="E38" s="14"/>
      <c r="F38" s="14"/>
      <c r="G38" s="14"/>
      <c r="H38" s="14"/>
      <c r="I38" s="14"/>
      <c r="J38" s="14"/>
      <c r="K38" s="14"/>
      <c r="L38" s="14"/>
      <c r="M38" s="14"/>
    </row>
    <row r="39" spans="2:13" s="132" customFormat="1" ht="15" customHeight="1" x14ac:dyDescent="0.2">
      <c r="B39" s="2" t="str">
        <f>CONCATENATE("For debt defeased in the CURRENT fiscal year ",+YEAR(Data!$A$3),"-",+YEAR(Data!$A$2),":")</f>
        <v>For debt defeased in the CURRENT fiscal year 2021-2022:</v>
      </c>
      <c r="C39" s="14"/>
      <c r="D39" s="14"/>
      <c r="E39" s="14"/>
      <c r="F39" s="14"/>
      <c r="G39" s="14"/>
      <c r="H39" s="14"/>
      <c r="I39" s="14"/>
      <c r="J39" s="14"/>
      <c r="K39" s="14"/>
      <c r="L39" s="14"/>
      <c r="M39" s="14"/>
    </row>
    <row r="40" spans="2:13" s="132" customFormat="1" ht="14.1" customHeight="1" x14ac:dyDescent="0.2">
      <c r="B40" s="2573" t="s">
        <v>5524</v>
      </c>
      <c r="C40" s="2574"/>
      <c r="D40" s="2574"/>
      <c r="E40" s="2574"/>
      <c r="F40" s="2574"/>
      <c r="G40" s="2574"/>
      <c r="H40" s="2574"/>
      <c r="I40" s="2574"/>
      <c r="J40" s="2574"/>
      <c r="K40" s="2574"/>
      <c r="L40" s="2574"/>
      <c r="M40" s="2574"/>
    </row>
    <row r="41" spans="2:13" s="132" customFormat="1" ht="14.1" customHeight="1" x14ac:dyDescent="0.2">
      <c r="B41" s="2574"/>
      <c r="C41" s="2574"/>
      <c r="D41" s="2574"/>
      <c r="E41" s="2574"/>
      <c r="F41" s="2574"/>
      <c r="G41" s="2574"/>
      <c r="H41" s="2574"/>
      <c r="I41" s="2574"/>
      <c r="J41" s="2574"/>
      <c r="K41" s="2574"/>
      <c r="L41" s="2574"/>
      <c r="M41" s="2574"/>
    </row>
    <row r="42" spans="2:13" s="132" customFormat="1" ht="14.1" customHeight="1" x14ac:dyDescent="0.2">
      <c r="B42" s="741" t="s">
        <v>3833</v>
      </c>
      <c r="C42" s="381"/>
      <c r="D42" s="381"/>
      <c r="E42" s="381"/>
      <c r="F42" s="381"/>
      <c r="G42" s="381"/>
      <c r="H42" s="381"/>
      <c r="I42" s="381"/>
      <c r="J42" s="381"/>
      <c r="K42" s="381"/>
      <c r="L42" s="381"/>
      <c r="M42" s="381"/>
    </row>
    <row r="43" spans="2:13" s="132" customFormat="1" ht="8.1" customHeight="1" thickBot="1" x14ac:dyDescent="0.25">
      <c r="B43" s="382"/>
      <c r="C43" s="382"/>
      <c r="D43" s="382"/>
      <c r="E43" s="382"/>
      <c r="F43" s="382"/>
      <c r="G43" s="382"/>
      <c r="H43" s="382"/>
      <c r="I43" s="382"/>
      <c r="J43" s="382"/>
      <c r="K43" s="382"/>
      <c r="L43" s="382"/>
      <c r="M43" s="382"/>
    </row>
    <row r="44" spans="2:13" s="132" customFormat="1" ht="6" customHeight="1" x14ac:dyDescent="0.2">
      <c r="B44" s="113"/>
      <c r="C44" s="113"/>
      <c r="D44" s="113"/>
      <c r="E44" s="113"/>
      <c r="F44" s="113"/>
      <c r="G44" s="113"/>
      <c r="H44" s="113"/>
      <c r="I44" s="113"/>
      <c r="J44" s="113"/>
      <c r="K44" s="113"/>
      <c r="L44" s="113"/>
      <c r="M44" s="113"/>
    </row>
    <row r="45" spans="2:13" s="132" customFormat="1" ht="15" customHeight="1" x14ac:dyDescent="0.2">
      <c r="B45" s="268" t="s">
        <v>4714</v>
      </c>
      <c r="C45" s="267"/>
      <c r="D45" s="267"/>
      <c r="E45" s="267"/>
      <c r="F45" s="267"/>
      <c r="G45" s="267"/>
      <c r="H45" s="267"/>
      <c r="I45" s="267"/>
      <c r="J45" s="267"/>
      <c r="K45" s="267"/>
      <c r="L45" s="267"/>
      <c r="M45" s="267"/>
    </row>
    <row r="46" spans="2:13" s="132" customFormat="1" ht="14.1" customHeight="1" x14ac:dyDescent="0.2">
      <c r="B46" s="270" t="s">
        <v>807</v>
      </c>
      <c r="C46" s="269"/>
      <c r="D46" s="269"/>
      <c r="E46" s="269"/>
      <c r="F46" s="269"/>
      <c r="G46" s="269"/>
      <c r="H46" s="269"/>
      <c r="I46" s="269"/>
      <c r="J46" s="269"/>
      <c r="K46" s="267"/>
      <c r="L46" s="267"/>
      <c r="M46" s="267"/>
    </row>
    <row r="47" spans="2:13" s="273" customFormat="1" ht="14.1" customHeight="1" x14ac:dyDescent="0.2">
      <c r="B47" s="271" t="s">
        <v>204</v>
      </c>
      <c r="C47" s="272"/>
      <c r="D47" s="272"/>
      <c r="E47" s="272"/>
      <c r="F47" s="272"/>
      <c r="G47" s="272"/>
      <c r="H47" s="272"/>
      <c r="I47" s="272"/>
      <c r="J47" s="272"/>
      <c r="K47" s="272"/>
      <c r="L47" s="272"/>
      <c r="M47" s="517"/>
    </row>
    <row r="48" spans="2:13" s="273" customFormat="1" ht="14.1" customHeight="1" x14ac:dyDescent="0.2">
      <c r="B48" s="271" t="s">
        <v>205</v>
      </c>
      <c r="C48" s="272"/>
      <c r="D48" s="272"/>
      <c r="E48" s="272"/>
      <c r="F48" s="272"/>
      <c r="G48" s="272"/>
      <c r="H48" s="272"/>
      <c r="I48" s="272"/>
      <c r="J48" s="272"/>
      <c r="K48" s="272"/>
      <c r="L48" s="272"/>
      <c r="M48" s="518"/>
    </row>
    <row r="49" spans="2:13" s="273" customFormat="1" ht="14.1" customHeight="1" x14ac:dyDescent="0.2">
      <c r="B49" s="273" t="s">
        <v>958</v>
      </c>
      <c r="M49" s="386"/>
    </row>
    <row r="50" spans="2:13" s="273" customFormat="1" ht="14.1" customHeight="1" x14ac:dyDescent="0.2">
      <c r="B50" s="271" t="s">
        <v>959</v>
      </c>
      <c r="C50" s="271"/>
      <c r="K50" s="517"/>
      <c r="M50" s="387"/>
    </row>
    <row r="51" spans="2:13" s="273" customFormat="1" ht="14.1" customHeight="1" x14ac:dyDescent="0.2">
      <c r="B51" s="271" t="s">
        <v>4465</v>
      </c>
      <c r="C51" s="271"/>
      <c r="K51" s="517"/>
      <c r="M51" s="387"/>
    </row>
    <row r="52" spans="2:13" s="273" customFormat="1" ht="14.1" customHeight="1" x14ac:dyDescent="0.2">
      <c r="B52" s="271" t="s">
        <v>1561</v>
      </c>
      <c r="C52" s="271"/>
      <c r="K52" s="517"/>
      <c r="M52" s="387">
        <v>0</v>
      </c>
    </row>
    <row r="53" spans="2:13" s="273" customFormat="1" ht="14.1" customHeight="1" x14ac:dyDescent="0.2">
      <c r="B53" s="271" t="s">
        <v>1562</v>
      </c>
      <c r="C53" s="271"/>
      <c r="K53" s="518"/>
      <c r="M53" s="387"/>
    </row>
    <row r="54" spans="2:13" s="273" customFormat="1" ht="14.1" customHeight="1" x14ac:dyDescent="0.2">
      <c r="B54" s="271" t="s">
        <v>1563</v>
      </c>
      <c r="C54" s="271"/>
      <c r="K54" s="517"/>
      <c r="M54" s="387"/>
    </row>
    <row r="55" spans="2:13" s="273" customFormat="1" ht="14.1" customHeight="1" x14ac:dyDescent="0.2">
      <c r="B55" s="271" t="s">
        <v>1564</v>
      </c>
      <c r="K55" s="518"/>
      <c r="M55" s="387"/>
    </row>
    <row r="56" spans="2:13" s="273" customFormat="1" ht="14.1" customHeight="1" thickBot="1" x14ac:dyDescent="0.25">
      <c r="B56" s="274" t="s">
        <v>958</v>
      </c>
      <c r="M56" s="1097">
        <f>-SUM(K50:K55)</f>
        <v>0</v>
      </c>
    </row>
    <row r="57" spans="2:13" s="273" customFormat="1" ht="14.1" customHeight="1" x14ac:dyDescent="0.2">
      <c r="B57" s="273" t="s">
        <v>3827</v>
      </c>
      <c r="M57" s="1560"/>
    </row>
    <row r="58" spans="2:13" s="275" customFormat="1" ht="14.1" customHeight="1" thickBot="1" x14ac:dyDescent="0.25">
      <c r="B58" s="534" t="s">
        <v>3850</v>
      </c>
      <c r="M58" s="1480">
        <f>M47+M48+M56+M57</f>
        <v>0</v>
      </c>
    </row>
    <row r="59" spans="2:13" ht="14.1" customHeight="1" thickTop="1" x14ac:dyDescent="0.2">
      <c r="B59" s="273" t="s">
        <v>3834</v>
      </c>
    </row>
    <row r="60" spans="2:13" ht="4.3499999999999996" customHeight="1" x14ac:dyDescent="0.2"/>
    <row r="61" spans="2:13" ht="15" customHeight="1" x14ac:dyDescent="0.2">
      <c r="B61" s="534" t="s">
        <v>3828</v>
      </c>
      <c r="C61" s="273"/>
    </row>
    <row r="62" spans="2:13" ht="15" customHeight="1" x14ac:dyDescent="0.2">
      <c r="B62" s="271" t="s">
        <v>3829</v>
      </c>
      <c r="C62" s="273"/>
      <c r="M62" s="1448"/>
    </row>
    <row r="63" spans="2:13" s="132" customFormat="1" ht="15" customHeight="1" x14ac:dyDescent="0.2">
      <c r="B63" s="271" t="s">
        <v>3830</v>
      </c>
      <c r="C63" s="272"/>
      <c r="D63" s="272"/>
      <c r="E63" s="272"/>
      <c r="F63" s="272"/>
      <c r="G63" s="272"/>
      <c r="H63" s="272"/>
      <c r="I63" s="272"/>
      <c r="J63" s="272"/>
      <c r="K63" s="273"/>
      <c r="L63" s="272"/>
      <c r="M63" s="1477"/>
    </row>
    <row r="64" spans="2:13" s="132" customFormat="1" ht="15" customHeight="1" x14ac:dyDescent="0.2">
      <c r="B64" s="271" t="s">
        <v>3831</v>
      </c>
      <c r="C64" s="272"/>
      <c r="D64" s="272"/>
      <c r="E64" s="272"/>
      <c r="F64" s="272"/>
      <c r="G64" s="272"/>
      <c r="H64" s="272"/>
      <c r="I64" s="272"/>
      <c r="J64" s="272"/>
      <c r="K64" s="273"/>
      <c r="L64" s="272"/>
      <c r="M64" s="1477"/>
    </row>
    <row r="65" spans="2:13" ht="15" customHeight="1" thickBot="1" x14ac:dyDescent="0.25">
      <c r="B65" s="271" t="s">
        <v>3832</v>
      </c>
      <c r="C65" s="273"/>
      <c r="M65" s="1480">
        <f>M62+M63+M64</f>
        <v>0</v>
      </c>
    </row>
    <row r="66" spans="2:13" ht="15" customHeight="1" thickTop="1" x14ac:dyDescent="0.2"/>
    <row r="67" spans="2:13" ht="15" customHeight="1" x14ac:dyDescent="0.2"/>
    <row r="68" spans="2:13" ht="15" customHeight="1" x14ac:dyDescent="0.2"/>
    <row r="69" spans="2:13" ht="15" customHeight="1" x14ac:dyDescent="0.2"/>
    <row r="70" spans="2:13" ht="15" customHeight="1" x14ac:dyDescent="0.2"/>
    <row r="71" spans="2:13" ht="15" customHeight="1" x14ac:dyDescent="0.2"/>
    <row r="72" spans="2:13" ht="15" customHeight="1" x14ac:dyDescent="0.2"/>
    <row r="73" spans="2:13" ht="15" customHeight="1" x14ac:dyDescent="0.2"/>
    <row r="74" spans="2:13" ht="15" customHeight="1" x14ac:dyDescent="0.2"/>
    <row r="75" spans="2:13" ht="15" customHeight="1" x14ac:dyDescent="0.2"/>
    <row r="76" spans="2:13" ht="15" customHeight="1" x14ac:dyDescent="0.2"/>
    <row r="77" spans="2:13" ht="15" customHeight="1" x14ac:dyDescent="0.2"/>
    <row r="78" spans="2:13" ht="15" customHeight="1" x14ac:dyDescent="0.2"/>
    <row r="79" spans="2:13" ht="15" customHeight="1" x14ac:dyDescent="0.2"/>
    <row r="80" spans="2:13"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sheetData>
  <sheetProtection algorithmName="SHA-512" hashValue="6P4cBRNqGse4hbhN11joJTxzryKnld+PLn8XAE1+QnX3GxzjpXBbuVbjl89fYJLGSJ61xpNHe9P1u3zSMLu7mg==" saltValue="FVXasemZL4K6mmScTSo5/A==" spinCount="100000" sheet="1" objects="1" scenarios="1" autoFilter="0"/>
  <customSheetViews>
    <customSheetView guid="{B08879A4-635B-4C39-9937-AC7883D562FC}" showGridLines="0" fitToPage="1" hiddenColumns="1" topLeftCell="B1">
      <selection activeCell="C35" sqref="C35"/>
      <pageMargins left="0.7" right="0.5" top="0.5" bottom="0.5" header="0.5" footer="0.3"/>
      <printOptions horizontalCentered="1"/>
      <pageSetup scale="97" orientation="portrait" horizontalDpi="1200" verticalDpi="1200" r:id="rId1"/>
      <headerFooter alignWithMargins="0">
        <oddFooter>&amp;R&amp;A</oddFooter>
      </headerFooter>
    </customSheetView>
    <customSheetView guid="{1250FD07-FF56-4A9D-AF9E-C27124A7EBE9}" showGridLines="0" fitToPage="1" showRuler="0">
      <selection activeCell="C7" sqref="C7:D7"/>
      <pageMargins left="0.7" right="0.5" top="0.5" bottom="0.5" header="0.5" footer="0.3"/>
      <printOptions horizontalCentered="1"/>
      <pageSetup orientation="portrait" horizontalDpi="4294967292" verticalDpi="4294967292" r:id="rId2"/>
      <headerFooter alignWithMargins="0">
        <oddFooter>&amp;R&amp;A</oddFooter>
      </headerFooter>
    </customSheetView>
    <customSheetView guid="{BEA4BE86-04D1-4C96-9358-7A260B9D2B2D}" showGridLines="0" fitToPage="1" showRuler="0">
      <selection activeCell="C7" sqref="C7:D7"/>
      <pageMargins left="0.7" right="0.5" top="0.5" bottom="0.5" header="0.5" footer="0.3"/>
      <printOptions horizontalCentered="1"/>
      <pageSetup orientation="portrait" horizontalDpi="4294967292" verticalDpi="4294967292" r:id="rId3"/>
      <headerFooter alignWithMargins="0">
        <oddFooter>&amp;R&amp;A</oddFooter>
      </headerFooter>
    </customSheetView>
    <customSheetView guid="{9FCFC836-1CA5-48BF-958D-24D2EA94B219}" showGridLines="0" fitToPage="1" hiddenColumns="1" topLeftCell="B1">
      <selection activeCell="C35" sqref="C35"/>
      <pageMargins left="0.7" right="0.5" top="0.5" bottom="0.5" header="0.5" footer="0.3"/>
      <printOptions horizontalCentered="1"/>
      <pageSetup scale="97" orientation="portrait" horizontalDpi="1200" verticalDpi="1200" r:id="rId4"/>
      <headerFooter alignWithMargins="0">
        <oddFooter>&amp;R&amp;A</oddFooter>
      </headerFooter>
    </customSheetView>
  </customSheetViews>
  <mergeCells count="24">
    <mergeCell ref="B19:I19"/>
    <mergeCell ref="O1:O3"/>
    <mergeCell ref="B1:M1"/>
    <mergeCell ref="B2:M2"/>
    <mergeCell ref="N1:N3"/>
    <mergeCell ref="D5:E5"/>
    <mergeCell ref="K5:M5"/>
    <mergeCell ref="B3:M3"/>
    <mergeCell ref="B40:M41"/>
    <mergeCell ref="K6:M6"/>
    <mergeCell ref="K7:M7"/>
    <mergeCell ref="D7:E7"/>
    <mergeCell ref="K8:M8"/>
    <mergeCell ref="B20:I20"/>
    <mergeCell ref="B21:I21"/>
    <mergeCell ref="B22:I22"/>
    <mergeCell ref="B23:I23"/>
    <mergeCell ref="B29:I29"/>
    <mergeCell ref="B11:M12"/>
    <mergeCell ref="B24:I24"/>
    <mergeCell ref="B25:I25"/>
    <mergeCell ref="B26:I26"/>
    <mergeCell ref="B27:I27"/>
    <mergeCell ref="B28:I28"/>
  </mergeCells>
  <phoneticPr fontId="15" type="noConversion"/>
  <conditionalFormatting sqref="N1:N3">
    <cfRule type="cellIs" dxfId="132" priority="2" stopIfTrue="1" operator="equal">
      <formula>"na"</formula>
    </cfRule>
  </conditionalFormatting>
  <conditionalFormatting sqref="O1:O3">
    <cfRule type="cellIs" dxfId="131" priority="1" stopIfTrue="1" operator="equal">
      <formula>"na"</formula>
    </cfRule>
  </conditionalFormatting>
  <dataValidations count="3">
    <dataValidation type="decimal" operator="lessThanOrEqual" allowBlank="1" showInputMessage="1" showErrorMessage="1" errorTitle="Invalid data!" error="Amount must be negative." sqref="K53" xr:uid="{00000000-0002-0000-1200-000000000000}">
      <formula1>0</formula1>
    </dataValidation>
    <dataValidation type="decimal" operator="greaterThanOrEqual" allowBlank="1" showInputMessage="1" showErrorMessage="1" errorTitle="Invalid Data!" error="Amount must be positive." sqref="K54" xr:uid="{00000000-0002-0000-1200-000001000000}">
      <formula1>0</formula1>
    </dataValidation>
    <dataValidation type="decimal" operator="lessThanOrEqual" allowBlank="1" showInputMessage="1" showErrorMessage="1" errorTitle="Invalid Data!" error="Amount must be negative." sqref="K55 M64" xr:uid="{00000000-0002-0000-1200-000002000000}">
      <formula1>0</formula1>
    </dataValidation>
  </dataValidations>
  <hyperlinks>
    <hyperlink ref="B1:M1" location="Index!A1" display="Index!A1" xr:uid="{00000000-0004-0000-1200-000000000000}"/>
  </hyperlinks>
  <printOptions horizontalCentered="1"/>
  <pageMargins left="0.7" right="0.5" top="0.5" bottom="0.5" header="0.5" footer="0.3"/>
  <pageSetup scale="84" orientation="portrait" horizontalDpi="1200" verticalDpi="1200" r:id="rId5"/>
  <headerFooter alignWithMargins="0">
    <oddFooter>&amp;R&amp;A</oddFooter>
  </headerFooter>
  <ignoredErrors>
    <ignoredError sqref="K7:K8"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pageSetUpPr fitToPage="1"/>
  </sheetPr>
  <dimension ref="A1:J36"/>
  <sheetViews>
    <sheetView showGridLines="0" zoomScale="118" zoomScaleNormal="118" workbookViewId="0">
      <selection activeCell="A25" sqref="A25:D25"/>
    </sheetView>
  </sheetViews>
  <sheetFormatPr defaultColWidth="9.42578125" defaultRowHeight="12.75" x14ac:dyDescent="0.2"/>
  <cols>
    <col min="7" max="7" width="13.42578125" customWidth="1"/>
    <col min="10" max="10" width="4.5703125" customWidth="1"/>
  </cols>
  <sheetData>
    <row r="1" spans="1:10" ht="15.75" x14ac:dyDescent="0.25">
      <c r="A1" s="2379" t="str">
        <f>+Index!$A$1</f>
        <v xml:space="preserve">                                                               Office of the State Controller                                                                </v>
      </c>
      <c r="B1" s="2379"/>
      <c r="C1" s="2379"/>
      <c r="D1" s="2379"/>
      <c r="E1" s="2379"/>
      <c r="F1" s="2379"/>
      <c r="G1" s="2379"/>
      <c r="H1" s="2379"/>
      <c r="I1" s="2379"/>
      <c r="J1" s="2510" t="str">
        <f>IF(Index!$B$40="na","NA","")</f>
        <v/>
      </c>
    </row>
    <row r="2" spans="1:10" ht="15.75" x14ac:dyDescent="0.25">
      <c r="A2" s="2435" t="str">
        <f>+Index!$A$2</f>
        <v>2022 ACFR Worksheets</v>
      </c>
      <c r="B2" s="2435"/>
      <c r="C2" s="2435"/>
      <c r="D2" s="2435"/>
      <c r="E2" s="2435"/>
      <c r="F2" s="2435"/>
      <c r="G2" s="2435"/>
      <c r="H2" s="2435"/>
      <c r="I2" s="2435"/>
      <c r="J2" s="2510"/>
    </row>
    <row r="3" spans="1:10" ht="15.75" x14ac:dyDescent="0.25">
      <c r="A3" s="2436" t="s">
        <v>3625</v>
      </c>
      <c r="B3" s="2436"/>
      <c r="C3" s="2436"/>
      <c r="D3" s="2436"/>
      <c r="E3" s="2436"/>
      <c r="F3" s="2436"/>
      <c r="G3" s="2436"/>
      <c r="H3" s="2436"/>
      <c r="I3" s="2436"/>
      <c r="J3" s="2510"/>
    </row>
    <row r="4" spans="1:10" x14ac:dyDescent="0.2">
      <c r="A4" s="454"/>
      <c r="B4" s="454"/>
      <c r="C4" s="454"/>
      <c r="D4" s="454"/>
      <c r="E4" s="61"/>
      <c r="F4" s="454"/>
      <c r="G4" s="454"/>
      <c r="H4" s="454"/>
      <c r="I4" s="447"/>
    </row>
    <row r="5" spans="1:10" x14ac:dyDescent="0.2">
      <c r="A5" s="1425" t="s">
        <v>4233</v>
      </c>
      <c r="B5" s="1345"/>
      <c r="C5" s="1345"/>
      <c r="D5" s="1345"/>
      <c r="E5" s="1345"/>
      <c r="F5" s="1345"/>
      <c r="G5" s="1345"/>
      <c r="H5" s="1345"/>
      <c r="I5" s="447"/>
    </row>
    <row r="6" spans="1:10" x14ac:dyDescent="0.2">
      <c r="A6" s="1088" t="s">
        <v>4467</v>
      </c>
      <c r="B6" s="1345"/>
      <c r="C6" s="1345"/>
      <c r="D6" s="1345"/>
      <c r="E6" s="1345"/>
      <c r="F6" s="1345"/>
      <c r="G6" s="1345"/>
      <c r="H6" s="1345"/>
      <c r="I6" s="447"/>
    </row>
    <row r="7" spans="1:10" x14ac:dyDescent="0.2">
      <c r="A7" s="1088" t="s">
        <v>4232</v>
      </c>
      <c r="B7" s="1345"/>
      <c r="C7" s="1345"/>
      <c r="D7" s="1345"/>
      <c r="E7" s="1345"/>
      <c r="F7" s="1345"/>
      <c r="G7" s="1345"/>
      <c r="H7" s="1345"/>
      <c r="I7" s="447"/>
    </row>
    <row r="8" spans="1:10" x14ac:dyDescent="0.2">
      <c r="A8" s="1088"/>
      <c r="B8" s="1345"/>
      <c r="C8" s="1345"/>
      <c r="D8" s="1345"/>
      <c r="E8" s="1345"/>
      <c r="F8" s="1345"/>
      <c r="G8" s="1345"/>
      <c r="H8" s="1345"/>
      <c r="I8" s="447"/>
    </row>
    <row r="9" spans="1:10" x14ac:dyDescent="0.2">
      <c r="A9" s="61"/>
      <c r="B9" s="1089"/>
      <c r="C9" s="1089"/>
      <c r="D9" s="451"/>
      <c r="E9" s="1345"/>
      <c r="F9" s="1335" t="s">
        <v>327</v>
      </c>
      <c r="G9" s="1336" t="str">
        <f>+Index!$E$10</f>
        <v>01</v>
      </c>
      <c r="H9" s="1337"/>
      <c r="I9" s="1337"/>
      <c r="J9" s="272"/>
    </row>
    <row r="10" spans="1:10" x14ac:dyDescent="0.2">
      <c r="A10" s="1089"/>
      <c r="B10" s="1089"/>
      <c r="C10" s="1089"/>
      <c r="D10" s="1089"/>
      <c r="E10" s="1333"/>
      <c r="F10" s="1335" t="s">
        <v>1154</v>
      </c>
      <c r="G10" s="1338" t="str">
        <f>AgyName</f>
        <v>North Carolina General Assembly</v>
      </c>
      <c r="H10" s="1339"/>
      <c r="I10" s="1339"/>
    </row>
    <row r="11" spans="1:10" x14ac:dyDescent="0.2">
      <c r="A11" s="2581" t="s">
        <v>3447</v>
      </c>
      <c r="B11" s="2581"/>
      <c r="C11" s="1334" t="s">
        <v>805</v>
      </c>
      <c r="E11" s="454"/>
      <c r="F11" s="1335" t="s">
        <v>972</v>
      </c>
      <c r="G11" s="1340" t="str">
        <f>CONCATENATE(Index!$E$12," ",Index!$E$14)</f>
        <v xml:space="preserve"> </v>
      </c>
      <c r="H11" s="1370"/>
      <c r="I11" s="1370"/>
    </row>
    <row r="12" spans="1:10" x14ac:dyDescent="0.2">
      <c r="A12" s="1333"/>
      <c r="B12" s="1333"/>
      <c r="C12" s="1345"/>
      <c r="D12" s="454"/>
      <c r="E12" s="454"/>
      <c r="F12" s="1335" t="s">
        <v>348</v>
      </c>
      <c r="G12" s="1340">
        <f>+Index!$E$13</f>
        <v>0</v>
      </c>
      <c r="H12" s="1370"/>
      <c r="I12" s="1370"/>
    </row>
    <row r="13" spans="1:10" ht="13.5" thickBot="1" x14ac:dyDescent="0.25">
      <c r="A13" s="1346"/>
      <c r="B13" s="1346"/>
      <c r="C13" s="1346"/>
      <c r="D13" s="1346"/>
      <c r="E13" s="1346"/>
      <c r="F13" s="1346"/>
      <c r="G13" s="1346"/>
      <c r="H13" s="1346"/>
      <c r="I13" s="1346"/>
    </row>
    <row r="14" spans="1:10" ht="15" x14ac:dyDescent="0.25">
      <c r="A14" s="1341"/>
      <c r="B14" s="1341"/>
      <c r="C14" s="1341"/>
      <c r="D14" s="1341"/>
      <c r="E14" s="1341"/>
      <c r="F14" s="1341"/>
      <c r="G14" s="1341"/>
      <c r="H14" s="1341"/>
      <c r="I14" s="1341"/>
    </row>
    <row r="15" spans="1:10" x14ac:dyDescent="0.2">
      <c r="A15" s="1204" t="s">
        <v>3611</v>
      </c>
      <c r="B15" s="1204"/>
      <c r="C15" s="1204"/>
      <c r="D15" s="1204"/>
      <c r="E15" s="1204"/>
      <c r="F15" s="1204"/>
      <c r="G15" s="1204"/>
      <c r="H15" s="1204"/>
      <c r="I15" s="1204"/>
    </row>
    <row r="16" spans="1:10" x14ac:dyDescent="0.2">
      <c r="A16" s="1204" t="s">
        <v>3612</v>
      </c>
      <c r="B16" s="1204"/>
      <c r="C16" s="1204"/>
      <c r="D16" s="1204"/>
      <c r="E16" s="1204"/>
      <c r="F16" s="1204"/>
      <c r="G16" s="1204"/>
      <c r="H16" s="1204"/>
      <c r="I16" s="1204"/>
    </row>
    <row r="17" spans="1:9" x14ac:dyDescent="0.2">
      <c r="A17" s="1204"/>
      <c r="B17" s="1204"/>
      <c r="C17" s="1204"/>
      <c r="D17" s="1204"/>
      <c r="E17" s="1204"/>
      <c r="F17" s="1204"/>
      <c r="G17" s="1204"/>
      <c r="H17" s="1204"/>
      <c r="I17" s="1204"/>
    </row>
    <row r="18" spans="1:9" x14ac:dyDescent="0.2">
      <c r="A18" s="1204" t="s">
        <v>3613</v>
      </c>
      <c r="B18" s="1088"/>
      <c r="C18" s="1089"/>
      <c r="D18" s="1089"/>
      <c r="E18" s="1089"/>
      <c r="F18" s="1089"/>
      <c r="G18" s="1089"/>
      <c r="H18" s="1089"/>
      <c r="I18" s="1089"/>
    </row>
    <row r="19" spans="1:9" x14ac:dyDescent="0.2">
      <c r="A19" s="1204" t="s">
        <v>3614</v>
      </c>
      <c r="B19" s="1088"/>
      <c r="C19" s="1089"/>
      <c r="D19" s="1089"/>
      <c r="E19" s="1089"/>
      <c r="F19" s="1089"/>
      <c r="G19" s="1089"/>
      <c r="H19" s="1089"/>
      <c r="I19" s="1089"/>
    </row>
    <row r="20" spans="1:9" x14ac:dyDescent="0.2">
      <c r="A20" s="1204" t="s">
        <v>3615</v>
      </c>
      <c r="B20" s="1088"/>
      <c r="C20" s="1089"/>
      <c r="D20" s="1089"/>
      <c r="E20" s="1089"/>
      <c r="F20" s="1089"/>
      <c r="G20" s="1089"/>
      <c r="H20" s="1089"/>
      <c r="I20" s="1089"/>
    </row>
    <row r="21" spans="1:9" x14ac:dyDescent="0.2">
      <c r="A21" s="1089" t="s">
        <v>3616</v>
      </c>
      <c r="B21" s="1204"/>
      <c r="C21" s="1204"/>
      <c r="D21" s="272"/>
      <c r="E21" s="272"/>
      <c r="F21" s="272"/>
      <c r="G21" s="272"/>
      <c r="H21" s="272"/>
      <c r="I21" s="272"/>
    </row>
    <row r="22" spans="1:9" x14ac:dyDescent="0.2">
      <c r="A22" s="1089" t="s">
        <v>3617</v>
      </c>
      <c r="B22" s="1204"/>
      <c r="C22" s="1204"/>
      <c r="D22" s="272"/>
      <c r="E22" s="272"/>
      <c r="F22" s="272"/>
      <c r="G22" s="272"/>
      <c r="H22" s="272"/>
      <c r="I22" s="272"/>
    </row>
    <row r="23" spans="1:9" x14ac:dyDescent="0.2">
      <c r="A23" s="1089"/>
      <c r="B23" s="1204"/>
      <c r="C23" s="1204"/>
      <c r="D23" s="272"/>
      <c r="E23" s="272"/>
      <c r="F23" s="272"/>
      <c r="G23" s="272"/>
      <c r="H23" s="272"/>
      <c r="I23" s="272"/>
    </row>
    <row r="24" spans="1:9" x14ac:dyDescent="0.2">
      <c r="A24" s="1204" t="s">
        <v>3618</v>
      </c>
      <c r="B24" s="1089"/>
      <c r="C24" s="1204"/>
      <c r="D24" s="272"/>
      <c r="E24" s="272"/>
      <c r="F24" s="272"/>
      <c r="G24" s="272"/>
      <c r="H24" s="272"/>
      <c r="I24" s="272"/>
    </row>
    <row r="25" spans="1:9" x14ac:dyDescent="0.2">
      <c r="A25" s="2580" t="s">
        <v>3619</v>
      </c>
      <c r="B25" s="2580"/>
      <c r="C25" s="2580"/>
      <c r="D25" s="2580"/>
      <c r="E25" s="272"/>
      <c r="F25" s="272"/>
      <c r="G25" s="272"/>
      <c r="H25" s="272"/>
      <c r="I25" s="272"/>
    </row>
    <row r="26" spans="1:9" x14ac:dyDescent="0.2">
      <c r="A26" s="1204"/>
      <c r="B26" s="1089"/>
      <c r="C26" s="1204"/>
      <c r="D26" s="272"/>
      <c r="E26" s="272"/>
      <c r="F26" s="272"/>
      <c r="G26" s="272"/>
      <c r="H26" s="272"/>
      <c r="I26" s="272"/>
    </row>
    <row r="27" spans="1:9" x14ac:dyDescent="0.2">
      <c r="A27" s="1204" t="s">
        <v>3620</v>
      </c>
      <c r="B27" s="1088"/>
      <c r="C27" s="1089"/>
      <c r="D27" s="1089"/>
      <c r="E27" s="1089"/>
      <c r="F27" s="1089"/>
      <c r="G27" s="1089"/>
      <c r="H27" s="1089"/>
      <c r="I27" s="1089"/>
    </row>
    <row r="28" spans="1:9" x14ac:dyDescent="0.2">
      <c r="A28" s="1088"/>
      <c r="B28" s="1088"/>
      <c r="C28" s="1090" t="s">
        <v>969</v>
      </c>
      <c r="D28" s="1369"/>
      <c r="E28" s="1089"/>
      <c r="F28" s="1089"/>
      <c r="G28" s="1089"/>
      <c r="H28" s="1089"/>
      <c r="I28" s="1089"/>
    </row>
    <row r="29" spans="1:9" x14ac:dyDescent="0.2">
      <c r="A29" s="1088"/>
      <c r="B29" s="1088"/>
      <c r="C29" s="1090" t="s">
        <v>970</v>
      </c>
      <c r="D29" s="1369"/>
      <c r="E29" s="1089"/>
      <c r="F29" s="1089"/>
      <c r="G29" s="1089"/>
      <c r="H29" s="1089"/>
      <c r="I29" s="1089"/>
    </row>
    <row r="30" spans="1:9" x14ac:dyDescent="0.2">
      <c r="A30" s="1088"/>
      <c r="B30" s="1088"/>
      <c r="C30" s="1089"/>
      <c r="D30" s="1089"/>
      <c r="E30" s="1089"/>
      <c r="F30" s="1089"/>
      <c r="G30" s="1089"/>
      <c r="H30" s="1089"/>
      <c r="I30" s="1089"/>
    </row>
    <row r="31" spans="1:9" ht="15.75" x14ac:dyDescent="0.25">
      <c r="A31" s="1089"/>
      <c r="B31" s="1088"/>
      <c r="C31" s="63"/>
      <c r="D31" s="63"/>
      <c r="E31" s="1089"/>
      <c r="F31" s="1089"/>
      <c r="G31" s="1089"/>
      <c r="H31" s="1089"/>
      <c r="I31" s="1089"/>
    </row>
    <row r="32" spans="1:9" ht="15.75" x14ac:dyDescent="0.25">
      <c r="A32" s="1344" t="s">
        <v>1955</v>
      </c>
      <c r="B32" s="1088"/>
      <c r="C32" s="63"/>
      <c r="D32" s="63"/>
      <c r="E32" s="1089"/>
      <c r="F32" s="1089"/>
      <c r="G32" s="1089"/>
      <c r="H32" s="1089"/>
      <c r="I32" s="1089"/>
    </row>
    <row r="33" spans="1:9" x14ac:dyDescent="0.2">
      <c r="A33" s="1204" t="s">
        <v>3621</v>
      </c>
      <c r="B33" s="1088"/>
      <c r="C33" s="1089"/>
      <c r="D33" s="1089"/>
      <c r="E33" s="1089"/>
      <c r="F33" s="1089"/>
      <c r="G33" s="1089"/>
      <c r="H33" s="1089"/>
      <c r="I33" s="1089"/>
    </row>
    <row r="34" spans="1:9" x14ac:dyDescent="0.2">
      <c r="A34" s="1204" t="s">
        <v>5525</v>
      </c>
      <c r="B34" s="1089"/>
      <c r="C34" s="1089"/>
      <c r="D34" s="1089"/>
      <c r="E34" s="1089"/>
      <c r="F34" s="1089"/>
      <c r="G34" s="1089"/>
      <c r="H34" s="1089"/>
      <c r="I34" s="1089"/>
    </row>
    <row r="35" spans="1:9" x14ac:dyDescent="0.2">
      <c r="A35" s="1088"/>
      <c r="B35" s="1088"/>
      <c r="C35" s="1089"/>
      <c r="D35" s="1089"/>
      <c r="E35" s="1089"/>
      <c r="F35" s="1089"/>
      <c r="G35" s="1089"/>
      <c r="H35" s="1089"/>
      <c r="I35" s="1089"/>
    </row>
    <row r="36" spans="1:9" x14ac:dyDescent="0.2">
      <c r="A36" s="61"/>
      <c r="B36" s="273"/>
      <c r="C36" s="273"/>
      <c r="D36" s="273"/>
      <c r="E36" s="273"/>
      <c r="F36" s="273"/>
      <c r="G36" s="273"/>
      <c r="H36" s="273"/>
      <c r="I36" s="1089"/>
    </row>
  </sheetData>
  <sheetProtection algorithmName="SHA-512" hashValue="0T1rBE7owaP/tg54eyA+KIdIgKHPCo55vhQ4twXeZ6fFPQief9dtUA+sZaXSRGckW+HzifcauNJvO02zE2ee2g==" saltValue="Pevc+DxgkPmA41RwVfMqSQ==" spinCount="100000" sheet="1" objects="1" scenarios="1" autoFilter="0"/>
  <mergeCells count="6">
    <mergeCell ref="J1:J3"/>
    <mergeCell ref="A25:D25"/>
    <mergeCell ref="A1:I1"/>
    <mergeCell ref="A2:I2"/>
    <mergeCell ref="A3:I3"/>
    <mergeCell ref="A11:B11"/>
  </mergeCells>
  <conditionalFormatting sqref="J1:J3">
    <cfRule type="cellIs" dxfId="130" priority="1" stopIfTrue="1" operator="equal">
      <formula>"na"</formula>
    </cfRule>
  </conditionalFormatting>
  <hyperlinks>
    <hyperlink ref="A25" r:id="rId1" xr:uid="{00000000-0004-0000-1300-000000000000}"/>
    <hyperlink ref="A1:I1" location="Index!A1" display="Index!A1" xr:uid="{00000000-0004-0000-1300-000001000000}"/>
    <hyperlink ref="A25:D25" r:id="rId2" display="Financial Reporting Update GASB 70" xr:uid="{470EFE45-D35C-48CF-97C2-6FDD911AB4CC}"/>
  </hyperlinks>
  <pageMargins left="0.7" right="0.7" top="0.75" bottom="0.75" header="0.3" footer="0.3"/>
  <pageSetup scale="97" orientation="portrait" r:id="rId3"/>
  <headerFooter>
    <oddFooter>&amp;R338</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pageSetUpPr fitToPage="1"/>
  </sheetPr>
  <dimension ref="A1:AE44"/>
  <sheetViews>
    <sheetView showGridLines="0" zoomScaleNormal="100" workbookViewId="0">
      <selection activeCell="G34" sqref="G34:G39"/>
    </sheetView>
  </sheetViews>
  <sheetFormatPr defaultColWidth="9.42578125" defaultRowHeight="11.25" x14ac:dyDescent="0.2"/>
  <cols>
    <col min="1" max="1" width="1.5703125" style="40" customWidth="1"/>
    <col min="2" max="2" width="5" style="40" bestFit="1" customWidth="1"/>
    <col min="3" max="3" width="9.5703125" style="40" customWidth="1"/>
    <col min="4" max="4" width="1.5703125" style="40" customWidth="1"/>
    <col min="5" max="5" width="14.5703125" style="40" customWidth="1"/>
    <col min="6" max="6" width="1.42578125" style="40" customWidth="1"/>
    <col min="7" max="7" width="14.5703125" style="40" customWidth="1"/>
    <col min="8" max="8" width="1.42578125" style="40" customWidth="1"/>
    <col min="9" max="9" width="14" style="40" customWidth="1"/>
    <col min="10" max="10" width="1.42578125" style="40" customWidth="1"/>
    <col min="11" max="11" width="14.5703125" style="40" customWidth="1"/>
    <col min="12" max="12" width="1.42578125" style="40" customWidth="1"/>
    <col min="13" max="13" width="8.42578125" style="40" customWidth="1"/>
    <col min="14" max="14" width="1.42578125" style="40" customWidth="1"/>
    <col min="15" max="15" width="8.42578125" style="40" customWidth="1"/>
    <col min="16" max="16" width="1.42578125" style="40" customWidth="1"/>
    <col min="17" max="17" width="32.28515625" style="40" customWidth="1"/>
    <col min="18" max="18" width="11.5703125" style="40" customWidth="1"/>
    <col min="19" max="19" width="24.42578125" style="2159" bestFit="1" customWidth="1"/>
    <col min="20" max="20" width="1.5703125" style="40" customWidth="1"/>
    <col min="21" max="21" width="8.5703125" style="40" customWidth="1"/>
    <col min="22" max="16384" width="9.42578125" style="40"/>
  </cols>
  <sheetData>
    <row r="1" spans="1:31" s="41" customFormat="1" ht="15" customHeight="1" x14ac:dyDescent="0.25">
      <c r="A1" s="2449" t="str">
        <f>+Index!$A$1</f>
        <v xml:space="preserve">                                                               Office of the State Controller                                                                </v>
      </c>
      <c r="B1" s="2449"/>
      <c r="C1" s="2449"/>
      <c r="D1" s="2449"/>
      <c r="E1" s="2449"/>
      <c r="F1" s="2449"/>
      <c r="G1" s="2449"/>
      <c r="H1" s="2449"/>
      <c r="I1" s="2449"/>
      <c r="J1" s="2449"/>
      <c r="K1" s="2449"/>
      <c r="L1" s="2449"/>
      <c r="M1" s="2449"/>
      <c r="N1" s="2449"/>
      <c r="O1" s="2449"/>
      <c r="P1" s="2449"/>
      <c r="Q1" s="2449"/>
      <c r="R1" s="2510" t="str">
        <f>IF(Index!$B$41="na","NA","")</f>
        <v/>
      </c>
      <c r="S1" s="2156"/>
      <c r="V1" s="2161" t="s">
        <v>5055</v>
      </c>
      <c r="AE1" s="42"/>
    </row>
    <row r="2" spans="1:31" s="41" customFormat="1" ht="15" customHeight="1" x14ac:dyDescent="0.25">
      <c r="A2" s="2489" t="str">
        <f>+Index!$A$2</f>
        <v>2022 ACFR Worksheets</v>
      </c>
      <c r="B2" s="2489"/>
      <c r="C2" s="2489"/>
      <c r="D2" s="2489"/>
      <c r="E2" s="2489"/>
      <c r="F2" s="2489"/>
      <c r="G2" s="2489"/>
      <c r="H2" s="2489"/>
      <c r="I2" s="2489"/>
      <c r="J2" s="2489"/>
      <c r="K2" s="2489"/>
      <c r="L2" s="2489"/>
      <c r="M2" s="2489"/>
      <c r="N2" s="2489"/>
      <c r="O2" s="2489"/>
      <c r="P2" s="2489"/>
      <c r="Q2" s="2489"/>
      <c r="R2" s="2510"/>
      <c r="S2" s="2156"/>
    </row>
    <row r="3" spans="1:31" s="41" customFormat="1" ht="15" customHeight="1" x14ac:dyDescent="0.25">
      <c r="A3" s="2489" t="s">
        <v>3704</v>
      </c>
      <c r="B3" s="2489"/>
      <c r="C3" s="2489"/>
      <c r="D3" s="2489"/>
      <c r="E3" s="2489"/>
      <c r="F3" s="2489"/>
      <c r="G3" s="2489"/>
      <c r="H3" s="2489"/>
      <c r="I3" s="2489"/>
      <c r="J3" s="2489"/>
      <c r="K3" s="2489"/>
      <c r="L3" s="2489"/>
      <c r="M3" s="2489"/>
      <c r="N3" s="2489"/>
      <c r="O3" s="2489"/>
      <c r="P3" s="2489"/>
      <c r="Q3" s="2489"/>
      <c r="R3" s="2510"/>
      <c r="S3" s="2156"/>
    </row>
    <row r="4" spans="1:31" s="132" customFormat="1" ht="13.35" customHeight="1" x14ac:dyDescent="0.2">
      <c r="H4" s="137"/>
      <c r="S4" s="2157"/>
    </row>
    <row r="5" spans="1:31" s="132" customFormat="1" ht="15" customHeight="1" x14ac:dyDescent="0.2">
      <c r="D5" s="137"/>
      <c r="J5" s="950"/>
      <c r="K5" s="134" t="s">
        <v>327</v>
      </c>
      <c r="L5" s="2591" t="str">
        <f>Index!E10</f>
        <v>01</v>
      </c>
      <c r="M5" s="2548"/>
      <c r="N5" s="2548"/>
      <c r="O5" s="2548"/>
      <c r="P5" s="2548"/>
      <c r="Q5" s="2548"/>
      <c r="R5" s="890"/>
      <c r="S5" s="2157"/>
    </row>
    <row r="6" spans="1:31" s="132" customFormat="1" ht="15" customHeight="1" x14ac:dyDescent="0.2">
      <c r="J6" s="950"/>
      <c r="K6" s="134" t="s">
        <v>1154</v>
      </c>
      <c r="L6" s="2591" t="str">
        <f>Index!E11</f>
        <v>North Carolina General Assembly</v>
      </c>
      <c r="M6" s="2548"/>
      <c r="N6" s="2548"/>
      <c r="O6" s="2548"/>
      <c r="P6" s="2548"/>
      <c r="Q6" s="2548"/>
      <c r="R6" s="890"/>
      <c r="S6" s="2157"/>
    </row>
    <row r="7" spans="1:31" s="132" customFormat="1" ht="15" customHeight="1" x14ac:dyDescent="0.2">
      <c r="A7" s="132" t="s">
        <v>477</v>
      </c>
      <c r="D7" s="2562" t="s">
        <v>805</v>
      </c>
      <c r="E7" s="2563"/>
      <c r="J7" s="951"/>
      <c r="K7" s="134" t="s">
        <v>972</v>
      </c>
      <c r="L7" s="2592" t="str">
        <f>CONCATENATE(Index!$E$12, " ", Index!$E$14)</f>
        <v xml:space="preserve"> </v>
      </c>
      <c r="M7" s="2593"/>
      <c r="N7" s="2593"/>
      <c r="O7" s="2593"/>
      <c r="P7" s="2593"/>
      <c r="Q7" s="2593"/>
      <c r="R7" s="891"/>
      <c r="S7" s="2157"/>
    </row>
    <row r="8" spans="1:31" s="132" customFormat="1" ht="15" customHeight="1" x14ac:dyDescent="0.2">
      <c r="D8" s="137"/>
      <c r="J8" s="952"/>
      <c r="K8" s="134" t="s">
        <v>348</v>
      </c>
      <c r="L8" s="2594">
        <f>Index!E13</f>
        <v>0</v>
      </c>
      <c r="M8" s="2593"/>
      <c r="N8" s="2593"/>
      <c r="O8" s="2593"/>
      <c r="P8" s="2593"/>
      <c r="Q8" s="2593"/>
      <c r="R8" s="892"/>
      <c r="S8" s="2157"/>
    </row>
    <row r="9" spans="1:31" s="132" customFormat="1" ht="6" customHeight="1" thickBot="1" x14ac:dyDescent="0.25">
      <c r="A9" s="136"/>
      <c r="B9" s="136"/>
      <c r="C9" s="136"/>
      <c r="D9" s="136"/>
      <c r="E9" s="136"/>
      <c r="F9" s="136"/>
      <c r="G9" s="136"/>
      <c r="H9" s="136"/>
      <c r="I9" s="136"/>
      <c r="J9" s="136"/>
      <c r="K9" s="136"/>
      <c r="L9" s="136"/>
      <c r="M9" s="136"/>
      <c r="N9" s="136"/>
      <c r="O9" s="136"/>
      <c r="P9" s="136"/>
      <c r="Q9" s="136"/>
      <c r="S9" s="2157"/>
    </row>
    <row r="10" spans="1:31" s="132" customFormat="1" ht="12.75" x14ac:dyDescent="0.2">
      <c r="A10" s="834"/>
      <c r="B10"/>
      <c r="C10"/>
      <c r="D10"/>
      <c r="E10"/>
      <c r="F10"/>
      <c r="G10" s="2131" t="s">
        <v>5053</v>
      </c>
      <c r="H10" s="2131"/>
      <c r="I10" s="2131" t="s">
        <v>985</v>
      </c>
      <c r="J10" s="2131"/>
      <c r="K10" s="2131" t="s">
        <v>5054</v>
      </c>
      <c r="L10"/>
      <c r="M10"/>
      <c r="N10"/>
      <c r="O10"/>
      <c r="P10"/>
      <c r="Q10"/>
      <c r="S10" s="2157"/>
    </row>
    <row r="11" spans="1:31" s="132" customFormat="1" ht="14.1" customHeight="1" x14ac:dyDescent="0.2">
      <c r="A11" s="1547" t="s">
        <v>1394</v>
      </c>
      <c r="G11" s="137" t="s">
        <v>985</v>
      </c>
      <c r="H11" s="137"/>
      <c r="I11" s="137" t="s">
        <v>985</v>
      </c>
      <c r="J11" s="137"/>
      <c r="K11" s="137" t="s">
        <v>1354</v>
      </c>
      <c r="M11" s="2597" t="s">
        <v>1717</v>
      </c>
      <c r="N11" s="2597"/>
      <c r="S11" s="2157"/>
    </row>
    <row r="12" spans="1:31" s="132" customFormat="1" ht="14.1" customHeight="1" x14ac:dyDescent="0.2">
      <c r="A12" s="2595" t="s">
        <v>3504</v>
      </c>
      <c r="B12" s="2596"/>
      <c r="C12" s="2596"/>
      <c r="D12" s="2596"/>
      <c r="E12" s="2596"/>
      <c r="G12" s="135" t="s">
        <v>1355</v>
      </c>
      <c r="H12" s="137"/>
      <c r="I12" s="953">
        <f>+Data!$A$2</f>
        <v>44742</v>
      </c>
      <c r="J12" s="137"/>
      <c r="K12" s="135" t="s">
        <v>1156</v>
      </c>
      <c r="M12" s="2598" t="s">
        <v>3503</v>
      </c>
      <c r="N12" s="2598"/>
      <c r="S12" s="2158"/>
      <c r="T12" s="137"/>
      <c r="U12" s="137"/>
      <c r="W12" s="2579"/>
      <c r="X12" s="2579"/>
      <c r="Y12" s="2579"/>
      <c r="Z12" s="137"/>
      <c r="AA12" s="137"/>
      <c r="AB12" s="137"/>
      <c r="AC12" s="137"/>
      <c r="AD12" s="137"/>
      <c r="AE12" s="137"/>
    </row>
    <row r="13" spans="1:31" s="132" customFormat="1" ht="15" customHeight="1" x14ac:dyDescent="0.2">
      <c r="A13" s="2582" t="s">
        <v>1356</v>
      </c>
      <c r="B13" s="2582"/>
      <c r="C13" s="2582"/>
      <c r="D13" s="2582"/>
      <c r="E13" s="2582"/>
      <c r="G13" s="276"/>
      <c r="I13" s="276"/>
      <c r="K13" s="276"/>
      <c r="M13" s="2589"/>
      <c r="N13" s="2589"/>
      <c r="O13" s="1193" t="s">
        <v>350</v>
      </c>
      <c r="P13" s="829" t="s">
        <v>1719</v>
      </c>
      <c r="S13" s="2157" t="s">
        <v>1356</v>
      </c>
    </row>
    <row r="14" spans="1:31" s="132" customFormat="1" ht="13.5" customHeight="1" x14ac:dyDescent="0.2">
      <c r="A14" s="2582" t="s">
        <v>1405</v>
      </c>
      <c r="B14" s="2582"/>
      <c r="C14" s="2582"/>
      <c r="D14" s="2582"/>
      <c r="E14" s="2582"/>
      <c r="G14" s="276"/>
      <c r="I14" s="276"/>
      <c r="K14" s="276"/>
      <c r="M14" s="2589"/>
      <c r="N14" s="2590"/>
      <c r="P14" s="829" t="s">
        <v>1720</v>
      </c>
      <c r="S14" s="2157" t="s">
        <v>1405</v>
      </c>
    </row>
    <row r="15" spans="1:31" s="132" customFormat="1" ht="13.5" customHeight="1" x14ac:dyDescent="0.2">
      <c r="A15" s="2582" t="s">
        <v>1406</v>
      </c>
      <c r="B15" s="2582"/>
      <c r="C15" s="2582"/>
      <c r="D15" s="2582"/>
      <c r="E15" s="2582"/>
      <c r="G15" s="276"/>
      <c r="I15" s="276"/>
      <c r="K15" s="276"/>
      <c r="M15" s="2589"/>
      <c r="N15" s="2590"/>
      <c r="P15" s="829" t="s">
        <v>4749</v>
      </c>
      <c r="S15" s="2157" t="s">
        <v>1406</v>
      </c>
      <c r="T15" s="822"/>
      <c r="U15" s="822"/>
      <c r="V15" s="822"/>
      <c r="W15" s="822"/>
    </row>
    <row r="16" spans="1:31" s="132" customFormat="1" ht="13.5" customHeight="1" x14ac:dyDescent="0.2">
      <c r="A16" s="2582" t="s">
        <v>3443</v>
      </c>
      <c r="B16" s="2582"/>
      <c r="C16" s="2582"/>
      <c r="D16" s="2582"/>
      <c r="E16" s="2582"/>
      <c r="G16" s="276"/>
      <c r="I16" s="276"/>
      <c r="K16" s="276"/>
      <c r="M16" s="2589"/>
      <c r="N16" s="2589"/>
      <c r="P16" s="829" t="s">
        <v>4748</v>
      </c>
      <c r="S16" s="2157" t="s">
        <v>3443</v>
      </c>
    </row>
    <row r="17" spans="1:21" s="132" customFormat="1" ht="13.5" customHeight="1" x14ac:dyDescent="0.2">
      <c r="A17" s="2492" t="s">
        <v>1718</v>
      </c>
      <c r="B17" s="2378"/>
      <c r="C17" s="2378"/>
      <c r="D17" s="2378"/>
      <c r="E17" s="2378"/>
      <c r="G17" s="276"/>
      <c r="I17" s="276"/>
      <c r="K17" s="276"/>
      <c r="M17" s="2589"/>
      <c r="N17" s="2590"/>
      <c r="P17" s="829" t="s">
        <v>4754</v>
      </c>
      <c r="S17" s="2157" t="s">
        <v>1718</v>
      </c>
    </row>
    <row r="18" spans="1:21" s="132" customFormat="1" ht="14.1" customHeight="1" x14ac:dyDescent="0.2">
      <c r="A18" s="2587" t="s">
        <v>4104</v>
      </c>
      <c r="B18" s="2588"/>
      <c r="C18" s="2588"/>
      <c r="D18" s="2588"/>
      <c r="E18" s="2588"/>
      <c r="G18" s="276"/>
      <c r="I18" s="276"/>
      <c r="K18" s="276"/>
      <c r="M18" s="2589"/>
      <c r="N18" s="2590"/>
      <c r="S18" s="2157" t="s">
        <v>4104</v>
      </c>
    </row>
    <row r="19" spans="1:21" s="132" customFormat="1" ht="14.1" customHeight="1" x14ac:dyDescent="0.2">
      <c r="A19" s="2587" t="s">
        <v>4284</v>
      </c>
      <c r="B19" s="2588"/>
      <c r="C19" s="2588"/>
      <c r="D19" s="2588"/>
      <c r="E19" s="2588"/>
      <c r="G19" s="276"/>
      <c r="I19" s="276"/>
      <c r="K19" s="276"/>
      <c r="M19" s="2589"/>
      <c r="N19" s="2589"/>
      <c r="S19" s="2157" t="s">
        <v>4284</v>
      </c>
    </row>
    <row r="20" spans="1:21" s="132" customFormat="1" ht="14.1" customHeight="1" x14ac:dyDescent="0.2">
      <c r="A20" s="2586" t="s">
        <v>635</v>
      </c>
      <c r="B20" s="2378"/>
      <c r="C20" s="2583"/>
      <c r="D20" s="2583"/>
      <c r="E20" s="2583"/>
      <c r="G20" s="276"/>
      <c r="I20" s="276"/>
      <c r="K20" s="276"/>
      <c r="M20" s="2589"/>
      <c r="N20" s="2590"/>
      <c r="S20" s="2131"/>
    </row>
    <row r="21" spans="1:21" s="132" customFormat="1" ht="14.1" customHeight="1" x14ac:dyDescent="0.2">
      <c r="A21" s="2586" t="s">
        <v>635</v>
      </c>
      <c r="B21" s="2378"/>
      <c r="C21" s="2584"/>
      <c r="D21" s="2585"/>
      <c r="E21" s="2585"/>
      <c r="G21" s="277"/>
      <c r="I21" s="277"/>
      <c r="K21" s="277"/>
      <c r="M21" s="2589"/>
      <c r="N21" s="2590"/>
      <c r="S21" s="2131"/>
    </row>
    <row r="22" spans="1:21" s="132" customFormat="1" ht="8.1" customHeight="1" x14ac:dyDescent="0.2">
      <c r="A22" s="825"/>
      <c r="S22" s="2157"/>
    </row>
    <row r="23" spans="1:21" s="132" customFormat="1" ht="14.1" customHeight="1" x14ac:dyDescent="0.2">
      <c r="A23" s="957" t="s">
        <v>1357</v>
      </c>
      <c r="G23" s="137" t="s">
        <v>985</v>
      </c>
      <c r="H23" s="137"/>
      <c r="I23" s="137" t="s">
        <v>985</v>
      </c>
      <c r="J23" s="137"/>
      <c r="K23" s="137" t="s">
        <v>1354</v>
      </c>
      <c r="L23" s="137"/>
      <c r="M23" s="137" t="s">
        <v>1358</v>
      </c>
      <c r="N23" s="137"/>
      <c r="O23" s="137" t="s">
        <v>1359</v>
      </c>
      <c r="P23" s="137"/>
      <c r="Q23" s="137" t="s">
        <v>1360</v>
      </c>
      <c r="R23" s="137"/>
      <c r="S23" s="2579"/>
      <c r="T23" s="2579"/>
      <c r="U23" s="2579"/>
    </row>
    <row r="24" spans="1:21" s="132" customFormat="1" ht="14.1" customHeight="1" x14ac:dyDescent="0.2">
      <c r="A24" s="2562" t="s">
        <v>598</v>
      </c>
      <c r="B24" s="2562"/>
      <c r="C24" s="2562"/>
      <c r="D24" s="2562"/>
      <c r="E24" s="2562"/>
      <c r="G24" s="135" t="s">
        <v>1355</v>
      </c>
      <c r="H24" s="137"/>
      <c r="I24" s="953">
        <f>+Data!$A$2</f>
        <v>44742</v>
      </c>
      <c r="J24" s="137"/>
      <c r="K24" s="135" t="s">
        <v>1156</v>
      </c>
      <c r="L24" s="137"/>
      <c r="M24" s="135" t="s">
        <v>1307</v>
      </c>
      <c r="N24" s="137"/>
      <c r="O24" s="135" t="s">
        <v>1307</v>
      </c>
      <c r="P24" s="137"/>
      <c r="Q24" s="137" t="s">
        <v>1361</v>
      </c>
      <c r="R24" s="137"/>
      <c r="S24" s="2158"/>
      <c r="T24" s="137"/>
      <c r="U24" s="137"/>
    </row>
    <row r="25" spans="1:21" s="132" customFormat="1" ht="15" customHeight="1" x14ac:dyDescent="0.2">
      <c r="A25" s="2587" t="s">
        <v>1362</v>
      </c>
      <c r="B25" s="2587"/>
      <c r="C25" s="2587"/>
      <c r="D25" s="2587"/>
      <c r="E25" s="2587"/>
      <c r="G25" s="276"/>
      <c r="I25" s="276"/>
      <c r="K25" s="276"/>
      <c r="M25" s="974"/>
      <c r="O25" s="975"/>
      <c r="Q25" s="959"/>
      <c r="R25" s="954" t="s">
        <v>1363</v>
      </c>
      <c r="S25" s="2157" t="s">
        <v>4103</v>
      </c>
    </row>
    <row r="26" spans="1:21" s="132" customFormat="1" ht="14.1" customHeight="1" x14ac:dyDescent="0.2">
      <c r="A26" s="2587" t="s">
        <v>1362</v>
      </c>
      <c r="B26" s="2587"/>
      <c r="C26" s="2587"/>
      <c r="D26" s="2587"/>
      <c r="E26" s="2587"/>
      <c r="G26" s="276"/>
      <c r="I26" s="276"/>
      <c r="K26" s="276"/>
      <c r="M26" s="975"/>
      <c r="O26" s="975"/>
      <c r="Q26" s="960"/>
      <c r="R26" s="954" t="s">
        <v>1364</v>
      </c>
      <c r="S26" s="2157" t="s">
        <v>4103</v>
      </c>
    </row>
    <row r="27" spans="1:21" s="132" customFormat="1" ht="14.1" customHeight="1" x14ac:dyDescent="0.2">
      <c r="A27" s="2587" t="s">
        <v>1362</v>
      </c>
      <c r="B27" s="2587"/>
      <c r="C27" s="2587"/>
      <c r="D27" s="2587"/>
      <c r="E27" s="2587"/>
      <c r="G27" s="276"/>
      <c r="I27" s="276"/>
      <c r="K27" s="276"/>
      <c r="M27" s="975"/>
      <c r="O27" s="975"/>
      <c r="Q27" s="960"/>
      <c r="R27" s="954" t="s">
        <v>1365</v>
      </c>
      <c r="S27" s="2157" t="s">
        <v>4103</v>
      </c>
    </row>
    <row r="28" spans="1:21" s="132" customFormat="1" ht="14.1" customHeight="1" x14ac:dyDescent="0.2">
      <c r="A28" s="2587" t="s">
        <v>1362</v>
      </c>
      <c r="B28" s="2587"/>
      <c r="C28" s="2587"/>
      <c r="D28" s="2587"/>
      <c r="E28" s="2587"/>
      <c r="G28" s="276"/>
      <c r="I28" s="276"/>
      <c r="K28" s="276"/>
      <c r="M28" s="975"/>
      <c r="O28" s="975"/>
      <c r="Q28" s="960"/>
      <c r="R28" s="954" t="s">
        <v>1366</v>
      </c>
      <c r="S28" s="2157" t="s">
        <v>4103</v>
      </c>
    </row>
    <row r="29" spans="1:21" s="132" customFormat="1" ht="14.1" customHeight="1" x14ac:dyDescent="0.2">
      <c r="A29" s="2587" t="s">
        <v>1362</v>
      </c>
      <c r="B29" s="2587"/>
      <c r="C29" s="2587"/>
      <c r="D29" s="2587"/>
      <c r="E29" s="2587"/>
      <c r="G29" s="276"/>
      <c r="I29" s="276"/>
      <c r="K29" s="276"/>
      <c r="M29" s="975"/>
      <c r="O29" s="975"/>
      <c r="Q29" s="960"/>
      <c r="R29" s="954" t="s">
        <v>1367</v>
      </c>
      <c r="S29" s="2157" t="s">
        <v>4103</v>
      </c>
    </row>
    <row r="30" spans="1:21" s="132" customFormat="1" ht="14.1" customHeight="1" thickBot="1" x14ac:dyDescent="0.25">
      <c r="A30" s="1722" t="s">
        <v>635</v>
      </c>
      <c r="B30" s="273"/>
      <c r="C30" s="2601"/>
      <c r="D30" s="2601"/>
      <c r="E30" s="2601"/>
      <c r="G30" s="276"/>
      <c r="I30" s="752"/>
      <c r="K30" s="276"/>
      <c r="M30" s="975"/>
      <c r="O30" s="975"/>
      <c r="Q30" s="960"/>
      <c r="R30" s="954" t="s">
        <v>1368</v>
      </c>
      <c r="S30" s="2157" t="s">
        <v>4103</v>
      </c>
    </row>
    <row r="31" spans="1:21" s="132" customFormat="1" ht="14.1" customHeight="1" thickBot="1" x14ac:dyDescent="0.25">
      <c r="A31" s="1722"/>
      <c r="B31" s="273" t="s">
        <v>84</v>
      </c>
      <c r="C31" s="273"/>
      <c r="D31" s="1618"/>
      <c r="E31" s="1618"/>
      <c r="G31" s="489"/>
      <c r="I31" s="1621">
        <f>SUM(I25:I30)</f>
        <v>0</v>
      </c>
      <c r="K31" s="749"/>
      <c r="M31" s="1619"/>
      <c r="O31" s="1619"/>
      <c r="Q31" s="1620"/>
      <c r="R31" s="954"/>
      <c r="S31" s="2157"/>
    </row>
    <row r="32" spans="1:21" s="132" customFormat="1" ht="8.1" customHeight="1" thickTop="1" x14ac:dyDescent="0.2">
      <c r="A32" s="822"/>
      <c r="S32" s="2157"/>
    </row>
    <row r="33" spans="1:21" ht="12.75" x14ac:dyDescent="0.2">
      <c r="A33" s="957" t="s">
        <v>1369</v>
      </c>
      <c r="B33" s="973"/>
      <c r="C33" s="973"/>
      <c r="D33" s="973"/>
      <c r="E33" s="973"/>
      <c r="F33"/>
      <c r="G33" s="94" t="s">
        <v>1370</v>
      </c>
      <c r="H33"/>
      <c r="I33" s="94"/>
      <c r="J33"/>
      <c r="K33"/>
      <c r="L33"/>
      <c r="M33"/>
      <c r="N33"/>
      <c r="O33"/>
      <c r="P33"/>
      <c r="Q33"/>
    </row>
    <row r="34" spans="1:21" ht="12.75" x14ac:dyDescent="0.2">
      <c r="A34" s="2595" t="s">
        <v>1371</v>
      </c>
      <c r="B34" s="2595"/>
      <c r="C34" s="2595"/>
      <c r="D34" s="2595"/>
      <c r="E34" s="2595"/>
      <c r="F34"/>
      <c r="G34" s="1147" t="s">
        <v>1739</v>
      </c>
      <c r="H34"/>
      <c r="I34" s="94"/>
      <c r="J34"/>
      <c r="K34"/>
      <c r="L34"/>
      <c r="M34"/>
      <c r="N34"/>
      <c r="O34"/>
      <c r="P34"/>
      <c r="Q34"/>
    </row>
    <row r="35" spans="1:21" ht="15" customHeight="1" x14ac:dyDescent="0.2">
      <c r="A35" s="822" t="s">
        <v>1372</v>
      </c>
      <c r="B35" s="826"/>
      <c r="D35" s="822"/>
      <c r="F35" s="822"/>
      <c r="G35" s="961"/>
      <c r="H35" s="822"/>
      <c r="I35" s="956"/>
      <c r="J35" s="822"/>
      <c r="K35" s="822"/>
      <c r="L35" s="132"/>
      <c r="M35" s="132"/>
      <c r="N35" s="132"/>
      <c r="O35" s="132"/>
      <c r="P35" s="132"/>
      <c r="Q35" s="132"/>
    </row>
    <row r="36" spans="1:21" ht="13.35" customHeight="1" x14ac:dyDescent="0.2">
      <c r="A36" s="957" t="s">
        <v>1373</v>
      </c>
      <c r="D36" s="825"/>
      <c r="F36" s="822"/>
      <c r="G36" s="826"/>
      <c r="H36" s="822"/>
      <c r="I36" s="822"/>
      <c r="J36" s="822"/>
      <c r="K36" s="822"/>
      <c r="L36" s="132"/>
      <c r="M36" s="132"/>
      <c r="N36" s="132"/>
      <c r="O36" s="132"/>
      <c r="P36" s="132"/>
      <c r="Q36" s="132"/>
    </row>
    <row r="37" spans="1:21" ht="12.6" customHeight="1" x14ac:dyDescent="0.2">
      <c r="A37" s="827" t="s">
        <v>1374</v>
      </c>
      <c r="B37" s="826"/>
      <c r="C37" s="958"/>
      <c r="D37" s="822"/>
      <c r="F37" s="822"/>
      <c r="G37" s="961"/>
      <c r="H37" s="822"/>
      <c r="I37" s="956"/>
      <c r="J37" s="822"/>
      <c r="K37" s="822"/>
      <c r="L37" s="132"/>
      <c r="M37" s="132"/>
      <c r="N37" s="132"/>
      <c r="O37" s="132"/>
      <c r="P37" s="132"/>
      <c r="Q37" s="132"/>
    </row>
    <row r="38" spans="1:21" ht="12.6" customHeight="1" x14ac:dyDescent="0.2">
      <c r="A38" s="827" t="s">
        <v>1375</v>
      </c>
      <c r="B38" s="826"/>
      <c r="C38" s="958"/>
      <c r="D38" s="825"/>
      <c r="F38" s="822"/>
      <c r="G38" s="962"/>
      <c r="H38" s="822"/>
      <c r="I38" s="956"/>
      <c r="J38" s="822"/>
      <c r="K38" s="822"/>
      <c r="L38" s="132"/>
      <c r="M38" s="132"/>
      <c r="N38" s="132"/>
      <c r="O38" s="132"/>
      <c r="P38" s="132"/>
      <c r="Q38" s="132"/>
    </row>
    <row r="39" spans="1:21" ht="12.6" customHeight="1" x14ac:dyDescent="0.2">
      <c r="A39" s="827" t="s">
        <v>1376</v>
      </c>
      <c r="B39" s="825"/>
      <c r="D39" s="822"/>
      <c r="F39" s="822"/>
      <c r="G39" s="962"/>
      <c r="H39" s="822"/>
      <c r="I39" s="956"/>
      <c r="J39" s="822"/>
      <c r="K39" s="822"/>
      <c r="L39" s="132"/>
      <c r="M39" s="132"/>
      <c r="N39" s="132"/>
      <c r="O39" s="132"/>
      <c r="P39" s="132"/>
      <c r="Q39" s="132"/>
    </row>
    <row r="40" spans="1:21" ht="12" customHeight="1" x14ac:dyDescent="0.2">
      <c r="A40" s="132"/>
      <c r="B40" s="132"/>
      <c r="C40" s="132"/>
      <c r="D40" s="132"/>
      <c r="E40" s="132"/>
      <c r="F40" s="132"/>
      <c r="G40" s="132"/>
      <c r="H40" s="132"/>
      <c r="I40" s="132"/>
      <c r="J40" s="132"/>
      <c r="K40" s="132"/>
      <c r="L40" s="132"/>
      <c r="M40" s="132"/>
      <c r="N40" s="132"/>
      <c r="O40" s="132"/>
      <c r="P40" s="132"/>
      <c r="Q40" s="132"/>
    </row>
    <row r="41" spans="1:21" ht="11.85" customHeight="1" x14ac:dyDescent="0.2">
      <c r="A41" s="2599" t="s">
        <v>5386</v>
      </c>
      <c r="B41" s="2378"/>
      <c r="C41" s="2378"/>
      <c r="D41" s="2378"/>
      <c r="E41" s="2378"/>
      <c r="F41" s="2378"/>
      <c r="G41" s="2378"/>
      <c r="H41" s="2378"/>
      <c r="I41" s="2378"/>
      <c r="J41" s="2378"/>
      <c r="K41" s="2378"/>
      <c r="L41" s="2378"/>
      <c r="M41" s="2378"/>
      <c r="N41" s="2378"/>
      <c r="O41" s="2378"/>
      <c r="P41" s="2378"/>
      <c r="Q41" s="2378"/>
      <c r="R41" s="2378"/>
      <c r="S41" s="2160"/>
      <c r="T41" s="971"/>
      <c r="U41" s="971"/>
    </row>
    <row r="42" spans="1:21" ht="11.85" customHeight="1" x14ac:dyDescent="0.2">
      <c r="A42" s="2599" t="s">
        <v>4079</v>
      </c>
      <c r="B42" s="2378"/>
      <c r="C42" s="2378"/>
      <c r="D42" s="2378"/>
      <c r="E42" s="2378"/>
      <c r="F42" s="2378"/>
      <c r="G42" s="2378"/>
      <c r="H42" s="2378"/>
      <c r="I42" s="2378"/>
      <c r="J42" s="2378"/>
      <c r="K42" s="2378"/>
      <c r="L42" s="2378"/>
      <c r="M42" s="2378"/>
      <c r="N42" s="2378"/>
      <c r="O42" s="2378"/>
      <c r="P42" s="2378"/>
      <c r="Q42" s="2378"/>
      <c r="R42" s="2378"/>
      <c r="S42" s="2160"/>
      <c r="T42" s="971"/>
      <c r="U42" s="971"/>
    </row>
    <row r="43" spans="1:21" ht="11.85" customHeight="1" x14ac:dyDescent="0.2">
      <c r="A43" s="2600" t="s">
        <v>4152</v>
      </c>
      <c r="B43" s="2448"/>
      <c r="C43" s="2448"/>
      <c r="D43" s="2448"/>
      <c r="E43" s="2448"/>
      <c r="F43" s="2448"/>
      <c r="G43" s="2448"/>
      <c r="H43" s="2448"/>
      <c r="I43" s="2448"/>
      <c r="J43" s="2448"/>
      <c r="K43" s="2448"/>
      <c r="L43" s="2448"/>
      <c r="M43" s="2448"/>
      <c r="N43" s="2448"/>
      <c r="O43" s="2448"/>
      <c r="P43" s="2448"/>
      <c r="Q43" s="2448"/>
      <c r="R43" s="2448"/>
      <c r="S43" s="2160"/>
      <c r="T43" s="971"/>
      <c r="U43" s="971"/>
    </row>
    <row r="44" spans="1:21" ht="2.1" customHeight="1" x14ac:dyDescent="0.2"/>
  </sheetData>
  <sheetProtection algorithmName="SHA-512" hashValue="NPE/aWAaSt+792YFDbUlrH+XmJrUtEGLAgbokr3pLXNfZS6UCzd4KzTjz7XkssPycXV58xokXQZP/xdSEiSq2Q==" saltValue="UQkaUVrUdSduSkwugaGxyw==" spinCount="100000" sheet="1" objects="1" scenarios="1" autoFilter="0"/>
  <customSheetViews>
    <customSheetView guid="{B08879A4-635B-4C39-9937-AC7883D562FC}" showGridLines="0">
      <selection activeCell="L5" sqref="L5:Q5"/>
      <pageMargins left="0.5" right="0.5" top="0.5" bottom="0.4" header="0.5" footer="0.25"/>
      <pageSetup orientation="landscape" r:id="rId1"/>
      <headerFooter alignWithMargins="0">
        <oddFooter>&amp;R&amp;A</oddFooter>
      </headerFooter>
    </customSheetView>
    <customSheetView guid="{9FCFC836-1CA5-48BF-958D-24D2EA94B219}" showGridLines="0">
      <selection activeCell="L5" sqref="L5:Q5"/>
      <pageMargins left="0.5" right="0.5" top="0.5" bottom="0.4" header="0.5" footer="0.25"/>
      <pageSetup orientation="landscape" r:id="rId2"/>
      <headerFooter alignWithMargins="0">
        <oddFooter>&amp;R&amp;A</oddFooter>
      </headerFooter>
    </customSheetView>
  </customSheetViews>
  <mergeCells count="45">
    <mergeCell ref="A41:R41"/>
    <mergeCell ref="A42:R42"/>
    <mergeCell ref="A43:R43"/>
    <mergeCell ref="A17:E17"/>
    <mergeCell ref="M18:N18"/>
    <mergeCell ref="M20:N20"/>
    <mergeCell ref="A27:E27"/>
    <mergeCell ref="A29:E29"/>
    <mergeCell ref="A20:B20"/>
    <mergeCell ref="M21:N21"/>
    <mergeCell ref="C30:E30"/>
    <mergeCell ref="A34:E34"/>
    <mergeCell ref="A28:E28"/>
    <mergeCell ref="A25:E25"/>
    <mergeCell ref="A26:E26"/>
    <mergeCell ref="A24:E24"/>
    <mergeCell ref="W12:Y12"/>
    <mergeCell ref="M11:N11"/>
    <mergeCell ref="M12:N12"/>
    <mergeCell ref="M13:N13"/>
    <mergeCell ref="M14:N14"/>
    <mergeCell ref="L6:Q6"/>
    <mergeCell ref="D7:E7"/>
    <mergeCell ref="L7:Q7"/>
    <mergeCell ref="L8:Q8"/>
    <mergeCell ref="A13:E13"/>
    <mergeCell ref="A12:E12"/>
    <mergeCell ref="A1:Q1"/>
    <mergeCell ref="R1:R3"/>
    <mergeCell ref="A2:Q2"/>
    <mergeCell ref="A3:Q3"/>
    <mergeCell ref="L5:Q5"/>
    <mergeCell ref="S23:U23"/>
    <mergeCell ref="A14:E14"/>
    <mergeCell ref="A15:E15"/>
    <mergeCell ref="C20:E20"/>
    <mergeCell ref="C21:E21"/>
    <mergeCell ref="A21:B21"/>
    <mergeCell ref="A19:E19"/>
    <mergeCell ref="M15:N15"/>
    <mergeCell ref="M16:N16"/>
    <mergeCell ref="A16:E16"/>
    <mergeCell ref="A18:E18"/>
    <mergeCell ref="M17:N17"/>
    <mergeCell ref="M19:N19"/>
  </mergeCells>
  <conditionalFormatting sqref="R1:R3">
    <cfRule type="cellIs" dxfId="129" priority="1" stopIfTrue="1" operator="equal">
      <formula>"na"</formula>
    </cfRule>
  </conditionalFormatting>
  <hyperlinks>
    <hyperlink ref="A1:Q1" location="Index!A1" display="Index!A1" xr:uid="{00000000-0004-0000-1400-000000000000}"/>
  </hyperlinks>
  <pageMargins left="0.5" right="0.5" top="0.5" bottom="0.4" header="0.5" footer="0.25"/>
  <pageSetup scale="89" orientation="landscape" r:id="rId3"/>
  <headerFooter alignWithMargins="0">
    <oddFooter>&amp;R&amp;A</oddFooter>
  </headerFooter>
  <ignoredErrors>
    <ignoredError sqref="O13" numberStoredAsText="1"/>
  </ignoredError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pageSetUpPr fitToPage="1"/>
  </sheetPr>
  <dimension ref="A1:AE41"/>
  <sheetViews>
    <sheetView showGridLines="0" zoomScaleNormal="100" workbookViewId="0">
      <selection activeCell="A29" sqref="A29:R29"/>
    </sheetView>
  </sheetViews>
  <sheetFormatPr defaultColWidth="9.42578125" defaultRowHeight="11.25" x14ac:dyDescent="0.2"/>
  <cols>
    <col min="1" max="1" width="3" style="40" customWidth="1"/>
    <col min="2" max="2" width="2.5703125" style="40" customWidth="1"/>
    <col min="3" max="3" width="9.42578125" style="40" customWidth="1"/>
    <col min="4" max="4" width="1.5703125" style="40" customWidth="1"/>
    <col min="5" max="5" width="13.42578125" style="40" customWidth="1"/>
    <col min="6" max="6" width="1.42578125" style="40" customWidth="1"/>
    <col min="7" max="7" width="24" style="40" customWidth="1"/>
    <col min="8" max="8" width="1.42578125" style="40" customWidth="1"/>
    <col min="9" max="9" width="14.5703125" style="40" customWidth="1"/>
    <col min="10" max="10" width="1.42578125" style="40" customWidth="1"/>
    <col min="11" max="11" width="16.5703125" style="40" customWidth="1"/>
    <col min="12" max="12" width="1.42578125" style="40" customWidth="1"/>
    <col min="13" max="13" width="14.5703125" style="40" customWidth="1"/>
    <col min="14" max="14" width="1.42578125" style="40" customWidth="1"/>
    <col min="15" max="15" width="9.5703125" style="40" customWidth="1"/>
    <col min="16" max="16" width="1.42578125" style="40" customWidth="1"/>
    <col min="17" max="17" width="9.5703125" style="40" customWidth="1"/>
    <col min="18" max="18" width="4.5703125" style="40" customWidth="1"/>
    <col min="19" max="19" width="8.5703125" style="40" customWidth="1"/>
    <col min="20" max="20" width="1.5703125" style="40" customWidth="1"/>
    <col min="21" max="21" width="8.5703125" style="40" customWidth="1"/>
    <col min="22" max="16384" width="9.42578125" style="40"/>
  </cols>
  <sheetData>
    <row r="1" spans="1:31" s="41" customFormat="1" ht="15" customHeight="1" x14ac:dyDescent="0.25">
      <c r="A1" s="2449" t="str">
        <f>+Index!$A$1</f>
        <v xml:space="preserve">                                                               Office of the State Controller                                                                </v>
      </c>
      <c r="B1" s="2449"/>
      <c r="C1" s="2449"/>
      <c r="D1" s="2449"/>
      <c r="E1" s="2449"/>
      <c r="F1" s="2449"/>
      <c r="G1" s="2449"/>
      <c r="H1" s="2449"/>
      <c r="I1" s="2449"/>
      <c r="J1" s="2449"/>
      <c r="K1" s="2449"/>
      <c r="L1" s="2449"/>
      <c r="M1" s="2449"/>
      <c r="N1" s="2449"/>
      <c r="O1" s="2449"/>
      <c r="P1" s="2449"/>
      <c r="Q1" s="2449"/>
      <c r="R1" s="2510" t="str">
        <f>IF(Index!$B$42="na","NA","")</f>
        <v/>
      </c>
      <c r="AE1" s="42"/>
    </row>
    <row r="2" spans="1:31" s="41" customFormat="1" ht="15" customHeight="1" x14ac:dyDescent="0.25">
      <c r="A2" s="2489" t="str">
        <f>+Index!$A$2</f>
        <v>2022 ACFR Worksheets</v>
      </c>
      <c r="B2" s="2489"/>
      <c r="C2" s="2489"/>
      <c r="D2" s="2489"/>
      <c r="E2" s="2489"/>
      <c r="F2" s="2489"/>
      <c r="G2" s="2489"/>
      <c r="H2" s="2489"/>
      <c r="I2" s="2489"/>
      <c r="J2" s="2489"/>
      <c r="K2" s="2489"/>
      <c r="L2" s="2489"/>
      <c r="M2" s="2489"/>
      <c r="N2" s="2489"/>
      <c r="O2" s="2489"/>
      <c r="P2" s="2489"/>
      <c r="Q2" s="2489"/>
      <c r="R2" s="2510"/>
    </row>
    <row r="3" spans="1:31" s="41" customFormat="1" ht="15" customHeight="1" x14ac:dyDescent="0.25">
      <c r="A3" s="2489" t="s">
        <v>3705</v>
      </c>
      <c r="B3" s="2489"/>
      <c r="C3" s="2489"/>
      <c r="D3" s="2489"/>
      <c r="E3" s="2489"/>
      <c r="F3" s="2489"/>
      <c r="G3" s="2489"/>
      <c r="H3" s="2489"/>
      <c r="I3" s="2489"/>
      <c r="J3" s="2489"/>
      <c r="K3" s="2489"/>
      <c r="L3" s="2489"/>
      <c r="M3" s="2489"/>
      <c r="N3" s="2489"/>
      <c r="O3" s="2489"/>
      <c r="P3" s="2489"/>
      <c r="Q3" s="2489"/>
      <c r="R3" s="2510"/>
    </row>
    <row r="4" spans="1:31" s="132" customFormat="1" ht="15" customHeight="1" x14ac:dyDescent="0.2">
      <c r="H4" s="137"/>
    </row>
    <row r="5" spans="1:31" s="132" customFormat="1" ht="15" customHeight="1" x14ac:dyDescent="0.2">
      <c r="D5" s="137"/>
      <c r="J5" s="950"/>
      <c r="K5" s="134" t="s">
        <v>327</v>
      </c>
      <c r="L5" s="2591" t="str">
        <f>Index!E10</f>
        <v>01</v>
      </c>
      <c r="M5" s="2548"/>
      <c r="N5" s="2548"/>
      <c r="O5" s="2548"/>
      <c r="P5" s="2548"/>
      <c r="Q5" s="2548"/>
      <c r="R5" s="890"/>
    </row>
    <row r="6" spans="1:31" s="132" customFormat="1" ht="15" customHeight="1" x14ac:dyDescent="0.2">
      <c r="J6" s="950"/>
      <c r="K6" s="134" t="s">
        <v>1154</v>
      </c>
      <c r="L6" s="2591" t="str">
        <f>Index!E11</f>
        <v>North Carolina General Assembly</v>
      </c>
      <c r="M6" s="2548"/>
      <c r="N6" s="2548"/>
      <c r="O6" s="2548"/>
      <c r="P6" s="2548"/>
      <c r="Q6" s="2548"/>
      <c r="R6" s="890"/>
    </row>
    <row r="7" spans="1:31" s="132" customFormat="1" ht="15" customHeight="1" x14ac:dyDescent="0.2">
      <c r="A7" s="132" t="s">
        <v>477</v>
      </c>
      <c r="D7" s="2562" t="s">
        <v>805</v>
      </c>
      <c r="E7" s="2563"/>
      <c r="J7" s="951"/>
      <c r="K7" s="134" t="s">
        <v>972</v>
      </c>
      <c r="L7" s="2592" t="str">
        <f>CONCATENATE(Index!$E$12, " ", Index!$E$14)</f>
        <v xml:space="preserve"> </v>
      </c>
      <c r="M7" s="2593"/>
      <c r="N7" s="2593"/>
      <c r="O7" s="2593"/>
      <c r="P7" s="2593"/>
      <c r="Q7" s="2593"/>
      <c r="R7" s="891"/>
    </row>
    <row r="8" spans="1:31" s="132" customFormat="1" ht="15" customHeight="1" x14ac:dyDescent="0.2">
      <c r="D8" s="137"/>
      <c r="J8" s="952"/>
      <c r="K8" s="134" t="s">
        <v>348</v>
      </c>
      <c r="L8" s="2594">
        <f>Index!E13</f>
        <v>0</v>
      </c>
      <c r="M8" s="2593"/>
      <c r="N8" s="2593"/>
      <c r="O8" s="2593"/>
      <c r="P8" s="2593"/>
      <c r="Q8" s="2593"/>
      <c r="R8" s="892"/>
    </row>
    <row r="9" spans="1:31" s="132" customFormat="1" ht="6" customHeight="1" thickBot="1" x14ac:dyDescent="0.25">
      <c r="A9" s="136"/>
      <c r="B9" s="136"/>
      <c r="C9" s="136"/>
      <c r="D9" s="136"/>
      <c r="E9" s="136"/>
      <c r="F9" s="136"/>
      <c r="G9" s="136"/>
      <c r="H9" s="136"/>
      <c r="I9" s="136"/>
      <c r="J9" s="136"/>
      <c r="K9" s="136"/>
      <c r="L9" s="136"/>
      <c r="M9" s="136"/>
      <c r="N9" s="136"/>
      <c r="O9" s="136"/>
      <c r="P9" s="136"/>
      <c r="Q9" s="136"/>
    </row>
    <row r="10" spans="1:31" s="132" customFormat="1" ht="12" customHeight="1" x14ac:dyDescent="0.2">
      <c r="A10" s="834"/>
      <c r="B10"/>
      <c r="C10"/>
      <c r="D10"/>
      <c r="E10"/>
      <c r="F10"/>
      <c r="G10"/>
      <c r="H10"/>
      <c r="I10"/>
      <c r="J10"/>
      <c r="K10"/>
      <c r="L10"/>
      <c r="M10"/>
      <c r="N10"/>
      <c r="O10"/>
      <c r="P10"/>
      <c r="Q10"/>
    </row>
    <row r="11" spans="1:31" s="132" customFormat="1" ht="14.1" customHeight="1" x14ac:dyDescent="0.2">
      <c r="A11" s="2607"/>
      <c r="B11" s="2607"/>
      <c r="C11" s="2607"/>
      <c r="D11" s="2607"/>
      <c r="E11" s="2607"/>
      <c r="O11" s="2579" t="s">
        <v>1206</v>
      </c>
      <c r="P11" s="2579"/>
      <c r="Q11" s="2579"/>
      <c r="S11" s="137"/>
      <c r="T11" s="137"/>
      <c r="U11" s="137"/>
    </row>
    <row r="12" spans="1:31" s="132" customFormat="1" ht="14.1" customHeight="1" x14ac:dyDescent="0.2">
      <c r="A12" s="2607"/>
      <c r="B12" s="2607"/>
      <c r="C12" s="2607"/>
      <c r="D12" s="2607"/>
      <c r="E12" s="2607"/>
      <c r="G12" s="137" t="s">
        <v>1377</v>
      </c>
      <c r="H12" s="137"/>
      <c r="I12" s="137" t="s">
        <v>1378</v>
      </c>
      <c r="J12" s="137"/>
      <c r="K12" s="137" t="s">
        <v>1206</v>
      </c>
      <c r="L12" s="137"/>
      <c r="M12" s="137" t="s">
        <v>1379</v>
      </c>
      <c r="N12" s="137"/>
      <c r="O12" s="2562" t="s">
        <v>1380</v>
      </c>
      <c r="P12" s="2562"/>
      <c r="Q12" s="2562"/>
      <c r="R12" s="137"/>
      <c r="S12" s="2579"/>
      <c r="T12" s="2579"/>
      <c r="U12" s="2579"/>
    </row>
    <row r="13" spans="1:31" s="132" customFormat="1" ht="14.1" customHeight="1" x14ac:dyDescent="0.2">
      <c r="A13" s="2605" t="s">
        <v>1357</v>
      </c>
      <c r="B13" s="2605"/>
      <c r="C13" s="2605"/>
      <c r="D13" s="2605"/>
      <c r="E13" s="2605"/>
      <c r="G13" s="135" t="s">
        <v>1381</v>
      </c>
      <c r="H13" s="137"/>
      <c r="I13" s="953" t="s">
        <v>1382</v>
      </c>
      <c r="J13" s="137"/>
      <c r="K13" s="135" t="s">
        <v>1097</v>
      </c>
      <c r="L13" s="137"/>
      <c r="M13" s="135" t="s">
        <v>1383</v>
      </c>
      <c r="N13" s="137"/>
      <c r="O13" s="135" t="s">
        <v>1384</v>
      </c>
      <c r="P13" s="137"/>
      <c r="Q13" s="135" t="s">
        <v>264</v>
      </c>
      <c r="R13" s="137"/>
      <c r="S13" s="137"/>
      <c r="T13" s="137"/>
      <c r="U13" s="137"/>
    </row>
    <row r="14" spans="1:31" s="132" customFormat="1" ht="16.350000000000001" customHeight="1" x14ac:dyDescent="0.25">
      <c r="A14" s="2606" t="s">
        <v>1362</v>
      </c>
      <c r="B14" s="2606"/>
      <c r="C14" s="2606"/>
      <c r="D14" s="2606"/>
      <c r="E14" s="2606"/>
      <c r="G14" s="963"/>
      <c r="I14" s="276">
        <v>0</v>
      </c>
      <c r="K14" s="963"/>
      <c r="M14" s="276"/>
      <c r="O14" s="977"/>
      <c r="Q14" s="959"/>
      <c r="R14" s="954"/>
    </row>
    <row r="15" spans="1:31" s="132" customFormat="1" ht="14.85" customHeight="1" x14ac:dyDescent="0.25">
      <c r="A15" s="2606" t="s">
        <v>1362</v>
      </c>
      <c r="B15" s="2606"/>
      <c r="C15" s="2606"/>
      <c r="D15" s="2606"/>
      <c r="E15" s="2606"/>
      <c r="G15" s="963"/>
      <c r="I15" s="276">
        <v>0</v>
      </c>
      <c r="K15" s="963"/>
      <c r="M15" s="276">
        <v>0</v>
      </c>
      <c r="O15" s="977"/>
      <c r="Q15" s="960"/>
      <c r="R15" s="954"/>
    </row>
    <row r="16" spans="1:31" s="132" customFormat="1" ht="14.85" customHeight="1" x14ac:dyDescent="0.25">
      <c r="A16" s="2606" t="s">
        <v>1362</v>
      </c>
      <c r="B16" s="2606"/>
      <c r="C16" s="2606"/>
      <c r="D16" s="2606"/>
      <c r="E16" s="2606"/>
      <c r="G16" s="963"/>
      <c r="I16" s="276">
        <v>0</v>
      </c>
      <c r="K16" s="963"/>
      <c r="M16" s="276">
        <v>0</v>
      </c>
      <c r="O16" s="977"/>
      <c r="Q16" s="960"/>
      <c r="R16" s="954"/>
    </row>
    <row r="17" spans="1:21" s="132" customFormat="1" ht="14.85" customHeight="1" x14ac:dyDescent="0.25">
      <c r="A17" s="2606" t="s">
        <v>1362</v>
      </c>
      <c r="B17" s="2606"/>
      <c r="C17" s="2606"/>
      <c r="D17" s="2606"/>
      <c r="E17" s="2606"/>
      <c r="G17" s="963"/>
      <c r="I17" s="276">
        <v>0</v>
      </c>
      <c r="K17" s="963"/>
      <c r="M17" s="276"/>
      <c r="O17" s="977"/>
      <c r="Q17" s="960"/>
      <c r="R17" s="954"/>
    </row>
    <row r="18" spans="1:21" s="132" customFormat="1" ht="14.85" customHeight="1" x14ac:dyDescent="0.25">
      <c r="A18" s="2606" t="s">
        <v>1362</v>
      </c>
      <c r="B18" s="2606"/>
      <c r="C18" s="2606"/>
      <c r="D18" s="2606"/>
      <c r="E18" s="2606"/>
      <c r="G18" s="963"/>
      <c r="I18" s="276">
        <v>0</v>
      </c>
      <c r="K18" s="963"/>
      <c r="M18" s="276"/>
      <c r="O18" s="977"/>
      <c r="Q18" s="960"/>
      <c r="R18" s="954"/>
    </row>
    <row r="19" spans="1:21" s="132" customFormat="1" ht="14.85" customHeight="1" x14ac:dyDescent="0.25">
      <c r="A19" s="955" t="s">
        <v>635</v>
      </c>
      <c r="C19" s="2583"/>
      <c r="D19" s="2583"/>
      <c r="E19" s="2583"/>
      <c r="G19" s="963"/>
      <c r="I19" s="276">
        <v>0</v>
      </c>
      <c r="K19" s="963"/>
      <c r="M19" s="276"/>
      <c r="O19" s="977"/>
      <c r="Q19" s="960"/>
      <c r="R19" s="954"/>
    </row>
    <row r="20" spans="1:21" s="132" customFormat="1" ht="14.85" customHeight="1" x14ac:dyDescent="0.25">
      <c r="A20" s="955" t="s">
        <v>635</v>
      </c>
      <c r="C20" s="2584"/>
      <c r="D20" s="2584"/>
      <c r="E20" s="2584"/>
      <c r="G20" s="963"/>
      <c r="I20" s="276">
        <v>0</v>
      </c>
      <c r="K20" s="964"/>
      <c r="M20" s="276"/>
      <c r="O20" s="977"/>
      <c r="Q20" s="960"/>
      <c r="R20" s="954"/>
    </row>
    <row r="21" spans="1:21" s="132" customFormat="1" ht="4.3499999999999996" customHeight="1" x14ac:dyDescent="0.25">
      <c r="A21" s="955"/>
      <c r="C21" s="965"/>
      <c r="D21" s="965"/>
      <c r="E21" s="965"/>
      <c r="G21" s="966"/>
      <c r="I21" s="749"/>
      <c r="K21" s="967"/>
      <c r="M21" s="749"/>
      <c r="O21" s="968"/>
      <c r="Q21" s="969"/>
      <c r="R21" s="954"/>
    </row>
    <row r="22" spans="1:21" s="132" customFormat="1" ht="14.85" customHeight="1" x14ac:dyDescent="0.25">
      <c r="A22" s="2491" t="s">
        <v>1385</v>
      </c>
      <c r="B22" s="2378"/>
      <c r="C22" s="2378"/>
      <c r="D22" s="2378"/>
      <c r="E22" s="2378"/>
      <c r="F22" s="2378"/>
      <c r="G22" s="2378"/>
      <c r="I22" s="970">
        <f>-SUM(M14:M20)</f>
        <v>0</v>
      </c>
      <c r="K22" s="967"/>
      <c r="M22" s="749"/>
      <c r="O22" s="968"/>
      <c r="Q22" s="969"/>
      <c r="R22" s="954"/>
    </row>
    <row r="23" spans="1:21" ht="14.85" customHeight="1" x14ac:dyDescent="0.25">
      <c r="A23" s="2491" t="s">
        <v>1386</v>
      </c>
      <c r="B23" s="2378"/>
      <c r="C23" s="2378"/>
      <c r="D23" s="2378"/>
      <c r="E23" s="2378"/>
      <c r="F23" s="2378"/>
      <c r="G23" s="2378"/>
      <c r="H23" s="132"/>
      <c r="I23" s="729"/>
      <c r="J23" s="132"/>
      <c r="K23" s="978"/>
      <c r="L23" s="132"/>
      <c r="M23" s="132"/>
      <c r="N23" s="132"/>
      <c r="O23" s="132"/>
      <c r="P23" s="132"/>
      <c r="Q23" s="132"/>
    </row>
    <row r="24" spans="1:21" ht="14.85" customHeight="1" x14ac:dyDescent="0.25">
      <c r="A24" s="2491" t="s">
        <v>1386</v>
      </c>
      <c r="B24" s="2378"/>
      <c r="C24" s="2378"/>
      <c r="D24" s="2378"/>
      <c r="E24" s="2378"/>
      <c r="F24" s="2378"/>
      <c r="G24" s="2378"/>
      <c r="H24" s="132"/>
      <c r="I24" s="729"/>
      <c r="J24" s="132"/>
      <c r="K24" s="979"/>
      <c r="L24" s="132"/>
      <c r="M24" s="132"/>
      <c r="N24" s="132"/>
      <c r="O24" s="132"/>
      <c r="P24" s="132"/>
      <c r="Q24" s="132"/>
    </row>
    <row r="25" spans="1:21" ht="14.85" customHeight="1" x14ac:dyDescent="0.25">
      <c r="A25" s="2491" t="s">
        <v>1386</v>
      </c>
      <c r="B25" s="2378"/>
      <c r="C25" s="2378"/>
      <c r="D25" s="2378"/>
      <c r="E25" s="2378"/>
      <c r="F25" s="2378"/>
      <c r="G25" s="2378"/>
      <c r="H25" s="132"/>
      <c r="I25" s="729"/>
      <c r="J25" s="132"/>
      <c r="K25" s="979"/>
      <c r="L25" s="132"/>
      <c r="M25" s="132"/>
      <c r="N25" s="132"/>
      <c r="O25" s="132"/>
      <c r="P25" s="132"/>
      <c r="Q25" s="132"/>
    </row>
    <row r="26" spans="1:21" ht="14.85" customHeight="1" x14ac:dyDescent="0.25">
      <c r="A26" s="2491" t="s">
        <v>1386</v>
      </c>
      <c r="B26" s="2378"/>
      <c r="C26" s="2378"/>
      <c r="D26" s="2378"/>
      <c r="E26" s="2378"/>
      <c r="F26" s="2378"/>
      <c r="G26" s="2378"/>
      <c r="H26" s="132"/>
      <c r="I26" s="729"/>
      <c r="J26" s="132"/>
      <c r="K26" s="979"/>
      <c r="L26" s="132"/>
      <c r="M26" s="132"/>
      <c r="N26" s="132"/>
      <c r="O26" s="132"/>
      <c r="P26" s="132"/>
      <c r="Q26" s="132"/>
    </row>
    <row r="27" spans="1:21" ht="15" customHeight="1" thickBot="1" x14ac:dyDescent="0.25">
      <c r="A27" s="2602" t="s">
        <v>1387</v>
      </c>
      <c r="B27" s="2602"/>
      <c r="C27" s="2602"/>
      <c r="D27" s="2602"/>
      <c r="E27" s="2602"/>
      <c r="F27" s="2603"/>
      <c r="G27" s="2603"/>
      <c r="I27" s="673">
        <f>SUM(I14:I26)</f>
        <v>0</v>
      </c>
    </row>
    <row r="28" spans="1:21" ht="12" customHeight="1" thickTop="1" x14ac:dyDescent="0.2"/>
    <row r="29" spans="1:21" ht="12.75" x14ac:dyDescent="0.2">
      <c r="A29" s="2599" t="s">
        <v>5387</v>
      </c>
      <c r="B29" s="2378"/>
      <c r="C29" s="2378"/>
      <c r="D29" s="2378"/>
      <c r="E29" s="2378"/>
      <c r="F29" s="2378"/>
      <c r="G29" s="2378"/>
      <c r="H29" s="2378"/>
      <c r="I29" s="2378"/>
      <c r="J29" s="2378"/>
      <c r="K29" s="2378"/>
      <c r="L29" s="2378"/>
      <c r="M29" s="2378"/>
      <c r="N29" s="2378"/>
      <c r="O29" s="2378"/>
      <c r="P29" s="2378"/>
      <c r="Q29" s="2378"/>
      <c r="R29" s="2378"/>
      <c r="S29" s="971"/>
      <c r="T29" s="971"/>
      <c r="U29" s="971"/>
    </row>
    <row r="30" spans="1:21" ht="12.75" x14ac:dyDescent="0.2">
      <c r="A30" s="2604" t="s">
        <v>1567</v>
      </c>
      <c r="B30" s="2378"/>
      <c r="C30" s="2378"/>
      <c r="D30" s="2378"/>
      <c r="E30" s="2378"/>
      <c r="F30" s="2378"/>
      <c r="G30" s="2378"/>
      <c r="H30" s="2378"/>
      <c r="I30" s="2378"/>
      <c r="J30" s="2378"/>
      <c r="K30" s="2378"/>
      <c r="L30" s="2378"/>
      <c r="M30" s="2378"/>
      <c r="N30" s="2378"/>
      <c r="O30" s="2378"/>
      <c r="P30" s="2378"/>
      <c r="Q30" s="2378"/>
      <c r="R30" s="2378"/>
      <c r="S30" s="971"/>
      <c r="T30" s="971"/>
      <c r="U30" s="971"/>
    </row>
    <row r="31" spans="1:21" ht="12.75" x14ac:dyDescent="0.2">
      <c r="A31" s="2599" t="s">
        <v>4672</v>
      </c>
      <c r="B31" s="2378"/>
      <c r="C31" s="2378"/>
      <c r="D31" s="2378"/>
      <c r="E31" s="2378"/>
      <c r="F31" s="2378"/>
      <c r="G31" s="2378"/>
      <c r="H31" s="2378"/>
      <c r="I31" s="2378"/>
      <c r="J31" s="2378"/>
      <c r="K31" s="2378"/>
      <c r="L31" s="2378"/>
      <c r="M31" s="2378"/>
      <c r="N31" s="2378"/>
      <c r="O31" s="2378"/>
      <c r="P31" s="2378"/>
      <c r="Q31" s="2378"/>
      <c r="R31" s="2378"/>
      <c r="S31" s="971"/>
      <c r="T31" s="971"/>
      <c r="U31" s="971"/>
    </row>
    <row r="32" spans="1:21" ht="10.35" customHeight="1" x14ac:dyDescent="0.2">
      <c r="A32" s="971"/>
      <c r="B32" s="971"/>
      <c r="C32" s="971"/>
      <c r="D32" s="971"/>
      <c r="E32" s="971"/>
      <c r="F32" s="971"/>
      <c r="G32" s="971"/>
      <c r="H32" s="971"/>
      <c r="I32" s="971"/>
      <c r="J32" s="971"/>
      <c r="K32" s="971"/>
      <c r="L32" s="971"/>
      <c r="M32" s="971"/>
      <c r="N32" s="971"/>
      <c r="O32" s="971"/>
      <c r="P32" s="971"/>
      <c r="Q32" s="971"/>
      <c r="R32" s="971"/>
      <c r="S32" s="971"/>
      <c r="T32" s="971"/>
      <c r="U32" s="971"/>
    </row>
    <row r="33" spans="1:17" ht="14.1" customHeight="1" x14ac:dyDescent="0.2"/>
    <row r="34" spans="1:17" ht="12.6" customHeight="1" x14ac:dyDescent="0.2">
      <c r="A34" s="972" t="s">
        <v>350</v>
      </c>
      <c r="B34" s="829" t="s">
        <v>4750</v>
      </c>
      <c r="C34" s="831"/>
      <c r="D34" s="831"/>
      <c r="E34" s="831"/>
      <c r="F34" s="831"/>
      <c r="G34" s="831"/>
      <c r="H34" s="831"/>
      <c r="I34" s="831"/>
      <c r="J34" s="831"/>
      <c r="K34" s="831"/>
      <c r="L34" s="831"/>
      <c r="M34" s="831"/>
      <c r="N34" s="831"/>
      <c r="O34" s="831"/>
      <c r="P34" s="831"/>
      <c r="Q34" s="831"/>
    </row>
    <row r="35" spans="1:17" ht="12.6" customHeight="1" x14ac:dyDescent="0.2">
      <c r="A35" s="972"/>
      <c r="B35" s="829" t="s">
        <v>4673</v>
      </c>
      <c r="C35" s="831"/>
      <c r="D35" s="831"/>
      <c r="E35" s="831"/>
      <c r="F35" s="831"/>
      <c r="G35" s="831"/>
      <c r="H35" s="831"/>
      <c r="I35" s="831"/>
      <c r="J35" s="831"/>
      <c r="K35" s="831"/>
      <c r="L35" s="831"/>
      <c r="M35" s="831"/>
      <c r="N35" s="831"/>
      <c r="O35" s="831"/>
      <c r="P35" s="831"/>
      <c r="Q35" s="831"/>
    </row>
    <row r="36" spans="1:17" ht="6" customHeight="1" x14ac:dyDescent="0.2">
      <c r="A36" s="831"/>
      <c r="B36" s="831"/>
      <c r="C36" s="831"/>
      <c r="D36" s="831"/>
      <c r="E36" s="831"/>
      <c r="F36" s="831"/>
      <c r="G36" s="831"/>
      <c r="H36" s="831"/>
      <c r="I36" s="831"/>
      <c r="J36" s="831"/>
      <c r="K36" s="831"/>
      <c r="L36" s="831"/>
      <c r="M36" s="831"/>
      <c r="N36" s="831"/>
      <c r="O36" s="831"/>
      <c r="P36" s="831"/>
      <c r="Q36" s="831"/>
    </row>
    <row r="37" spans="1:17" ht="12.6" customHeight="1" x14ac:dyDescent="0.2">
      <c r="A37" s="972" t="s">
        <v>1388</v>
      </c>
      <c r="B37" s="829" t="s">
        <v>1389</v>
      </c>
      <c r="C37" s="831"/>
      <c r="D37" s="831"/>
      <c r="E37" s="831"/>
      <c r="F37" s="831"/>
      <c r="G37" s="831"/>
      <c r="H37" s="831"/>
      <c r="I37" s="831"/>
      <c r="J37" s="831"/>
      <c r="K37" s="831"/>
      <c r="L37" s="831"/>
      <c r="M37" s="831"/>
      <c r="N37" s="831"/>
      <c r="O37" s="831"/>
      <c r="P37" s="831"/>
      <c r="Q37" s="831"/>
    </row>
    <row r="38" spans="1:17" ht="12.6" customHeight="1" x14ac:dyDescent="0.2">
      <c r="A38" s="831"/>
      <c r="B38" s="829" t="s">
        <v>4751</v>
      </c>
      <c r="C38" s="831"/>
      <c r="D38" s="831"/>
      <c r="E38" s="831"/>
      <c r="F38" s="831"/>
      <c r="G38" s="831"/>
      <c r="H38" s="831"/>
      <c r="I38" s="831"/>
      <c r="J38" s="831"/>
      <c r="K38" s="831"/>
      <c r="L38" s="831"/>
      <c r="M38" s="831"/>
      <c r="N38" s="831"/>
      <c r="O38" s="831"/>
      <c r="P38" s="831"/>
      <c r="Q38" s="831"/>
    </row>
    <row r="39" spans="1:17" ht="12.6" customHeight="1" x14ac:dyDescent="0.2">
      <c r="A39" s="831"/>
      <c r="B39" s="829" t="s">
        <v>1391</v>
      </c>
      <c r="C39" s="831"/>
      <c r="D39" s="831"/>
      <c r="E39" s="831"/>
      <c r="F39" s="831"/>
      <c r="G39" s="831"/>
      <c r="H39" s="831"/>
      <c r="I39" s="831"/>
      <c r="J39" s="831"/>
      <c r="K39" s="831"/>
      <c r="L39" s="831"/>
      <c r="M39" s="831"/>
      <c r="N39" s="831"/>
      <c r="O39" s="831"/>
      <c r="P39" s="831"/>
      <c r="Q39" s="831"/>
    </row>
    <row r="40" spans="1:17" ht="6" customHeight="1" x14ac:dyDescent="0.2">
      <c r="A40" s="831"/>
      <c r="B40" s="831"/>
      <c r="C40" s="831"/>
      <c r="D40" s="831"/>
      <c r="E40" s="831"/>
      <c r="F40" s="831"/>
      <c r="G40" s="831"/>
      <c r="H40" s="831"/>
      <c r="I40" s="831"/>
      <c r="J40" s="831"/>
      <c r="K40" s="831"/>
      <c r="L40" s="831"/>
      <c r="M40" s="831"/>
      <c r="N40" s="831"/>
      <c r="O40" s="831"/>
      <c r="P40" s="831"/>
      <c r="Q40" s="831"/>
    </row>
    <row r="41" spans="1:17" ht="12.6" customHeight="1" x14ac:dyDescent="0.2">
      <c r="A41" s="972" t="s">
        <v>1392</v>
      </c>
      <c r="B41" s="829" t="s">
        <v>1393</v>
      </c>
      <c r="C41" s="831"/>
      <c r="D41" s="831"/>
      <c r="E41" s="831"/>
      <c r="F41" s="831"/>
      <c r="G41" s="831"/>
      <c r="H41" s="831"/>
      <c r="I41" s="831"/>
      <c r="J41" s="831"/>
      <c r="K41" s="831"/>
      <c r="L41" s="831"/>
      <c r="M41" s="831"/>
      <c r="N41" s="831"/>
      <c r="O41" s="831"/>
      <c r="P41" s="831"/>
      <c r="Q41" s="831"/>
    </row>
  </sheetData>
  <sheetProtection algorithmName="SHA-512" hashValue="fF75oHL/SsrRTe4j7KZGWiVhfUK1N5URUKxXZHfhw9xFuU/bF5mEsu9gik64q4wUKG+MnZZCbzT7BYXY2x5WnQ==" saltValue="CI/GzJcIKk6Y6Flmw9aCHA==" spinCount="100000" sheet="1" objects="1" scenarios="1" autoFilter="0"/>
  <customSheetViews>
    <customSheetView guid="{B08879A4-635B-4C39-9937-AC7883D562FC}" showGridLines="0" fitToPage="1">
      <selection activeCell="D38" sqref="D38"/>
      <pageMargins left="0.45" right="0.4" top="0.5" bottom="0.5" header="0.5" footer="0.25"/>
      <pageSetup orientation="landscape" r:id="rId1"/>
      <headerFooter alignWithMargins="0">
        <oddFooter>&amp;R&amp;A</oddFooter>
      </headerFooter>
    </customSheetView>
    <customSheetView guid="{9FCFC836-1CA5-48BF-958D-24D2EA94B219}" showGridLines="0" fitToPage="1">
      <selection activeCell="D38" sqref="D38"/>
      <pageMargins left="0.45" right="0.4" top="0.5" bottom="0.5" header="0.5" footer="0.25"/>
      <pageSetup orientation="landscape" r:id="rId2"/>
      <headerFooter alignWithMargins="0">
        <oddFooter>&amp;R&amp;A</oddFooter>
      </headerFooter>
    </customSheetView>
  </customSheetViews>
  <mergeCells count="31">
    <mergeCell ref="L6:Q6"/>
    <mergeCell ref="A1:Q1"/>
    <mergeCell ref="R1:R3"/>
    <mergeCell ref="A2:Q2"/>
    <mergeCell ref="A3:Q3"/>
    <mergeCell ref="L5:Q5"/>
    <mergeCell ref="A18:E18"/>
    <mergeCell ref="C19:E19"/>
    <mergeCell ref="C20:E20"/>
    <mergeCell ref="D7:E7"/>
    <mergeCell ref="L7:Q7"/>
    <mergeCell ref="L8:Q8"/>
    <mergeCell ref="A11:E11"/>
    <mergeCell ref="O11:Q11"/>
    <mergeCell ref="A12:E12"/>
    <mergeCell ref="O12:Q12"/>
    <mergeCell ref="A17:E17"/>
    <mergeCell ref="S12:U12"/>
    <mergeCell ref="A13:E13"/>
    <mergeCell ref="A14:E14"/>
    <mergeCell ref="A15:E15"/>
    <mergeCell ref="A16:E16"/>
    <mergeCell ref="A31:R31"/>
    <mergeCell ref="A22:G22"/>
    <mergeCell ref="A23:G23"/>
    <mergeCell ref="A24:G24"/>
    <mergeCell ref="A25:G25"/>
    <mergeCell ref="A26:G26"/>
    <mergeCell ref="A27:G27"/>
    <mergeCell ref="A29:R29"/>
    <mergeCell ref="A30:R30"/>
  </mergeCells>
  <conditionalFormatting sqref="R1:R3">
    <cfRule type="cellIs" dxfId="128" priority="1" stopIfTrue="1" operator="equal">
      <formula>"na"</formula>
    </cfRule>
  </conditionalFormatting>
  <dataValidations count="2">
    <dataValidation type="decimal" operator="lessThanOrEqual" allowBlank="1" showErrorMessage="1" errorTitle="Invalid Data" error="Amount Must Be Negative" promptTitle="Negative Message" prompt="Must Enter a Negative Number" sqref="I23:I26" xr:uid="{00000000-0002-0000-1500-000000000000}">
      <formula1>0</formula1>
    </dataValidation>
    <dataValidation type="decimal" operator="greaterThanOrEqual" allowBlank="1" showErrorMessage="1" errorTitle="Invalid Data" error="Exclude Derivatives with Negative Fair Values (See Note 1)" sqref="I14:I20" xr:uid="{00000000-0002-0000-1500-000001000000}">
      <formula1>0</formula1>
    </dataValidation>
  </dataValidations>
  <hyperlinks>
    <hyperlink ref="A1:Q1" location="Index!A1" display="Index!A1" xr:uid="{00000000-0004-0000-1500-000000000000}"/>
  </hyperlinks>
  <pageMargins left="0.45" right="0.4" top="0.5" bottom="0.5" header="0.5" footer="0.25"/>
  <pageSetup orientation="landscape" r:id="rId3"/>
  <headerFooter alignWithMargins="0">
    <oddFooter>&amp;R&amp;A</oddFooter>
  </headerFooter>
  <ignoredErrors>
    <ignoredError sqref="A34 A37 A41"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pageSetUpPr fitToPage="1"/>
  </sheetPr>
  <dimension ref="A1:AE40"/>
  <sheetViews>
    <sheetView showGridLines="0" zoomScaleNormal="100" workbookViewId="0">
      <selection activeCell="A29" sqref="A29:Q29"/>
    </sheetView>
  </sheetViews>
  <sheetFormatPr defaultColWidth="9.42578125" defaultRowHeight="11.25" x14ac:dyDescent="0.2"/>
  <cols>
    <col min="1" max="1" width="3" style="40" customWidth="1"/>
    <col min="2" max="2" width="2.5703125" style="40" customWidth="1"/>
    <col min="3" max="3" width="9.42578125" style="40" customWidth="1"/>
    <col min="4" max="4" width="1.5703125" style="40" customWidth="1"/>
    <col min="5" max="5" width="13.42578125" style="40" customWidth="1"/>
    <col min="6" max="6" width="1.42578125" style="40" customWidth="1"/>
    <col min="7" max="7" width="24" style="40" customWidth="1"/>
    <col min="8" max="8" width="1.42578125" style="40" customWidth="1"/>
    <col min="9" max="9" width="14.5703125" style="40" customWidth="1"/>
    <col min="10" max="10" width="1.42578125" style="40" customWidth="1"/>
    <col min="11" max="11" width="16.5703125" style="40" customWidth="1"/>
    <col min="12" max="12" width="1.42578125" style="40" customWidth="1"/>
    <col min="13" max="13" width="14.5703125" style="40" customWidth="1"/>
    <col min="14" max="14" width="1.42578125" style="40" customWidth="1"/>
    <col min="15" max="15" width="9.5703125" style="40" customWidth="1"/>
    <col min="16" max="16" width="1.42578125" style="40" customWidth="1"/>
    <col min="17" max="17" width="9.5703125" style="40" customWidth="1"/>
    <col min="18" max="18" width="4.5703125" style="40" customWidth="1"/>
    <col min="19" max="19" width="8.5703125" style="40" customWidth="1"/>
    <col min="20" max="20" width="1.5703125" style="40" customWidth="1"/>
    <col min="21" max="21" width="8.5703125" style="40" customWidth="1"/>
    <col min="22" max="16384" width="9.42578125" style="40"/>
  </cols>
  <sheetData>
    <row r="1" spans="1:31" s="41" customFormat="1" ht="15" customHeight="1" x14ac:dyDescent="0.25">
      <c r="A1" s="2449" t="str">
        <f>+Index!$A$1</f>
        <v xml:space="preserve">                                                               Office of the State Controller                                                                </v>
      </c>
      <c r="B1" s="2449"/>
      <c r="C1" s="2449"/>
      <c r="D1" s="2449"/>
      <c r="E1" s="2449"/>
      <c r="F1" s="2449"/>
      <c r="G1" s="2449"/>
      <c r="H1" s="2449"/>
      <c r="I1" s="2449"/>
      <c r="J1" s="2449"/>
      <c r="K1" s="2449"/>
      <c r="L1" s="2449"/>
      <c r="M1" s="2449"/>
      <c r="N1" s="2449"/>
      <c r="O1" s="2449"/>
      <c r="P1" s="2449"/>
      <c r="Q1" s="2449"/>
      <c r="R1" s="2510" t="str">
        <f>IF(Index!$B$43="na","NA","")</f>
        <v/>
      </c>
      <c r="AE1" s="42"/>
    </row>
    <row r="2" spans="1:31" s="41" customFormat="1" ht="15" customHeight="1" x14ac:dyDescent="0.25">
      <c r="A2" s="2489" t="str">
        <f>+Index!$A$2</f>
        <v>2022 ACFR Worksheets</v>
      </c>
      <c r="B2" s="2489"/>
      <c r="C2" s="2489"/>
      <c r="D2" s="2489"/>
      <c r="E2" s="2489"/>
      <c r="F2" s="2489"/>
      <c r="G2" s="2489"/>
      <c r="H2" s="2489"/>
      <c r="I2" s="2489"/>
      <c r="J2" s="2489"/>
      <c r="K2" s="2489"/>
      <c r="L2" s="2489"/>
      <c r="M2" s="2489"/>
      <c r="N2" s="2489"/>
      <c r="O2" s="2489"/>
      <c r="P2" s="2489"/>
      <c r="Q2" s="2489"/>
      <c r="R2" s="2510"/>
    </row>
    <row r="3" spans="1:31" s="41" customFormat="1" ht="15" customHeight="1" x14ac:dyDescent="0.25">
      <c r="A3" s="2489" t="s">
        <v>3706</v>
      </c>
      <c r="B3" s="2489"/>
      <c r="C3" s="2489"/>
      <c r="D3" s="2489"/>
      <c r="E3" s="2489"/>
      <c r="F3" s="2489"/>
      <c r="G3" s="2489"/>
      <c r="H3" s="2489"/>
      <c r="I3" s="2489"/>
      <c r="J3" s="2489"/>
      <c r="K3" s="2489"/>
      <c r="L3" s="2489"/>
      <c r="M3" s="2489"/>
      <c r="N3" s="2489"/>
      <c r="O3" s="2489"/>
      <c r="P3" s="2489"/>
      <c r="Q3" s="2489"/>
      <c r="R3" s="2510"/>
    </row>
    <row r="4" spans="1:31" s="132" customFormat="1" ht="15" customHeight="1" x14ac:dyDescent="0.2">
      <c r="H4" s="137"/>
    </row>
    <row r="5" spans="1:31" s="132" customFormat="1" ht="15" customHeight="1" x14ac:dyDescent="0.2">
      <c r="D5" s="137"/>
      <c r="J5" s="950"/>
      <c r="K5" s="134" t="s">
        <v>327</v>
      </c>
      <c r="L5" s="2591" t="str">
        <f>Index!E10</f>
        <v>01</v>
      </c>
      <c r="M5" s="2548"/>
      <c r="N5" s="2548"/>
      <c r="O5" s="2548"/>
      <c r="P5" s="2548"/>
      <c r="Q5" s="2548"/>
      <c r="R5" s="890"/>
    </row>
    <row r="6" spans="1:31" s="132" customFormat="1" ht="15" customHeight="1" x14ac:dyDescent="0.2">
      <c r="J6" s="950"/>
      <c r="K6" s="134" t="s">
        <v>1154</v>
      </c>
      <c r="L6" s="2591" t="str">
        <f>Index!E11</f>
        <v>North Carolina General Assembly</v>
      </c>
      <c r="M6" s="2548"/>
      <c r="N6" s="2548"/>
      <c r="O6" s="2548"/>
      <c r="P6" s="2548"/>
      <c r="Q6" s="2548"/>
      <c r="R6" s="890"/>
    </row>
    <row r="7" spans="1:31" s="132" customFormat="1" ht="15" customHeight="1" x14ac:dyDescent="0.2">
      <c r="A7" s="132" t="s">
        <v>477</v>
      </c>
      <c r="D7" s="2562" t="s">
        <v>805</v>
      </c>
      <c r="E7" s="2563"/>
      <c r="J7" s="951"/>
      <c r="K7" s="134" t="s">
        <v>972</v>
      </c>
      <c r="L7" s="2592" t="str">
        <f>CONCATENATE(Index!$E$12, " ", Index!$E$14)</f>
        <v xml:space="preserve"> </v>
      </c>
      <c r="M7" s="2593"/>
      <c r="N7" s="2593"/>
      <c r="O7" s="2593"/>
      <c r="P7" s="2593"/>
      <c r="Q7" s="2593"/>
      <c r="R7" s="891"/>
    </row>
    <row r="8" spans="1:31" s="132" customFormat="1" ht="15" customHeight="1" x14ac:dyDescent="0.2">
      <c r="D8" s="137"/>
      <c r="J8" s="952"/>
      <c r="K8" s="134" t="s">
        <v>348</v>
      </c>
      <c r="L8" s="2594">
        <f>Index!E13</f>
        <v>0</v>
      </c>
      <c r="M8" s="2593"/>
      <c r="N8" s="2593"/>
      <c r="O8" s="2593"/>
      <c r="P8" s="2593"/>
      <c r="Q8" s="2593"/>
      <c r="R8" s="892"/>
    </row>
    <row r="9" spans="1:31" s="132" customFormat="1" ht="6" customHeight="1" thickBot="1" x14ac:dyDescent="0.25">
      <c r="A9" s="136"/>
      <c r="B9" s="136"/>
      <c r="C9" s="136"/>
      <c r="D9" s="136"/>
      <c r="E9" s="136"/>
      <c r="F9" s="136"/>
      <c r="G9" s="136"/>
      <c r="H9" s="136"/>
      <c r="I9" s="136"/>
      <c r="J9" s="136"/>
      <c r="K9" s="136"/>
      <c r="L9" s="136"/>
      <c r="M9" s="136"/>
      <c r="N9" s="136"/>
      <c r="O9" s="136"/>
      <c r="P9" s="136"/>
      <c r="Q9" s="136"/>
    </row>
    <row r="10" spans="1:31" s="132" customFormat="1" ht="12" customHeight="1" x14ac:dyDescent="0.2">
      <c r="A10" s="834"/>
      <c r="B10"/>
      <c r="C10"/>
      <c r="D10"/>
      <c r="E10"/>
      <c r="F10"/>
      <c r="G10"/>
      <c r="H10"/>
      <c r="I10"/>
      <c r="J10"/>
      <c r="K10"/>
      <c r="L10"/>
      <c r="M10"/>
      <c r="N10"/>
      <c r="O10"/>
      <c r="P10"/>
      <c r="Q10"/>
    </row>
    <row r="11" spans="1:31" s="132" customFormat="1" ht="14.1" customHeight="1" x14ac:dyDescent="0.2">
      <c r="A11" s="2607"/>
      <c r="B11" s="2607"/>
      <c r="C11" s="2607"/>
      <c r="D11" s="2607"/>
      <c r="E11" s="2607"/>
      <c r="O11" s="2579" t="s">
        <v>1206</v>
      </c>
      <c r="P11" s="2579"/>
      <c r="Q11" s="2579"/>
      <c r="S11" s="137"/>
      <c r="T11" s="137"/>
      <c r="U11" s="137"/>
    </row>
    <row r="12" spans="1:31" s="132" customFormat="1" ht="14.1" customHeight="1" x14ac:dyDescent="0.2">
      <c r="A12" s="2607"/>
      <c r="B12" s="2607"/>
      <c r="C12" s="2607"/>
      <c r="D12" s="2607"/>
      <c r="E12" s="2607"/>
      <c r="G12" s="137" t="s">
        <v>1377</v>
      </c>
      <c r="H12" s="137"/>
      <c r="I12" s="137" t="s">
        <v>1378</v>
      </c>
      <c r="J12" s="137"/>
      <c r="K12" s="137" t="s">
        <v>1206</v>
      </c>
      <c r="L12" s="137"/>
      <c r="M12" s="137" t="s">
        <v>1379</v>
      </c>
      <c r="N12" s="137"/>
      <c r="O12" s="2562" t="s">
        <v>1380</v>
      </c>
      <c r="P12" s="2562"/>
      <c r="Q12" s="2562"/>
      <c r="R12" s="137"/>
      <c r="S12" s="2579"/>
      <c r="T12" s="2579"/>
      <c r="U12" s="2579"/>
    </row>
    <row r="13" spans="1:31" s="132" customFormat="1" ht="14.1" customHeight="1" x14ac:dyDescent="0.2">
      <c r="A13" s="2605" t="s">
        <v>1394</v>
      </c>
      <c r="B13" s="2605"/>
      <c r="C13" s="2605"/>
      <c r="D13" s="2605"/>
      <c r="E13" s="2605"/>
      <c r="G13" s="135" t="s">
        <v>1381</v>
      </c>
      <c r="H13" s="137"/>
      <c r="I13" s="953" t="s">
        <v>1382</v>
      </c>
      <c r="J13" s="137"/>
      <c r="K13" s="135" t="s">
        <v>1097</v>
      </c>
      <c r="L13" s="137"/>
      <c r="M13" s="135" t="s">
        <v>1383</v>
      </c>
      <c r="N13" s="137"/>
      <c r="O13" s="135" t="s">
        <v>1384</v>
      </c>
      <c r="P13" s="137"/>
      <c r="Q13" s="135" t="s">
        <v>264</v>
      </c>
      <c r="R13" s="137"/>
      <c r="S13" s="137"/>
      <c r="T13" s="137"/>
      <c r="U13" s="137"/>
    </row>
    <row r="14" spans="1:31" s="132" customFormat="1" ht="16.350000000000001" customHeight="1" x14ac:dyDescent="0.25">
      <c r="A14" s="2608" t="s">
        <v>1397</v>
      </c>
      <c r="B14" s="2608"/>
      <c r="C14" s="2608"/>
      <c r="D14" s="2608"/>
      <c r="E14" s="2608"/>
      <c r="G14" s="963"/>
      <c r="I14" s="276"/>
      <c r="K14" s="963"/>
      <c r="M14" s="276"/>
      <c r="O14" s="977"/>
      <c r="Q14" s="959"/>
      <c r="R14" s="954"/>
    </row>
    <row r="15" spans="1:31" s="132" customFormat="1" ht="14.85" customHeight="1" x14ac:dyDescent="0.25">
      <c r="A15" s="2608" t="s">
        <v>1397</v>
      </c>
      <c r="B15" s="2608"/>
      <c r="C15" s="2608"/>
      <c r="D15" s="2608"/>
      <c r="E15" s="2608"/>
      <c r="G15" s="963"/>
      <c r="I15" s="276"/>
      <c r="K15" s="963"/>
      <c r="M15" s="276">
        <v>0</v>
      </c>
      <c r="O15" s="977"/>
      <c r="Q15" s="960"/>
      <c r="R15" s="954"/>
    </row>
    <row r="16" spans="1:31" s="132" customFormat="1" ht="14.85" customHeight="1" x14ac:dyDescent="0.25">
      <c r="A16" s="2608" t="s">
        <v>1397</v>
      </c>
      <c r="B16" s="2608"/>
      <c r="C16" s="2608"/>
      <c r="D16" s="2608"/>
      <c r="E16" s="2608"/>
      <c r="G16" s="963"/>
      <c r="I16" s="276"/>
      <c r="K16" s="963"/>
      <c r="M16" s="276">
        <v>0</v>
      </c>
      <c r="O16" s="977"/>
      <c r="Q16" s="960"/>
      <c r="R16" s="954"/>
    </row>
    <row r="17" spans="1:21" s="132" customFormat="1" ht="14.85" customHeight="1" x14ac:dyDescent="0.25">
      <c r="A17" s="2608" t="s">
        <v>1397</v>
      </c>
      <c r="B17" s="2608"/>
      <c r="C17" s="2608"/>
      <c r="D17" s="2608"/>
      <c r="E17" s="2608"/>
      <c r="G17" s="963"/>
      <c r="I17" s="276"/>
      <c r="K17" s="963"/>
      <c r="M17" s="276"/>
      <c r="O17" s="977"/>
      <c r="Q17" s="960"/>
      <c r="R17" s="954"/>
    </row>
    <row r="18" spans="1:21" s="132" customFormat="1" ht="14.85" customHeight="1" x14ac:dyDescent="0.25">
      <c r="A18" s="2608" t="s">
        <v>1397</v>
      </c>
      <c r="B18" s="2608"/>
      <c r="C18" s="2608"/>
      <c r="D18" s="2608"/>
      <c r="E18" s="2608"/>
      <c r="G18" s="963"/>
      <c r="I18" s="276"/>
      <c r="K18" s="963"/>
      <c r="M18" s="276"/>
      <c r="O18" s="977"/>
      <c r="Q18" s="960"/>
      <c r="R18" s="954"/>
    </row>
    <row r="19" spans="1:21" s="132" customFormat="1" ht="14.85" customHeight="1" x14ac:dyDescent="0.25">
      <c r="A19" s="980" t="s">
        <v>635</v>
      </c>
      <c r="B19" s="981"/>
      <c r="C19" s="2584"/>
      <c r="D19" s="2584"/>
      <c r="E19" s="2584"/>
      <c r="G19" s="963"/>
      <c r="I19" s="276"/>
      <c r="K19" s="963"/>
      <c r="M19" s="276"/>
      <c r="O19" s="977"/>
      <c r="Q19" s="960"/>
      <c r="R19" s="954"/>
    </row>
    <row r="20" spans="1:21" s="132" customFormat="1" ht="14.85" customHeight="1" x14ac:dyDescent="0.25">
      <c r="A20" s="980" t="s">
        <v>635</v>
      </c>
      <c r="B20" s="981"/>
      <c r="C20" s="2584"/>
      <c r="D20" s="2584"/>
      <c r="E20" s="2584"/>
      <c r="G20" s="963"/>
      <c r="I20" s="276"/>
      <c r="K20" s="964"/>
      <c r="M20" s="276"/>
      <c r="O20" s="977"/>
      <c r="Q20" s="960"/>
      <c r="R20" s="954"/>
    </row>
    <row r="21" spans="1:21" s="132" customFormat="1" ht="4.3499999999999996" customHeight="1" x14ac:dyDescent="0.25">
      <c r="A21" s="955"/>
      <c r="C21" s="965"/>
      <c r="D21" s="965"/>
      <c r="E21" s="965"/>
      <c r="G21" s="966"/>
      <c r="I21" s="749"/>
      <c r="K21" s="967"/>
      <c r="M21" s="749"/>
      <c r="O21" s="968"/>
      <c r="Q21" s="969"/>
      <c r="R21" s="954"/>
    </row>
    <row r="22" spans="1:21" s="132" customFormat="1" ht="14.85" customHeight="1" x14ac:dyDescent="0.25">
      <c r="A22" s="2491" t="s">
        <v>1385</v>
      </c>
      <c r="B22" s="2378"/>
      <c r="C22" s="2378"/>
      <c r="D22" s="2378"/>
      <c r="E22" s="2378"/>
      <c r="F22" s="2378"/>
      <c r="G22" s="2378"/>
      <c r="I22" s="970">
        <f>-SUM(M14:M20)</f>
        <v>0</v>
      </c>
      <c r="K22" s="967"/>
      <c r="M22" s="749"/>
      <c r="O22" s="968"/>
      <c r="Q22" s="969"/>
      <c r="R22" s="954"/>
    </row>
    <row r="23" spans="1:21" ht="14.85" customHeight="1" x14ac:dyDescent="0.25">
      <c r="A23" s="2491" t="s">
        <v>1386</v>
      </c>
      <c r="B23" s="2378"/>
      <c r="C23" s="2378"/>
      <c r="D23" s="2378"/>
      <c r="E23" s="2378"/>
      <c r="F23" s="2378"/>
      <c r="G23" s="2378"/>
      <c r="H23" s="132"/>
      <c r="I23" s="729"/>
      <c r="J23" s="132"/>
      <c r="K23" s="978"/>
      <c r="L23" s="132"/>
      <c r="M23" s="132"/>
      <c r="N23" s="132"/>
      <c r="O23" s="132"/>
      <c r="P23" s="132"/>
      <c r="Q23" s="132"/>
    </row>
    <row r="24" spans="1:21" ht="14.85" customHeight="1" x14ac:dyDescent="0.25">
      <c r="A24" s="2491" t="s">
        <v>1386</v>
      </c>
      <c r="B24" s="2378"/>
      <c r="C24" s="2378"/>
      <c r="D24" s="2378"/>
      <c r="E24" s="2378"/>
      <c r="F24" s="2378"/>
      <c r="G24" s="2378"/>
      <c r="H24" s="132"/>
      <c r="I24" s="729"/>
      <c r="J24" s="132"/>
      <c r="K24" s="979"/>
      <c r="L24" s="132"/>
      <c r="M24" s="132"/>
      <c r="N24" s="132"/>
      <c r="O24" s="132"/>
      <c r="P24" s="132"/>
      <c r="Q24" s="132"/>
    </row>
    <row r="25" spans="1:21" ht="14.85" customHeight="1" x14ac:dyDescent="0.25">
      <c r="A25" s="2491" t="s">
        <v>1386</v>
      </c>
      <c r="B25" s="2378"/>
      <c r="C25" s="2378"/>
      <c r="D25" s="2378"/>
      <c r="E25" s="2378"/>
      <c r="F25" s="2378"/>
      <c r="G25" s="2378"/>
      <c r="H25" s="132"/>
      <c r="I25" s="729"/>
      <c r="J25" s="132"/>
      <c r="K25" s="979"/>
      <c r="L25" s="132"/>
      <c r="M25" s="132"/>
      <c r="N25" s="132"/>
      <c r="O25" s="132"/>
      <c r="P25" s="132"/>
      <c r="Q25" s="132"/>
    </row>
    <row r="26" spans="1:21" ht="14.85" customHeight="1" x14ac:dyDescent="0.25">
      <c r="A26" s="2491" t="s">
        <v>1386</v>
      </c>
      <c r="B26" s="2378"/>
      <c r="C26" s="2378"/>
      <c r="D26" s="2378"/>
      <c r="E26" s="2378"/>
      <c r="F26" s="2378"/>
      <c r="G26" s="2378"/>
      <c r="H26" s="132"/>
      <c r="I26" s="729"/>
      <c r="J26" s="132"/>
      <c r="K26" s="979"/>
      <c r="L26" s="132"/>
      <c r="M26" s="132"/>
      <c r="N26" s="132"/>
      <c r="O26" s="132"/>
      <c r="P26" s="132"/>
      <c r="Q26" s="132"/>
    </row>
    <row r="27" spans="1:21" ht="15" customHeight="1" thickBot="1" x14ac:dyDescent="0.25">
      <c r="A27" s="2602" t="s">
        <v>1387</v>
      </c>
      <c r="B27" s="2602"/>
      <c r="C27" s="2602"/>
      <c r="D27" s="2602"/>
      <c r="E27" s="2602"/>
      <c r="F27" s="2603"/>
      <c r="G27" s="2603"/>
      <c r="I27" s="673">
        <f>SUM(I14:I26)</f>
        <v>0</v>
      </c>
    </row>
    <row r="28" spans="1:21" ht="12" customHeight="1" thickTop="1" x14ac:dyDescent="0.2"/>
    <row r="29" spans="1:21" ht="12.75" x14ac:dyDescent="0.2">
      <c r="A29" s="2599" t="s">
        <v>5388</v>
      </c>
      <c r="B29" s="2378"/>
      <c r="C29" s="2378"/>
      <c r="D29" s="2378"/>
      <c r="E29" s="2378"/>
      <c r="F29" s="2378"/>
      <c r="G29" s="2378"/>
      <c r="H29" s="2378"/>
      <c r="I29" s="2378"/>
      <c r="J29" s="2378"/>
      <c r="K29" s="2378"/>
      <c r="L29" s="2378"/>
      <c r="M29" s="2378"/>
      <c r="N29" s="2378"/>
      <c r="O29" s="2378"/>
      <c r="P29" s="2378"/>
      <c r="Q29" s="2378"/>
      <c r="R29" s="971"/>
      <c r="S29" s="971"/>
      <c r="T29" s="971"/>
      <c r="U29" s="971"/>
    </row>
    <row r="30" spans="1:21" ht="12.75" x14ac:dyDescent="0.2">
      <c r="A30" s="2604" t="s">
        <v>1395</v>
      </c>
      <c r="B30" s="2378"/>
      <c r="C30" s="2378"/>
      <c r="D30" s="2378"/>
      <c r="E30" s="2378"/>
      <c r="F30" s="2378"/>
      <c r="G30" s="2378"/>
      <c r="H30" s="2378"/>
      <c r="I30" s="2378"/>
      <c r="J30" s="2378"/>
      <c r="K30" s="2378"/>
      <c r="L30" s="2378"/>
      <c r="M30" s="2378"/>
      <c r="N30" s="2378"/>
      <c r="O30" s="2378"/>
      <c r="P30" s="2378"/>
      <c r="Q30" s="2378"/>
      <c r="R30" s="2378"/>
      <c r="S30" s="971"/>
      <c r="T30" s="971"/>
      <c r="U30" s="971"/>
    </row>
    <row r="31" spans="1:21" ht="10.35" customHeight="1" x14ac:dyDescent="0.2">
      <c r="A31" s="971"/>
      <c r="B31" s="971"/>
      <c r="C31" s="971"/>
      <c r="D31" s="971"/>
      <c r="E31" s="971"/>
      <c r="F31" s="971"/>
      <c r="G31" s="971"/>
      <c r="H31" s="971"/>
      <c r="I31" s="971"/>
      <c r="J31" s="971"/>
      <c r="K31" s="971"/>
      <c r="L31" s="971"/>
      <c r="M31" s="971"/>
      <c r="N31" s="971"/>
      <c r="O31" s="971"/>
      <c r="P31" s="971"/>
      <c r="Q31" s="971"/>
      <c r="R31" s="971"/>
      <c r="S31" s="971"/>
      <c r="T31" s="971"/>
      <c r="U31" s="971"/>
    </row>
    <row r="32" spans="1:21" ht="14.1" customHeight="1" x14ac:dyDescent="0.2"/>
    <row r="33" spans="1:17" ht="12" customHeight="1" x14ac:dyDescent="0.2">
      <c r="A33" s="972" t="s">
        <v>350</v>
      </c>
      <c r="B33" s="829" t="s">
        <v>4752</v>
      </c>
      <c r="C33" s="831"/>
      <c r="D33" s="831"/>
      <c r="E33" s="831"/>
      <c r="F33" s="831"/>
      <c r="G33" s="831"/>
      <c r="H33" s="831"/>
      <c r="I33" s="831"/>
      <c r="J33" s="831"/>
      <c r="K33" s="831"/>
      <c r="L33" s="831"/>
      <c r="M33" s="831"/>
      <c r="N33" s="831"/>
      <c r="O33" s="831"/>
      <c r="P33" s="831"/>
      <c r="Q33" s="831"/>
    </row>
    <row r="34" spans="1:17" ht="12" customHeight="1" x14ac:dyDescent="0.2">
      <c r="A34" s="972"/>
      <c r="B34" s="829" t="s">
        <v>4753</v>
      </c>
      <c r="C34" s="831"/>
      <c r="D34" s="831"/>
      <c r="E34" s="831"/>
      <c r="F34" s="831"/>
      <c r="G34" s="831"/>
      <c r="H34" s="831"/>
      <c r="I34" s="831"/>
      <c r="J34" s="831"/>
      <c r="K34" s="831"/>
      <c r="L34" s="831"/>
      <c r="M34" s="831"/>
      <c r="N34" s="831"/>
      <c r="O34" s="831"/>
      <c r="P34" s="831"/>
      <c r="Q34" s="831"/>
    </row>
    <row r="35" spans="1:17" ht="6" customHeight="1" x14ac:dyDescent="0.2">
      <c r="A35" s="831"/>
      <c r="B35" s="829"/>
      <c r="C35" s="831"/>
      <c r="D35" s="831"/>
      <c r="E35" s="831"/>
      <c r="F35" s="831"/>
      <c r="G35" s="831"/>
      <c r="H35" s="831"/>
      <c r="I35" s="831"/>
      <c r="J35" s="831"/>
      <c r="K35" s="831"/>
      <c r="L35" s="831"/>
      <c r="M35" s="831"/>
      <c r="N35" s="831"/>
      <c r="O35" s="831"/>
      <c r="P35" s="831"/>
      <c r="Q35" s="831"/>
    </row>
    <row r="36" spans="1:17" ht="12" customHeight="1" x14ac:dyDescent="0.2">
      <c r="A36" s="972" t="s">
        <v>1388</v>
      </c>
      <c r="B36" s="829" t="s">
        <v>1396</v>
      </c>
      <c r="C36" s="831"/>
      <c r="D36" s="831"/>
      <c r="E36" s="831"/>
      <c r="F36" s="831"/>
      <c r="G36" s="831"/>
      <c r="H36" s="831"/>
      <c r="I36" s="831"/>
      <c r="J36" s="831"/>
      <c r="K36" s="831"/>
      <c r="L36" s="831"/>
      <c r="M36" s="831"/>
      <c r="N36" s="831"/>
      <c r="O36" s="831"/>
      <c r="P36" s="831"/>
      <c r="Q36" s="831"/>
    </row>
    <row r="37" spans="1:17" ht="12" customHeight="1" x14ac:dyDescent="0.2">
      <c r="A37" s="831"/>
      <c r="B37" s="829" t="s">
        <v>1390</v>
      </c>
      <c r="C37" s="831"/>
      <c r="D37" s="831"/>
      <c r="E37" s="831"/>
      <c r="F37" s="831"/>
      <c r="G37" s="831"/>
      <c r="H37" s="831"/>
      <c r="I37" s="831"/>
      <c r="J37" s="831"/>
      <c r="K37" s="831"/>
      <c r="L37" s="831"/>
      <c r="M37" s="831"/>
      <c r="N37" s="831"/>
      <c r="O37" s="831"/>
      <c r="P37" s="831"/>
      <c r="Q37" s="831"/>
    </row>
    <row r="38" spans="1:17" ht="12" customHeight="1" x14ac:dyDescent="0.2">
      <c r="A38" s="831"/>
      <c r="B38" s="829" t="s">
        <v>1391</v>
      </c>
      <c r="C38" s="831"/>
      <c r="D38" s="831"/>
      <c r="E38" s="831"/>
      <c r="F38" s="831"/>
      <c r="G38" s="831"/>
      <c r="H38" s="831"/>
      <c r="I38" s="831"/>
      <c r="J38" s="831"/>
      <c r="K38" s="831"/>
      <c r="L38" s="831"/>
      <c r="M38" s="831"/>
      <c r="N38" s="831"/>
      <c r="O38" s="831"/>
      <c r="P38" s="831"/>
      <c r="Q38" s="831"/>
    </row>
    <row r="39" spans="1:17" ht="6" customHeight="1" x14ac:dyDescent="0.2">
      <c r="A39" s="831"/>
      <c r="B39" s="829"/>
      <c r="C39" s="831"/>
      <c r="D39" s="831"/>
      <c r="E39" s="831"/>
      <c r="F39" s="831"/>
      <c r="G39" s="831"/>
      <c r="H39" s="831"/>
      <c r="I39" s="831"/>
      <c r="J39" s="831"/>
      <c r="K39" s="831"/>
      <c r="L39" s="831"/>
      <c r="M39" s="831"/>
      <c r="N39" s="831"/>
      <c r="O39" s="831"/>
      <c r="P39" s="831"/>
      <c r="Q39" s="831"/>
    </row>
    <row r="40" spans="1:17" ht="12" customHeight="1" x14ac:dyDescent="0.2">
      <c r="A40" s="972" t="s">
        <v>1392</v>
      </c>
      <c r="B40" s="829" t="s">
        <v>1393</v>
      </c>
      <c r="C40" s="831"/>
      <c r="D40" s="831"/>
      <c r="E40" s="831"/>
      <c r="F40" s="831"/>
      <c r="G40" s="831"/>
      <c r="H40" s="831"/>
      <c r="I40" s="831"/>
      <c r="J40" s="831"/>
      <c r="K40" s="831"/>
      <c r="L40" s="831"/>
      <c r="M40" s="831"/>
      <c r="N40" s="831"/>
      <c r="O40" s="831"/>
      <c r="P40" s="831"/>
      <c r="Q40" s="831"/>
    </row>
  </sheetData>
  <sheetProtection algorithmName="SHA-512" hashValue="/SLJ9WQcGA9mwS9W1vw6zwLqA+Vg4/H5WeaO/Uq6LYwbp1fJCRg68tva7gMNrhCY8c7Ic6jzE6q+kv96vUiIiQ==" saltValue="vpgJaRetXwNhFYUWdCVfKA==" spinCount="100000" sheet="1" objects="1" scenarios="1" autoFilter="0"/>
  <customSheetViews>
    <customSheetView guid="{B08879A4-635B-4C39-9937-AC7883D562FC}" showGridLines="0" fitToPage="1">
      <selection activeCell="D38" sqref="D38"/>
      <pageMargins left="0.45" right="0.4" top="0.5" bottom="0.5" header="0.5" footer="0.25"/>
      <pageSetup orientation="landscape" r:id="rId1"/>
      <headerFooter alignWithMargins="0">
        <oddFooter>&amp;R&amp;A</oddFooter>
      </headerFooter>
    </customSheetView>
    <customSheetView guid="{9FCFC836-1CA5-48BF-958D-24D2EA94B219}" showGridLines="0" fitToPage="1">
      <selection activeCell="D38" sqref="D38"/>
      <pageMargins left="0.45" right="0.4" top="0.5" bottom="0.5" header="0.5" footer="0.25"/>
      <pageSetup orientation="landscape" r:id="rId2"/>
      <headerFooter alignWithMargins="0">
        <oddFooter>&amp;R&amp;A</oddFooter>
      </headerFooter>
    </customSheetView>
  </customSheetViews>
  <mergeCells count="30">
    <mergeCell ref="L6:Q6"/>
    <mergeCell ref="A1:Q1"/>
    <mergeCell ref="R1:R3"/>
    <mergeCell ref="A2:Q2"/>
    <mergeCell ref="A3:Q3"/>
    <mergeCell ref="L5:Q5"/>
    <mergeCell ref="C20:E20"/>
    <mergeCell ref="D7:E7"/>
    <mergeCell ref="L7:Q7"/>
    <mergeCell ref="L8:Q8"/>
    <mergeCell ref="A11:E11"/>
    <mergeCell ref="O11:Q11"/>
    <mergeCell ref="A12:E12"/>
    <mergeCell ref="O12:Q12"/>
    <mergeCell ref="A29:Q29"/>
    <mergeCell ref="A30:R30"/>
    <mergeCell ref="S12:U12"/>
    <mergeCell ref="A13:E13"/>
    <mergeCell ref="A14:E14"/>
    <mergeCell ref="A15:E15"/>
    <mergeCell ref="A16:E16"/>
    <mergeCell ref="A17:E17"/>
    <mergeCell ref="A18:E18"/>
    <mergeCell ref="C19:E19"/>
    <mergeCell ref="A22:G22"/>
    <mergeCell ref="A23:G23"/>
    <mergeCell ref="A24:G24"/>
    <mergeCell ref="A25:G25"/>
    <mergeCell ref="A26:G26"/>
    <mergeCell ref="A27:G27"/>
  </mergeCells>
  <conditionalFormatting sqref="R1:R3">
    <cfRule type="cellIs" dxfId="127" priority="1" stopIfTrue="1" operator="equal">
      <formula>"na"</formula>
    </cfRule>
  </conditionalFormatting>
  <dataValidations count="3">
    <dataValidation type="decimal" operator="lessThanOrEqual" allowBlank="1" showErrorMessage="1" errorTitle="Invalid Data" error="Amount Must Be Negative" promptTitle="Negative Message" prompt="Must Enter a Negative Number" sqref="I23:I26" xr:uid="{00000000-0002-0000-1600-000000000000}">
      <formula1>0</formula1>
    </dataValidation>
    <dataValidation type="list" allowBlank="1" sqref="A14:E18" xr:uid="{00000000-0002-0000-1600-000001000000}">
      <formula1>Derivative</formula1>
    </dataValidation>
    <dataValidation type="decimal" operator="greaterThanOrEqual" allowBlank="1" showErrorMessage="1" errorTitle="Invalid Data" error="Exclude Derivatives with Negative Fair Values (See Note 1)" sqref="I14:I20" xr:uid="{00000000-0002-0000-1600-000002000000}">
      <formula1>0</formula1>
    </dataValidation>
  </dataValidations>
  <hyperlinks>
    <hyperlink ref="A1:Q1" location="Index!A1" display="Index!A1" xr:uid="{00000000-0004-0000-1600-000000000000}"/>
  </hyperlinks>
  <pageMargins left="0.45" right="0.4" top="0.5" bottom="0.5" header="0.5" footer="0.25"/>
  <pageSetup orientation="landscape" r:id="rId3"/>
  <headerFooter alignWithMargins="0">
    <oddFooter>&amp;R&amp;A</oddFooter>
  </headerFooter>
  <ignoredErrors>
    <ignoredError sqref="A33 A36 A40"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pageSetUpPr fitToPage="1"/>
  </sheetPr>
  <dimension ref="A1:L103"/>
  <sheetViews>
    <sheetView showGridLines="0" topLeftCell="B1" zoomScaleNormal="100" workbookViewId="0">
      <selection activeCell="U29" sqref="U29"/>
    </sheetView>
  </sheetViews>
  <sheetFormatPr defaultRowHeight="12.75" x14ac:dyDescent="0.2"/>
  <cols>
    <col min="1" max="1" width="0" hidden="1" customWidth="1"/>
    <col min="3" max="3" width="8.42578125" customWidth="1"/>
    <col min="6" max="6" width="3.42578125" customWidth="1"/>
    <col min="7" max="7" width="13.42578125" customWidth="1"/>
    <col min="8" max="8" width="12.5703125" customWidth="1"/>
    <col min="10" max="10" width="13.42578125" customWidth="1"/>
    <col min="11" max="11" width="9.5703125" customWidth="1"/>
    <col min="12" max="12" width="4.5703125" customWidth="1"/>
  </cols>
  <sheetData>
    <row r="1" spans="2:12" ht="15" customHeight="1" x14ac:dyDescent="0.25">
      <c r="B1" s="2449" t="str">
        <f>+Index!$A$1</f>
        <v xml:space="preserve">                                                               Office of the State Controller                                                                </v>
      </c>
      <c r="C1" s="2449"/>
      <c r="D1" s="2449"/>
      <c r="E1" s="2449"/>
      <c r="F1" s="2449"/>
      <c r="G1" s="2449"/>
      <c r="H1" s="2449"/>
      <c r="I1" s="2449"/>
      <c r="J1" s="2449"/>
      <c r="K1" s="2449"/>
      <c r="L1" s="2450" t="str">
        <f>IF(Index!$B$44="na","NA","")</f>
        <v/>
      </c>
    </row>
    <row r="2" spans="2:12" ht="15" customHeight="1" x14ac:dyDescent="0.25">
      <c r="B2" s="2431" t="str">
        <f>+Index!$A$2</f>
        <v>2022 ACFR Worksheets</v>
      </c>
      <c r="C2" s="2431"/>
      <c r="D2" s="2431"/>
      <c r="E2" s="2431"/>
      <c r="F2" s="2431"/>
      <c r="G2" s="2431"/>
      <c r="H2" s="2431"/>
      <c r="I2" s="2431"/>
      <c r="J2" s="2431"/>
      <c r="K2" s="2431"/>
      <c r="L2" s="2450"/>
    </row>
    <row r="3" spans="2:12" ht="15" customHeight="1" x14ac:dyDescent="0.25">
      <c r="B3" s="2431" t="s">
        <v>3552</v>
      </c>
      <c r="C3" s="2431"/>
      <c r="D3" s="2431"/>
      <c r="E3" s="2431"/>
      <c r="F3" s="2431"/>
      <c r="G3" s="2431"/>
      <c r="H3" s="2431"/>
      <c r="I3" s="2431"/>
      <c r="J3" s="2431"/>
      <c r="K3" s="2431"/>
      <c r="L3" s="2450"/>
    </row>
    <row r="4" spans="2:12" ht="15" customHeight="1" x14ac:dyDescent="0.3">
      <c r="H4" s="13" t="s">
        <v>973</v>
      </c>
    </row>
    <row r="5" spans="2:12" ht="15" customHeight="1" x14ac:dyDescent="0.25">
      <c r="B5" s="5"/>
      <c r="C5" s="1"/>
      <c r="D5" s="2611"/>
      <c r="E5" s="2611"/>
      <c r="G5" s="6" t="s">
        <v>327</v>
      </c>
      <c r="H5" s="2488" t="str">
        <f>+Index!$E$10</f>
        <v>01</v>
      </c>
      <c r="I5" s="2488"/>
      <c r="J5" s="2488"/>
      <c r="K5" s="2488"/>
    </row>
    <row r="6" spans="2:12" ht="15" customHeight="1" x14ac:dyDescent="0.2">
      <c r="G6" s="6" t="s">
        <v>1154</v>
      </c>
      <c r="H6" s="2512" t="str">
        <f>+Index!$E$11</f>
        <v>North Carolina General Assembly</v>
      </c>
      <c r="I6" s="2512"/>
      <c r="J6" s="2512"/>
      <c r="K6" s="2512"/>
    </row>
    <row r="7" spans="2:12" ht="15" customHeight="1" x14ac:dyDescent="0.25">
      <c r="B7" s="5" t="s">
        <v>477</v>
      </c>
      <c r="C7" s="1"/>
      <c r="D7" s="2609" t="s">
        <v>971</v>
      </c>
      <c r="E7" s="2609"/>
      <c r="G7" s="6" t="s">
        <v>972</v>
      </c>
      <c r="H7" s="2513" t="str">
        <f>CONCATENATE(Index!$E$12," ",Index!$E$14)</f>
        <v xml:space="preserve"> </v>
      </c>
      <c r="I7" s="2513"/>
      <c r="J7" s="2513"/>
      <c r="K7" s="2513"/>
    </row>
    <row r="8" spans="2:12" ht="15" customHeight="1" x14ac:dyDescent="0.25">
      <c r="B8" s="5"/>
      <c r="C8" s="1"/>
      <c r="D8" s="520"/>
      <c r="E8" s="520"/>
      <c r="G8" s="6" t="s">
        <v>348</v>
      </c>
      <c r="H8" s="2513">
        <f>+Index!$E$13</f>
        <v>0</v>
      </c>
      <c r="I8" s="2513"/>
      <c r="J8" s="2513"/>
      <c r="K8" s="2513"/>
    </row>
    <row r="9" spans="2:12" ht="7.5" customHeight="1" thickBot="1" x14ac:dyDescent="0.3">
      <c r="B9" s="7"/>
      <c r="C9" s="7"/>
      <c r="D9" s="7"/>
      <c r="E9" s="7"/>
      <c r="F9" s="7"/>
      <c r="G9" s="7"/>
      <c r="H9" s="7"/>
      <c r="I9" s="7"/>
      <c r="J9" s="7"/>
      <c r="K9" s="7"/>
    </row>
    <row r="10" spans="2:12" s="14" customFormat="1" ht="15" customHeight="1" x14ac:dyDescent="0.2">
      <c r="B10" s="121"/>
      <c r="C10" s="121"/>
      <c r="D10" s="121"/>
      <c r="E10" s="121"/>
      <c r="F10" s="121"/>
      <c r="G10" s="121"/>
      <c r="H10" s="121"/>
      <c r="I10" s="121"/>
      <c r="J10" s="121"/>
      <c r="K10" s="121"/>
    </row>
    <row r="11" spans="2:12" s="14" customFormat="1" ht="15" customHeight="1" x14ac:dyDescent="0.2">
      <c r="B11" s="2" t="s">
        <v>4363</v>
      </c>
    </row>
    <row r="12" spans="2:12" s="14" customFormat="1" ht="15" customHeight="1" x14ac:dyDescent="0.2">
      <c r="B12" s="2" t="s">
        <v>4364</v>
      </c>
    </row>
    <row r="13" spans="2:12" s="14" customFormat="1" ht="15" customHeight="1" x14ac:dyDescent="0.2">
      <c r="B13" s="2" t="s">
        <v>151</v>
      </c>
    </row>
    <row r="14" spans="2:12" s="14" customFormat="1" ht="15" customHeight="1" x14ac:dyDescent="0.2"/>
    <row r="15" spans="2:12" s="14" customFormat="1" ht="15" customHeight="1" x14ac:dyDescent="0.2">
      <c r="B15" s="14" t="s">
        <v>251</v>
      </c>
    </row>
    <row r="16" spans="2:12" s="14" customFormat="1" ht="15" customHeight="1" x14ac:dyDescent="0.2">
      <c r="B16" s="272" t="s">
        <v>4650</v>
      </c>
    </row>
    <row r="17" spans="2:10" s="14" customFormat="1" ht="15" customHeight="1" x14ac:dyDescent="0.2">
      <c r="B17" s="272" t="s">
        <v>4651</v>
      </c>
    </row>
    <row r="18" spans="2:10" s="14" customFormat="1" ht="15" customHeight="1" x14ac:dyDescent="0.2">
      <c r="B18" s="1998" t="s">
        <v>4652</v>
      </c>
    </row>
    <row r="19" spans="2:10" s="14" customFormat="1" ht="15" customHeight="1" x14ac:dyDescent="0.2">
      <c r="B19" s="272" t="s">
        <v>4760</v>
      </c>
      <c r="F19" s="2"/>
    </row>
    <row r="20" spans="2:10" s="14" customFormat="1" ht="15" customHeight="1" x14ac:dyDescent="0.2"/>
    <row r="21" spans="2:10" s="14" customFormat="1" ht="15" customHeight="1" x14ac:dyDescent="0.2">
      <c r="B21" s="2577" t="s">
        <v>252</v>
      </c>
      <c r="C21" s="2577"/>
      <c r="D21" s="2577"/>
      <c r="E21" s="2577"/>
      <c r="F21" s="2577"/>
      <c r="G21" s="2577"/>
      <c r="H21" s="2577"/>
      <c r="I21" s="2577"/>
      <c r="J21" s="2577"/>
    </row>
    <row r="22" spans="2:10" s="14" customFormat="1" ht="15" customHeight="1" x14ac:dyDescent="0.2">
      <c r="B22" s="14" t="s">
        <v>253</v>
      </c>
    </row>
    <row r="23" spans="2:10" s="14" customFormat="1" ht="15" customHeight="1" x14ac:dyDescent="0.2">
      <c r="B23" s="14" t="s">
        <v>254</v>
      </c>
    </row>
    <row r="24" spans="2:10" s="14" customFormat="1" ht="15" customHeight="1" x14ac:dyDescent="0.2"/>
    <row r="25" spans="2:10" s="14" customFormat="1" ht="15" customHeight="1" x14ac:dyDescent="0.2">
      <c r="B25" s="14" t="s">
        <v>909</v>
      </c>
    </row>
    <row r="26" spans="2:10" s="14" customFormat="1" ht="15" customHeight="1" x14ac:dyDescent="0.2">
      <c r="B26" s="14" t="s">
        <v>919</v>
      </c>
    </row>
    <row r="27" spans="2:10" s="14" customFormat="1" ht="15" customHeight="1" x14ac:dyDescent="0.2"/>
    <row r="28" spans="2:10" s="14" customFormat="1" ht="15" customHeight="1" x14ac:dyDescent="0.2">
      <c r="B28" s="2" t="s">
        <v>811</v>
      </c>
    </row>
    <row r="29" spans="2:10" s="14" customFormat="1" ht="15" customHeight="1" x14ac:dyDescent="0.2">
      <c r="B29" s="14" t="s">
        <v>618</v>
      </c>
    </row>
    <row r="30" spans="2:10" s="14" customFormat="1" ht="15" customHeight="1" x14ac:dyDescent="0.2">
      <c r="E30" s="14" t="s">
        <v>85</v>
      </c>
      <c r="F30" s="2610"/>
      <c r="G30" s="2517"/>
      <c r="H30" s="98" t="s">
        <v>86</v>
      </c>
      <c r="I30" s="2610"/>
      <c r="J30" s="2517"/>
    </row>
    <row r="31" spans="2:10" s="14" customFormat="1" ht="15" customHeight="1" x14ac:dyDescent="0.2">
      <c r="B31" s="2614" t="str">
        <f>IF(ISTEXT(F30), "Response for Yes needed", " ")</f>
        <v xml:space="preserve"> </v>
      </c>
      <c r="C31" s="2378"/>
      <c r="D31" s="2378"/>
      <c r="G31" s="2"/>
      <c r="I31" s="2612" t="str">
        <f>IF(AND(ISBLANK(F30),ISBLANK(I30))=TRUE,"Answer Missing"," ")</f>
        <v>Answer Missing</v>
      </c>
      <c r="J31" s="2613"/>
    </row>
    <row r="32" spans="2:10" s="14" customFormat="1" ht="15" customHeight="1" x14ac:dyDescent="0.2">
      <c r="B32" s="14" t="s">
        <v>763</v>
      </c>
      <c r="G32" s="2"/>
      <c r="I32" s="2"/>
    </row>
    <row r="33" spans="2:11" s="14" customFormat="1" ht="15" customHeight="1" x14ac:dyDescent="0.2">
      <c r="B33" s="14" t="s">
        <v>60</v>
      </c>
    </row>
    <row r="34" spans="2:11" s="14" customFormat="1" ht="15" customHeight="1" x14ac:dyDescent="0.2">
      <c r="C34" s="14" t="s">
        <v>910</v>
      </c>
      <c r="E34" s="2617"/>
      <c r="F34" s="2617"/>
      <c r="G34" s="2617"/>
      <c r="H34" s="2617"/>
      <c r="I34" s="2617"/>
      <c r="J34" s="2617"/>
      <c r="K34" s="2617"/>
    </row>
    <row r="35" spans="2:11" s="14" customFormat="1" ht="15" customHeight="1" x14ac:dyDescent="0.2">
      <c r="C35" s="14" t="s">
        <v>911</v>
      </c>
      <c r="E35" s="2615"/>
      <c r="F35" s="2615"/>
      <c r="G35" s="2615"/>
      <c r="H35" s="2615"/>
      <c r="I35" s="2615"/>
      <c r="J35" s="2615"/>
      <c r="K35" s="2615"/>
    </row>
    <row r="36" spans="2:11" s="14" customFormat="1" ht="15" customHeight="1" x14ac:dyDescent="0.2">
      <c r="B36" s="118"/>
      <c r="C36" s="118"/>
      <c r="D36" s="118"/>
      <c r="E36" s="118"/>
      <c r="F36" s="118"/>
      <c r="G36" s="118"/>
      <c r="H36" s="118"/>
      <c r="I36" s="118"/>
      <c r="J36" s="118"/>
      <c r="K36" s="118"/>
    </row>
    <row r="37" spans="2:11" s="14" customFormat="1" ht="15" customHeight="1" x14ac:dyDescent="0.2">
      <c r="B37" s="2577" t="s">
        <v>479</v>
      </c>
      <c r="C37" s="2577"/>
      <c r="D37" s="2577"/>
      <c r="E37" s="2577"/>
      <c r="F37" s="2577"/>
      <c r="G37" s="2577"/>
      <c r="H37" s="2577"/>
      <c r="I37" s="2577"/>
      <c r="J37" s="2577"/>
    </row>
    <row r="38" spans="2:11" s="14" customFormat="1" ht="15" customHeight="1" x14ac:dyDescent="0.2">
      <c r="B38" s="14" t="s">
        <v>309</v>
      </c>
    </row>
    <row r="39" spans="2:11" s="14" customFormat="1" ht="15" customHeight="1" x14ac:dyDescent="0.2">
      <c r="E39" s="14" t="s">
        <v>85</v>
      </c>
      <c r="F39" s="2610"/>
      <c r="G39" s="2517"/>
      <c r="H39" s="98" t="s">
        <v>86</v>
      </c>
      <c r="I39" s="2610"/>
      <c r="J39" s="2517"/>
    </row>
    <row r="40" spans="2:11" s="14" customFormat="1" ht="15" customHeight="1" x14ac:dyDescent="0.2">
      <c r="B40" s="2614" t="str">
        <f>IF(ISTEXT(F39), "Response for Yes needed", " ")</f>
        <v xml:space="preserve"> </v>
      </c>
      <c r="C40" s="2378"/>
      <c r="D40" s="2378"/>
      <c r="G40" s="2"/>
      <c r="I40" s="2612" t="str">
        <f>IF(AND(ISBLANK(F39),ISBLANK(I39))=TRUE,"Answer Missing"," ")</f>
        <v>Answer Missing</v>
      </c>
      <c r="J40" s="2613"/>
    </row>
    <row r="41" spans="2:11" s="14" customFormat="1" ht="15" customHeight="1" x14ac:dyDescent="0.2">
      <c r="B41" s="14" t="s">
        <v>1102</v>
      </c>
      <c r="G41" s="2"/>
      <c r="I41" s="2"/>
    </row>
    <row r="42" spans="2:11" s="14" customFormat="1" ht="15" customHeight="1" x14ac:dyDescent="0.2">
      <c r="B42" s="14" t="s">
        <v>913</v>
      </c>
      <c r="G42" s="2"/>
      <c r="I42" s="2"/>
    </row>
    <row r="43" spans="2:11" s="14" customFormat="1" ht="15" customHeight="1" x14ac:dyDescent="0.2">
      <c r="B43" s="2516" t="s">
        <v>912</v>
      </c>
      <c r="C43" s="2516"/>
      <c r="D43" s="2617"/>
      <c r="E43" s="2617"/>
      <c r="F43" s="2617"/>
      <c r="G43" s="2617"/>
      <c r="H43" s="98" t="s">
        <v>914</v>
      </c>
      <c r="I43" s="2616"/>
      <c r="J43" s="2616"/>
      <c r="K43" s="2616"/>
    </row>
    <row r="44" spans="2:11" s="14" customFormat="1" ht="15" customHeight="1" x14ac:dyDescent="0.2">
      <c r="B44" s="118"/>
      <c r="C44" s="118"/>
      <c r="D44" s="118"/>
      <c r="E44" s="118"/>
      <c r="F44" s="118"/>
      <c r="G44" s="118"/>
      <c r="H44" s="118"/>
      <c r="I44" s="118"/>
      <c r="J44" s="118"/>
      <c r="K44" s="118"/>
    </row>
    <row r="45" spans="2:11" s="14" customFormat="1" ht="15" customHeight="1" x14ac:dyDescent="0.2">
      <c r="B45" s="2577" t="s">
        <v>310</v>
      </c>
      <c r="C45" s="2577"/>
      <c r="D45" s="2577"/>
      <c r="E45" s="2577"/>
      <c r="F45" s="2577"/>
      <c r="G45" s="2577"/>
      <c r="H45" s="2577"/>
      <c r="I45" s="2577"/>
      <c r="J45" s="2577"/>
    </row>
    <row r="46" spans="2:11" s="14" customFormat="1" ht="15" customHeight="1" x14ac:dyDescent="0.2">
      <c r="B46" s="14" t="s">
        <v>99</v>
      </c>
      <c r="G46" s="2"/>
      <c r="I46" s="2"/>
    </row>
    <row r="47" spans="2:11" s="14" customFormat="1" ht="15" customHeight="1" x14ac:dyDescent="0.2">
      <c r="B47" s="272" t="s">
        <v>5629</v>
      </c>
      <c r="G47" s="2"/>
      <c r="I47" s="2"/>
    </row>
    <row r="48" spans="2:11" s="14" customFormat="1" ht="15" customHeight="1" x14ac:dyDescent="0.2">
      <c r="B48" s="2516"/>
      <c r="C48" s="2516"/>
      <c r="D48" s="898"/>
      <c r="E48" s="898"/>
      <c r="F48" s="898"/>
      <c r="G48" s="1820"/>
      <c r="H48" s="898"/>
      <c r="I48" s="1820"/>
      <c r="J48" s="898"/>
      <c r="K48" s="898"/>
    </row>
    <row r="49" spans="1:11" s="14" customFormat="1" ht="15" customHeight="1" x14ac:dyDescent="0.2">
      <c r="B49" s="2"/>
      <c r="C49" s="2"/>
      <c r="D49" s="2"/>
      <c r="E49" s="2"/>
      <c r="F49" s="2"/>
      <c r="G49" s="2"/>
      <c r="H49" s="2"/>
      <c r="I49" s="2"/>
      <c r="J49" s="2"/>
      <c r="K49" s="2"/>
    </row>
    <row r="50" spans="1:11" s="14" customFormat="1" ht="15" customHeight="1" x14ac:dyDescent="0.2">
      <c r="B50" s="2" t="s">
        <v>255</v>
      </c>
      <c r="C50" s="45"/>
      <c r="D50" s="2"/>
      <c r="E50" s="2"/>
      <c r="F50" s="2"/>
      <c r="G50" s="2"/>
      <c r="H50" s="2"/>
      <c r="I50" s="2"/>
      <c r="J50" s="2"/>
      <c r="K50" s="2"/>
    </row>
    <row r="51" spans="1:11" s="14" customFormat="1" ht="15" customHeight="1" x14ac:dyDescent="0.2">
      <c r="B51" s="14" t="s">
        <v>915</v>
      </c>
      <c r="K51" s="14" t="s">
        <v>1101</v>
      </c>
    </row>
    <row r="52" spans="1:11" s="14" customFormat="1" ht="15" customHeight="1" x14ac:dyDescent="0.2">
      <c r="B52" s="14" t="s">
        <v>95</v>
      </c>
      <c r="K52" s="1403"/>
    </row>
    <row r="53" spans="1:11" s="14" customFormat="1" ht="15" customHeight="1" x14ac:dyDescent="0.2">
      <c r="B53" s="14" t="s">
        <v>145</v>
      </c>
      <c r="K53" s="1685"/>
    </row>
    <row r="54" spans="1:11" s="14" customFormat="1" ht="15" customHeight="1" x14ac:dyDescent="0.2">
      <c r="B54" s="272" t="s">
        <v>5630</v>
      </c>
      <c r="J54" s="2444" t="str">
        <f>IF(AND(ISBLANK(K52),ISBLANK(K53))=TRUE,"Answer Missing"," ")</f>
        <v>Answer Missing</v>
      </c>
      <c r="K54" s="2378"/>
    </row>
    <row r="55" spans="1:11" s="14" customFormat="1" ht="15" customHeight="1" x14ac:dyDescent="0.2"/>
    <row r="56" spans="1:11" s="14" customFormat="1" ht="15" customHeight="1" x14ac:dyDescent="0.2"/>
    <row r="57" spans="1:11" s="14" customFormat="1" ht="15" x14ac:dyDescent="0.2">
      <c r="A57" s="443" t="str">
        <f ca="1">MID(CELL("filename",B1),FIND("]",CELL("filename",B1))+1,256)</f>
        <v>345</v>
      </c>
      <c r="B57" s="443" t="s">
        <v>449</v>
      </c>
      <c r="D57" s="443"/>
    </row>
    <row r="58" spans="1:11" s="14" customFormat="1" ht="15" x14ac:dyDescent="0.2">
      <c r="A58" s="443" t="s">
        <v>446</v>
      </c>
      <c r="B58" s="443" t="str">
        <f t="shared" ref="B58:B67" ca="1" si="0">IF(ISNA(INDEX(ErrorTable,MATCH($A$57&amp;$A58&amp;FALSE,ErrorKey,0),6)),"",INDEX(ErrorTable,MATCH($A$57&amp;$A58&amp;FALSE,ErrorKey,0),6))</f>
        <v>All questions have not been answered.</v>
      </c>
      <c r="D58" s="443"/>
    </row>
    <row r="59" spans="1:11" s="14" customFormat="1" ht="15" x14ac:dyDescent="0.2">
      <c r="A59" s="443" t="s">
        <v>447</v>
      </c>
      <c r="B59" s="443" t="str">
        <f t="shared" ca="1" si="0"/>
        <v/>
      </c>
      <c r="D59" s="443"/>
    </row>
    <row r="60" spans="1:11" s="14" customFormat="1" ht="15" x14ac:dyDescent="0.2">
      <c r="A60" s="443" t="s">
        <v>448</v>
      </c>
      <c r="B60" s="443" t="str">
        <f t="shared" ca="1" si="0"/>
        <v/>
      </c>
      <c r="D60" s="443"/>
    </row>
    <row r="61" spans="1:11" s="14" customFormat="1" ht="15" x14ac:dyDescent="0.2">
      <c r="A61" s="443" t="s">
        <v>450</v>
      </c>
      <c r="B61" s="443" t="str">
        <f t="shared" ca="1" si="0"/>
        <v/>
      </c>
      <c r="D61" s="443"/>
    </row>
    <row r="62" spans="1:11" s="14" customFormat="1" ht="15" x14ac:dyDescent="0.2">
      <c r="A62" s="443" t="s">
        <v>451</v>
      </c>
      <c r="B62" s="443" t="str">
        <f t="shared" ca="1" si="0"/>
        <v/>
      </c>
      <c r="D62" s="443"/>
    </row>
    <row r="63" spans="1:11" s="14" customFormat="1" ht="15" x14ac:dyDescent="0.2">
      <c r="A63" s="443" t="s">
        <v>452</v>
      </c>
      <c r="B63" s="443" t="str">
        <f t="shared" ca="1" si="0"/>
        <v/>
      </c>
      <c r="D63" s="443"/>
    </row>
    <row r="64" spans="1:11" s="14" customFormat="1" ht="15" x14ac:dyDescent="0.2">
      <c r="A64" s="443" t="s">
        <v>453</v>
      </c>
      <c r="B64" s="443" t="str">
        <f t="shared" ca="1" si="0"/>
        <v/>
      </c>
      <c r="D64" s="443"/>
    </row>
    <row r="65" spans="1:4" s="14" customFormat="1" ht="16.350000000000001" customHeight="1" x14ac:dyDescent="0.2">
      <c r="A65" s="443" t="s">
        <v>454</v>
      </c>
      <c r="B65" s="443" t="str">
        <f t="shared" ca="1" si="0"/>
        <v/>
      </c>
      <c r="D65" s="443"/>
    </row>
    <row r="66" spans="1:4" s="14" customFormat="1" ht="15" x14ac:dyDescent="0.2">
      <c r="A66" s="443" t="s">
        <v>455</v>
      </c>
      <c r="B66" s="443" t="str">
        <f t="shared" ca="1" si="0"/>
        <v/>
      </c>
      <c r="D66" s="443"/>
    </row>
    <row r="67" spans="1:4" s="14" customFormat="1" ht="15" x14ac:dyDescent="0.2">
      <c r="A67" s="443" t="s">
        <v>456</v>
      </c>
      <c r="B67" s="443" t="str">
        <f t="shared" ca="1" si="0"/>
        <v/>
      </c>
      <c r="D67" s="443"/>
    </row>
    <row r="68" spans="1:4" s="14" customFormat="1" ht="10.35" customHeight="1" x14ac:dyDescent="0.2"/>
    <row r="69" spans="1:4" s="14" customFormat="1" x14ac:dyDescent="0.2"/>
    <row r="70" spans="1:4" s="14" customFormat="1" x14ac:dyDescent="0.2"/>
    <row r="71" spans="1:4" s="14" customFormat="1" ht="6" customHeight="1" x14ac:dyDescent="0.2"/>
    <row r="72" spans="1:4" s="14" customFormat="1" ht="12.75" customHeight="1" x14ac:dyDescent="0.2"/>
    <row r="73" spans="1:4" s="14" customFormat="1" x14ac:dyDescent="0.2"/>
    <row r="76" spans="1:4" ht="10.35" customHeight="1" x14ac:dyDescent="0.2"/>
    <row r="77" spans="1:4" ht="12.75" customHeight="1" x14ac:dyDescent="0.2"/>
    <row r="79" spans="1:4" ht="16.350000000000001" customHeight="1" x14ac:dyDescent="0.2"/>
    <row r="80" spans="1:4" ht="6" customHeight="1" x14ac:dyDescent="0.2"/>
    <row r="82" ht="6" customHeight="1" x14ac:dyDescent="0.2"/>
    <row r="83" ht="10.35" customHeight="1" x14ac:dyDescent="0.2"/>
    <row r="84" ht="10.35" customHeight="1" x14ac:dyDescent="0.2"/>
    <row r="85" ht="10.35" customHeight="1" x14ac:dyDescent="0.2"/>
    <row r="86" ht="10.35" customHeight="1" x14ac:dyDescent="0.2"/>
    <row r="87" ht="10.35" customHeight="1" x14ac:dyDescent="0.2"/>
    <row r="88" ht="10.35" customHeight="1" x14ac:dyDescent="0.2"/>
    <row r="89" ht="10.35" customHeight="1" x14ac:dyDescent="0.2"/>
    <row r="90" ht="10.35" customHeight="1" x14ac:dyDescent="0.2"/>
    <row r="91" ht="10.35" customHeight="1" x14ac:dyDescent="0.2"/>
    <row r="92" ht="6" customHeight="1" x14ac:dyDescent="0.2"/>
    <row r="93" ht="10.35" customHeight="1" x14ac:dyDescent="0.2"/>
    <row r="94" ht="10.35" customHeight="1" x14ac:dyDescent="0.2"/>
    <row r="95" ht="10.35" customHeight="1" x14ac:dyDescent="0.2"/>
    <row r="96" ht="10.35" customHeight="1" x14ac:dyDescent="0.2"/>
    <row r="97" ht="10.35" customHeight="1" x14ac:dyDescent="0.2"/>
    <row r="98" ht="6" customHeight="1" x14ac:dyDescent="0.2"/>
    <row r="99" ht="10.35" customHeight="1" x14ac:dyDescent="0.2"/>
    <row r="100" ht="6" customHeight="1" x14ac:dyDescent="0.2"/>
    <row r="103" ht="10.35" customHeight="1" x14ac:dyDescent="0.2"/>
  </sheetData>
  <sheetProtection algorithmName="SHA-512" hashValue="DXZCLbXmQl3wTXi9d7zZBw2IJoS0hGXVF5qCmpN74pGqmaEBRFmJ3DsVPXqa+zkIIfx7kqbUzhMni3yURUqc4g==" saltValue="kBT20eH4nD7rtaJj5s0pfw==" spinCount="100000" sheet="1" objects="1" scenarios="1" autoFilter="0"/>
  <customSheetViews>
    <customSheetView guid="{B08879A4-635B-4C39-9937-AC7883D562FC}" showGridLines="0" fitToPage="1" hiddenColumns="1" topLeftCell="B1">
      <selection activeCell="B12" sqref="B12"/>
      <pageMargins left="0.75" right="0.5" top="0.5" bottom="0.5" header="0.5" footer="0.5"/>
      <pageSetup scale="91" orientation="portrait" r:id="rId1"/>
      <headerFooter alignWithMargins="0">
        <oddFooter>&amp;R&amp;A</oddFooter>
      </headerFooter>
    </customSheetView>
    <customSheetView guid="{1250FD07-FF56-4A9D-AF9E-C27124A7EBE9}" showGridLines="0" fitToPage="1" showRuler="0">
      <selection activeCell="A12" sqref="A12"/>
      <pageMargins left="0.75" right="0.5" top="0.5" bottom="0.5" header="0.5" footer="0.5"/>
      <pageSetup scale="92" orientation="portrait" r:id="rId2"/>
      <headerFooter alignWithMargins="0">
        <oddFooter>&amp;R&amp;A</oddFooter>
      </headerFooter>
    </customSheetView>
    <customSheetView guid="{BEA4BE86-04D1-4C96-9358-7A260B9D2B2D}" showGridLines="0" fitToPage="1" showRuler="0">
      <selection activeCell="A12" sqref="A12"/>
      <pageMargins left="0.75" right="0.5" top="0.5" bottom="0.5" header="0.5" footer="0.5"/>
      <pageSetup scale="92" orientation="portrait" r:id="rId3"/>
      <headerFooter alignWithMargins="0">
        <oddFooter>&amp;R&amp;A</oddFooter>
      </headerFooter>
    </customSheetView>
    <customSheetView guid="{9FCFC836-1CA5-48BF-958D-24D2EA94B219}" showGridLines="0" fitToPage="1" hiddenColumns="1" topLeftCell="B1">
      <selection activeCell="B12" sqref="B12"/>
      <pageMargins left="0.75" right="0.5" top="0.5" bottom="0.5" header="0.5" footer="0.5"/>
      <pageSetup scale="91" orientation="portrait" r:id="rId4"/>
      <headerFooter alignWithMargins="0">
        <oddFooter>&amp;R&amp;A</oddFooter>
      </headerFooter>
    </customSheetView>
  </customSheetViews>
  <mergeCells count="28">
    <mergeCell ref="J54:K54"/>
    <mergeCell ref="I40:J40"/>
    <mergeCell ref="I31:J31"/>
    <mergeCell ref="B31:D31"/>
    <mergeCell ref="B40:D40"/>
    <mergeCell ref="B48:C48"/>
    <mergeCell ref="B45:J45"/>
    <mergeCell ref="E35:K35"/>
    <mergeCell ref="B43:C43"/>
    <mergeCell ref="I39:J39"/>
    <mergeCell ref="I43:K43"/>
    <mergeCell ref="B37:J37"/>
    <mergeCell ref="E34:K34"/>
    <mergeCell ref="D43:G43"/>
    <mergeCell ref="F39:G39"/>
    <mergeCell ref="L1:L3"/>
    <mergeCell ref="B1:K1"/>
    <mergeCell ref="B2:K2"/>
    <mergeCell ref="B3:K3"/>
    <mergeCell ref="H5:K5"/>
    <mergeCell ref="D5:E5"/>
    <mergeCell ref="D7:E7"/>
    <mergeCell ref="H6:K6"/>
    <mergeCell ref="B21:J21"/>
    <mergeCell ref="H7:K7"/>
    <mergeCell ref="I30:J30"/>
    <mergeCell ref="H8:K8"/>
    <mergeCell ref="F30:G30"/>
  </mergeCells>
  <phoneticPr fontId="15" type="noConversion"/>
  <conditionalFormatting sqref="L1:L3">
    <cfRule type="cellIs" dxfId="126" priority="8" stopIfTrue="1" operator="equal">
      <formula>"na"</formula>
    </cfRule>
  </conditionalFormatting>
  <conditionalFormatting sqref="J54:K54">
    <cfRule type="containsText" dxfId="125" priority="7" stopIfTrue="1" operator="containsText" text="Answer Missing">
      <formula>NOT(ISERROR(SEARCH("Answer Missing",J54)))</formula>
    </cfRule>
  </conditionalFormatting>
  <conditionalFormatting sqref="I31:J31">
    <cfRule type="containsText" dxfId="124" priority="6" stopIfTrue="1" operator="containsText" text="Answer Missing">
      <formula>NOT(ISERROR(SEARCH("Answer Missing",I31)))</formula>
    </cfRule>
  </conditionalFormatting>
  <conditionalFormatting sqref="I40:J40">
    <cfRule type="containsText" dxfId="123" priority="5" stopIfTrue="1" operator="containsText" text="Answer Missing">
      <formula>NOT(ISERROR(SEARCH("Answer Missing",I40)))</formula>
    </cfRule>
  </conditionalFormatting>
  <conditionalFormatting sqref="B31">
    <cfRule type="containsText" dxfId="122" priority="4" stopIfTrue="1" operator="containsText" text="Response for Yes needed">
      <formula>NOT(ISERROR(SEARCH("Response for Yes needed",B31)))</formula>
    </cfRule>
  </conditionalFormatting>
  <conditionalFormatting sqref="B31">
    <cfRule type="containsText" dxfId="121" priority="3" stopIfTrue="1" operator="containsText" text="Response for Yes needed">
      <formula>NOT(ISERROR(SEARCH("Response for Yes needed",B31)))</formula>
    </cfRule>
  </conditionalFormatting>
  <conditionalFormatting sqref="B40">
    <cfRule type="containsText" dxfId="120" priority="2" stopIfTrue="1" operator="containsText" text="Response for Yes needed">
      <formula>NOT(ISERROR(SEARCH("Response for Yes needed",B40)))</formula>
    </cfRule>
  </conditionalFormatting>
  <conditionalFormatting sqref="B40">
    <cfRule type="containsText" dxfId="119" priority="1" stopIfTrue="1" operator="containsText" text="Response for Yes needed">
      <formula>NOT(ISERROR(SEARCH("Response for Yes needed",B40)))</formula>
    </cfRule>
  </conditionalFormatting>
  <hyperlinks>
    <hyperlink ref="B1:K1" location="Index!A1" display="Index!A1" xr:uid="{00000000-0004-0000-1700-000000000000}"/>
  </hyperlinks>
  <pageMargins left="0.75" right="0.5" top="0.5" bottom="0.5" header="0.5" footer="0.5"/>
  <pageSetup scale="89" orientation="portrait" r:id="rId5"/>
  <headerFooter alignWithMargins="0">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pageSetUpPr fitToPage="1"/>
  </sheetPr>
  <dimension ref="A1:U140"/>
  <sheetViews>
    <sheetView showGridLines="0" zoomScaleNormal="100" workbookViewId="0">
      <selection activeCell="M38" sqref="M38"/>
    </sheetView>
  </sheetViews>
  <sheetFormatPr defaultColWidth="16.5703125" defaultRowHeight="12.75" x14ac:dyDescent="0.2"/>
  <cols>
    <col min="1" max="1" width="11.42578125" style="38" customWidth="1"/>
    <col min="2" max="2" width="3.42578125" style="38" customWidth="1"/>
    <col min="3" max="3" width="13.5703125" style="38" customWidth="1"/>
    <col min="4" max="4" width="17.5703125" style="38" customWidth="1"/>
    <col min="5" max="5" width="23.140625" style="38" customWidth="1"/>
    <col min="6" max="6" width="1.5703125" style="38" customWidth="1"/>
    <col min="7" max="7" width="27.5703125" style="38" customWidth="1"/>
    <col min="8" max="8" width="4.5703125" style="38" customWidth="1"/>
    <col min="9" max="19" width="9.42578125" style="38" customWidth="1"/>
    <col min="20" max="16384" width="16.5703125" style="38"/>
  </cols>
  <sheetData>
    <row r="1" spans="1:21" s="715" customFormat="1" ht="15" customHeight="1" x14ac:dyDescent="0.25">
      <c r="A1" s="2449" t="str">
        <f>+Index!$A$1</f>
        <v xml:space="preserve">                                                               Office of the State Controller                                                                </v>
      </c>
      <c r="B1" s="2449"/>
      <c r="C1" s="2449"/>
      <c r="D1" s="2449"/>
      <c r="E1" s="2449"/>
      <c r="F1" s="2449"/>
      <c r="G1" s="2449"/>
      <c r="H1" s="2450" t="str">
        <f>IF(Index!$B$45="na","NA","")</f>
        <v/>
      </c>
      <c r="I1" s="713"/>
      <c r="J1" s="713"/>
      <c r="K1" s="713"/>
      <c r="L1" s="713"/>
      <c r="M1" s="714"/>
      <c r="N1" s="714"/>
      <c r="O1" s="714"/>
      <c r="P1" s="714"/>
      <c r="Q1" s="714"/>
      <c r="R1" s="714"/>
      <c r="S1" s="714"/>
      <c r="T1" s="714"/>
      <c r="U1" s="714"/>
    </row>
    <row r="2" spans="1:21" s="715" customFormat="1" ht="15" customHeight="1" x14ac:dyDescent="0.3">
      <c r="A2" s="2620" t="str">
        <f>+Index!$A$2</f>
        <v>2022 ACFR Worksheets</v>
      </c>
      <c r="B2" s="2620"/>
      <c r="C2" s="2620"/>
      <c r="D2" s="2620"/>
      <c r="E2" s="2620"/>
      <c r="F2" s="2620"/>
      <c r="G2" s="2620"/>
      <c r="H2" s="2450"/>
      <c r="I2" s="713"/>
      <c r="J2" s="713"/>
      <c r="K2" s="713"/>
      <c r="L2" s="713"/>
      <c r="M2" s="714"/>
      <c r="N2" s="714"/>
      <c r="O2" s="714"/>
      <c r="P2" s="714"/>
      <c r="Q2" s="714"/>
      <c r="R2" s="714"/>
      <c r="S2" s="714"/>
      <c r="T2" s="714"/>
      <c r="U2" s="714"/>
    </row>
    <row r="3" spans="1:21" s="715" customFormat="1" ht="15" customHeight="1" x14ac:dyDescent="0.3">
      <c r="A3" s="2620" t="s">
        <v>3521</v>
      </c>
      <c r="B3" s="2620"/>
      <c r="C3" s="2620"/>
      <c r="D3" s="2620"/>
      <c r="E3" s="2620"/>
      <c r="F3" s="2620"/>
      <c r="G3" s="2620"/>
      <c r="H3" s="2450"/>
      <c r="I3" s="713"/>
      <c r="J3" s="713"/>
      <c r="K3" s="713"/>
      <c r="L3" s="713"/>
      <c r="M3" s="714"/>
      <c r="N3" s="714"/>
      <c r="O3" s="714"/>
      <c r="P3" s="714"/>
      <c r="Q3" s="714"/>
      <c r="R3" s="714"/>
      <c r="S3" s="714"/>
      <c r="T3" s="714"/>
      <c r="U3" s="714"/>
    </row>
    <row r="4" spans="1:21" s="718" customFormat="1" ht="15" customHeight="1" x14ac:dyDescent="0.3">
      <c r="A4" s="716"/>
      <c r="B4" s="716"/>
      <c r="C4" s="716"/>
      <c r="D4" s="716"/>
      <c r="F4" s="430"/>
      <c r="G4" s="430"/>
      <c r="H4" s="716"/>
      <c r="I4" s="717"/>
      <c r="J4" s="717"/>
      <c r="K4" s="717"/>
      <c r="L4" s="717"/>
      <c r="M4" s="124"/>
      <c r="N4" s="124"/>
      <c r="O4" s="124"/>
      <c r="P4" s="124"/>
      <c r="Q4" s="124"/>
      <c r="R4" s="124"/>
      <c r="S4" s="124"/>
      <c r="T4" s="124"/>
      <c r="U4" s="124"/>
    </row>
    <row r="5" spans="1:21" s="124" customFormat="1" ht="15" customHeight="1" x14ac:dyDescent="0.2">
      <c r="A5" s="256"/>
      <c r="B5" s="125"/>
      <c r="C5" s="257"/>
      <c r="D5" s="125"/>
      <c r="E5" s="123" t="s">
        <v>327</v>
      </c>
      <c r="F5" s="122"/>
      <c r="G5" s="39" t="str">
        <f>+Index!$E$10</f>
        <v>01</v>
      </c>
      <c r="H5" s="126"/>
      <c r="I5" s="127" t="s">
        <v>973</v>
      </c>
      <c r="J5" s="127"/>
      <c r="K5" s="127"/>
      <c r="L5" s="126"/>
    </row>
    <row r="6" spans="1:21" s="124" customFormat="1" ht="15" customHeight="1" x14ac:dyDescent="0.2">
      <c r="A6" s="122"/>
      <c r="B6" s="122"/>
      <c r="C6" s="122"/>
      <c r="D6" s="122"/>
      <c r="E6" s="123" t="s">
        <v>1154</v>
      </c>
      <c r="F6" s="122"/>
      <c r="G6" s="39" t="str">
        <f>+Index!$E$11</f>
        <v>North Carolina General Assembly</v>
      </c>
      <c r="H6" s="128"/>
      <c r="I6" s="128"/>
      <c r="J6" s="128"/>
    </row>
    <row r="7" spans="1:21" s="124" customFormat="1" ht="15" customHeight="1" x14ac:dyDescent="0.25">
      <c r="A7" s="122" t="s">
        <v>477</v>
      </c>
      <c r="B7" s="122"/>
      <c r="C7" s="719" t="s">
        <v>805</v>
      </c>
      <c r="D7" s="122"/>
      <c r="E7" s="123" t="s">
        <v>972</v>
      </c>
      <c r="F7" s="122"/>
      <c r="G7" s="771" t="str">
        <f>CONCATENATE(Index!$E$12," ",Index!$E$14)</f>
        <v xml:space="preserve"> </v>
      </c>
      <c r="H7" s="128"/>
      <c r="I7" s="717"/>
      <c r="J7" s="717"/>
    </row>
    <row r="8" spans="1:21" s="124" customFormat="1" ht="15" customHeight="1" x14ac:dyDescent="0.25">
      <c r="A8" s="122"/>
      <c r="B8" s="122"/>
      <c r="C8" s="257"/>
      <c r="D8" s="122"/>
      <c r="E8" s="123" t="s">
        <v>348</v>
      </c>
      <c r="F8" s="122"/>
      <c r="G8" s="907">
        <f>+Index!$E$13</f>
        <v>0</v>
      </c>
      <c r="H8" s="128"/>
      <c r="I8" s="717"/>
      <c r="J8" s="717"/>
    </row>
    <row r="9" spans="1:21" s="124" customFormat="1" ht="6.75" customHeight="1" thickBot="1" x14ac:dyDescent="0.25">
      <c r="A9" s="129"/>
      <c r="B9" s="129"/>
      <c r="C9" s="129"/>
      <c r="D9" s="129"/>
      <c r="E9" s="129"/>
      <c r="F9" s="129"/>
      <c r="G9" s="129"/>
    </row>
    <row r="10" spans="1:21" s="124" customFormat="1" ht="12.75" customHeight="1" thickBot="1" x14ac:dyDescent="0.25"/>
    <row r="11" spans="1:21" s="124" customFormat="1" ht="12.75" customHeight="1" thickTop="1" x14ac:dyDescent="0.2">
      <c r="A11" s="1322" t="s">
        <v>3441</v>
      </c>
      <c r="B11" s="1323"/>
      <c r="C11" s="1323"/>
      <c r="D11" s="1323"/>
      <c r="E11" s="1324"/>
      <c r="F11" s="1324"/>
      <c r="G11" s="1325"/>
    </row>
    <row r="12" spans="1:21" s="124" customFormat="1" ht="12.75" customHeight="1" x14ac:dyDescent="0.2">
      <c r="A12" s="1326" t="s">
        <v>4001</v>
      </c>
      <c r="B12" s="1327"/>
      <c r="C12" s="1327"/>
      <c r="D12" s="1327"/>
      <c r="E12" s="1328"/>
      <c r="F12" s="1328"/>
      <c r="G12" s="1329"/>
    </row>
    <row r="13" spans="1:21" s="124" customFormat="1" ht="12.75" customHeight="1" x14ac:dyDescent="0.2">
      <c r="A13" s="1326" t="s">
        <v>4002</v>
      </c>
      <c r="B13" s="1327"/>
      <c r="C13" s="1327"/>
      <c r="D13" s="1327"/>
      <c r="E13" s="1328"/>
      <c r="F13" s="1328"/>
      <c r="G13" s="1329"/>
    </row>
    <row r="14" spans="1:21" s="124" customFormat="1" ht="12.75" customHeight="1" x14ac:dyDescent="0.2">
      <c r="A14" s="1326" t="s">
        <v>4000</v>
      </c>
      <c r="B14" s="1327"/>
      <c r="C14" s="1327"/>
      <c r="D14" s="1327"/>
      <c r="E14" s="1328"/>
      <c r="F14" s="1328"/>
      <c r="G14" s="1329"/>
    </row>
    <row r="15" spans="1:21" s="124" customFormat="1" ht="12.75" customHeight="1" x14ac:dyDescent="0.2">
      <c r="A15" s="1326" t="s">
        <v>4004</v>
      </c>
      <c r="B15" s="1327"/>
      <c r="C15" s="1327"/>
      <c r="D15" s="1327"/>
      <c r="E15" s="1328"/>
      <c r="F15" s="1328"/>
      <c r="G15" s="1329"/>
    </row>
    <row r="16" spans="1:21" s="124" customFormat="1" ht="12.75" customHeight="1" x14ac:dyDescent="0.2">
      <c r="A16" s="1326" t="s">
        <v>4003</v>
      </c>
      <c r="B16" s="1327"/>
      <c r="C16" s="1327"/>
      <c r="D16" s="1327"/>
      <c r="E16" s="1328"/>
      <c r="F16" s="1328"/>
      <c r="G16" s="1329"/>
    </row>
    <row r="17" spans="1:8" s="124" customFormat="1" ht="12.75" customHeight="1" x14ac:dyDescent="0.2">
      <c r="A17" s="1326"/>
      <c r="B17" s="1327"/>
      <c r="C17" s="1327"/>
      <c r="D17" s="1327"/>
      <c r="E17" s="1328"/>
      <c r="F17" s="1328"/>
      <c r="G17" s="1329"/>
    </row>
    <row r="18" spans="1:8" s="124" customFormat="1" ht="12.75" customHeight="1" x14ac:dyDescent="0.2">
      <c r="A18" s="1326" t="s">
        <v>3855</v>
      </c>
      <c r="B18" s="1327"/>
      <c r="C18" s="1327"/>
      <c r="D18" s="1327"/>
      <c r="E18" s="1328"/>
      <c r="F18" s="1328"/>
      <c r="G18" s="1329"/>
    </row>
    <row r="19" spans="1:8" s="124" customFormat="1" ht="12.75" customHeight="1" thickBot="1" x14ac:dyDescent="0.25">
      <c r="A19" s="1330" t="s">
        <v>3856</v>
      </c>
      <c r="B19" s="1331"/>
      <c r="C19" s="1331"/>
      <c r="D19" s="1331"/>
      <c r="E19" s="1331"/>
      <c r="F19" s="1331"/>
      <c r="G19" s="1332"/>
    </row>
    <row r="20" spans="1:8" s="124" customFormat="1" ht="12.75" customHeight="1" thickTop="1" x14ac:dyDescent="0.2">
      <c r="A20" s="122"/>
    </row>
    <row r="21" spans="1:8" s="124" customFormat="1" ht="15" customHeight="1" x14ac:dyDescent="0.25">
      <c r="A21" s="756" t="s">
        <v>4807</v>
      </c>
    </row>
    <row r="22" spans="1:8" s="124" customFormat="1" ht="15" customHeight="1" x14ac:dyDescent="0.2">
      <c r="A22" s="38" t="s">
        <v>4808</v>
      </c>
      <c r="B22" s="38"/>
      <c r="C22" s="38"/>
      <c r="D22" s="38"/>
      <c r="E22" s="38"/>
      <c r="F22" s="38"/>
      <c r="G22" s="38"/>
    </row>
    <row r="23" spans="1:8" s="124" customFormat="1" ht="15" customHeight="1" x14ac:dyDescent="0.2">
      <c r="A23" s="38" t="s">
        <v>4809</v>
      </c>
      <c r="B23" s="38"/>
      <c r="C23" s="38"/>
      <c r="D23" s="38"/>
      <c r="E23" s="38"/>
      <c r="F23" s="38"/>
      <c r="G23" s="38"/>
    </row>
    <row r="24" spans="1:8" s="124" customFormat="1" ht="15" customHeight="1" x14ac:dyDescent="0.2">
      <c r="A24" s="38" t="s">
        <v>4810</v>
      </c>
      <c r="B24" s="38"/>
      <c r="C24" s="38"/>
      <c r="D24" s="38"/>
      <c r="E24" s="38"/>
      <c r="F24" s="38"/>
      <c r="G24" s="38"/>
    </row>
    <row r="25" spans="1:8" s="124" customFormat="1" ht="15" customHeight="1" x14ac:dyDescent="0.2"/>
    <row r="26" spans="1:8" s="124" customFormat="1" ht="15" customHeight="1" x14ac:dyDescent="0.2">
      <c r="A26" s="124" t="s">
        <v>570</v>
      </c>
    </row>
    <row r="27" spans="1:8" s="124" customFormat="1" ht="12" customHeight="1" x14ac:dyDescent="0.2"/>
    <row r="28" spans="1:8" s="720" customFormat="1" ht="15" customHeight="1" x14ac:dyDescent="0.2">
      <c r="C28" s="720" t="s">
        <v>130</v>
      </c>
    </row>
    <row r="29" spans="1:8" s="720" customFormat="1" ht="15" customHeight="1" x14ac:dyDescent="0.2">
      <c r="C29" s="720" t="s">
        <v>560</v>
      </c>
    </row>
    <row r="30" spans="1:8" s="720" customFormat="1" ht="15" customHeight="1" x14ac:dyDescent="0.2">
      <c r="C30" s="720" t="s">
        <v>561</v>
      </c>
    </row>
    <row r="31" spans="1:8" s="720" customFormat="1" ht="15" customHeight="1" x14ac:dyDescent="0.2">
      <c r="C31" s="720" t="s">
        <v>562</v>
      </c>
    </row>
    <row r="32" spans="1:8" s="124" customFormat="1" ht="15" customHeight="1" thickBot="1" x14ac:dyDescent="0.25">
      <c r="C32" s="721" t="s">
        <v>131</v>
      </c>
      <c r="D32" s="721"/>
      <c r="E32" s="721"/>
      <c r="H32" s="722"/>
    </row>
    <row r="33" spans="1:21" s="124" customFormat="1" ht="12" customHeight="1" thickTop="1" x14ac:dyDescent="0.2">
      <c r="E33" s="722"/>
      <c r="F33" s="722"/>
      <c r="G33" s="722"/>
      <c r="H33" s="722"/>
    </row>
    <row r="34" spans="1:21" s="124" customFormat="1" ht="15" customHeight="1" x14ac:dyDescent="0.2"/>
    <row r="35" spans="1:21" s="723" customFormat="1" ht="12" customHeight="1" x14ac:dyDescent="0.2">
      <c r="A35" s="124"/>
      <c r="B35" s="124"/>
      <c r="C35" s="124"/>
      <c r="D35" s="124"/>
      <c r="E35" s="124"/>
      <c r="G35" s="124"/>
      <c r="H35" s="124"/>
      <c r="I35" s="124"/>
      <c r="J35" s="124"/>
      <c r="K35" s="124"/>
      <c r="L35" s="124"/>
      <c r="M35" s="124"/>
      <c r="N35" s="124"/>
      <c r="O35" s="124"/>
      <c r="P35" s="124"/>
      <c r="Q35" s="124"/>
      <c r="R35" s="124"/>
      <c r="S35" s="124"/>
      <c r="T35" s="124"/>
      <c r="U35" s="124"/>
    </row>
    <row r="36" spans="1:21" s="723" customFormat="1" ht="38.25" x14ac:dyDescent="0.2">
      <c r="A36" s="124"/>
      <c r="B36" s="124"/>
      <c r="C36" s="124"/>
      <c r="D36" s="124"/>
      <c r="E36" s="124"/>
      <c r="G36" s="724" t="s">
        <v>4813</v>
      </c>
      <c r="H36" s="124"/>
      <c r="I36" s="124"/>
      <c r="J36" s="124"/>
      <c r="K36" s="124"/>
      <c r="L36" s="124"/>
      <c r="M36" s="124"/>
      <c r="N36" s="124"/>
      <c r="O36" s="124"/>
      <c r="P36" s="124"/>
      <c r="Q36" s="124"/>
      <c r="R36" s="124"/>
      <c r="S36" s="124"/>
      <c r="T36" s="124"/>
      <c r="U36" s="124"/>
    </row>
    <row r="37" spans="1:21" s="124" customFormat="1" ht="20.100000000000001" customHeight="1" x14ac:dyDescent="0.2">
      <c r="B37" s="2621" t="s">
        <v>3577</v>
      </c>
      <c r="C37" s="2622"/>
      <c r="D37" s="2622"/>
      <c r="E37" s="2622"/>
      <c r="G37" s="519"/>
    </row>
    <row r="38" spans="1:21" s="124" customFormat="1" ht="20.100000000000001" customHeight="1" thickBot="1" x14ac:dyDescent="0.25">
      <c r="B38" s="2621" t="s">
        <v>4811</v>
      </c>
      <c r="C38" s="2622"/>
      <c r="D38" s="2622"/>
      <c r="E38" s="2622"/>
      <c r="G38" s="1404"/>
    </row>
    <row r="39" spans="1:21" s="124" customFormat="1" ht="25.35" customHeight="1" thickBot="1" x14ac:dyDescent="0.25">
      <c r="B39" s="2618" t="s">
        <v>4812</v>
      </c>
      <c r="C39" s="2619"/>
      <c r="D39" s="2619"/>
      <c r="E39" s="2619"/>
      <c r="G39" s="1421">
        <f>SUM(G37:G38)</f>
        <v>0</v>
      </c>
    </row>
    <row r="40" spans="1:21" s="124" customFormat="1" ht="15" customHeight="1" thickTop="1" x14ac:dyDescent="0.2"/>
    <row r="41" spans="1:21" s="124" customFormat="1" ht="15" customHeight="1" x14ac:dyDescent="0.2"/>
    <row r="42" spans="1:21" s="726" customFormat="1" ht="15" customHeight="1" x14ac:dyDescent="0.2">
      <c r="C42" s="725"/>
      <c r="D42" s="725"/>
      <c r="F42" s="725"/>
      <c r="G42" s="725"/>
      <c r="H42" s="725"/>
      <c r="I42" s="725"/>
      <c r="J42" s="725"/>
      <c r="K42" s="725"/>
      <c r="L42" s="725"/>
      <c r="M42" s="725"/>
      <c r="N42" s="725"/>
      <c r="O42" s="725"/>
      <c r="P42" s="725"/>
      <c r="Q42" s="725"/>
      <c r="R42" s="725"/>
      <c r="S42" s="725"/>
      <c r="T42" s="725"/>
      <c r="U42" s="725"/>
    </row>
    <row r="43" spans="1:21" s="726" customFormat="1" ht="15" customHeight="1" x14ac:dyDescent="0.25">
      <c r="A43" s="756" t="s">
        <v>3444</v>
      </c>
      <c r="C43" s="725"/>
      <c r="D43" s="725"/>
      <c r="F43" s="725"/>
      <c r="G43" s="725"/>
      <c r="H43" s="725"/>
      <c r="I43" s="725"/>
      <c r="J43" s="725"/>
      <c r="K43" s="725"/>
      <c r="L43" s="725"/>
      <c r="M43" s="725"/>
      <c r="N43" s="725"/>
      <c r="O43" s="725"/>
      <c r="P43" s="725"/>
      <c r="Q43" s="725"/>
      <c r="R43" s="725"/>
      <c r="S43" s="725"/>
      <c r="T43" s="725"/>
      <c r="U43" s="725"/>
    </row>
    <row r="44" spans="1:21" s="726" customFormat="1" ht="15" customHeight="1" x14ac:dyDescent="0.2">
      <c r="C44" s="725"/>
      <c r="D44" s="725"/>
      <c r="F44" s="725"/>
      <c r="G44" s="725"/>
      <c r="H44" s="725"/>
      <c r="I44" s="725"/>
      <c r="J44" s="725"/>
      <c r="K44" s="725"/>
      <c r="L44" s="725"/>
      <c r="M44" s="725"/>
      <c r="N44" s="725"/>
      <c r="O44" s="725"/>
      <c r="P44" s="725"/>
      <c r="Q44" s="725"/>
      <c r="R44" s="725"/>
      <c r="S44" s="725"/>
      <c r="T44" s="725"/>
      <c r="U44" s="725"/>
    </row>
    <row r="45" spans="1:21" s="726" customFormat="1" ht="25.5" customHeight="1" x14ac:dyDescent="0.2">
      <c r="B45" s="124"/>
      <c r="C45" s="124"/>
      <c r="D45" s="124"/>
      <c r="E45" s="124"/>
      <c r="F45" s="723"/>
      <c r="G45" s="724" t="s">
        <v>3578</v>
      </c>
      <c r="H45" s="725"/>
      <c r="I45" s="725"/>
      <c r="J45" s="725"/>
      <c r="K45" s="725"/>
      <c r="L45" s="725"/>
      <c r="M45" s="725"/>
      <c r="N45" s="725"/>
      <c r="O45" s="725"/>
      <c r="P45" s="725"/>
      <c r="Q45" s="725"/>
      <c r="R45" s="725"/>
      <c r="S45" s="725"/>
      <c r="T45" s="725"/>
      <c r="U45" s="725"/>
    </row>
    <row r="46" spans="1:21" s="726" customFormat="1" ht="15" customHeight="1" x14ac:dyDescent="0.2">
      <c r="B46" s="2621" t="s">
        <v>3999</v>
      </c>
      <c r="C46" s="2622"/>
      <c r="D46" s="2622"/>
      <c r="E46" s="2622"/>
      <c r="F46" s="124"/>
      <c r="G46" s="519"/>
      <c r="H46" s="725"/>
      <c r="I46" s="725"/>
      <c r="J46" s="725"/>
      <c r="K46" s="725"/>
      <c r="L46" s="725"/>
      <c r="M46" s="725"/>
      <c r="N46" s="725"/>
      <c r="O46" s="725"/>
      <c r="P46" s="725"/>
      <c r="Q46" s="725"/>
      <c r="R46" s="725"/>
      <c r="S46" s="725"/>
      <c r="T46" s="725"/>
      <c r="U46" s="725"/>
    </row>
    <row r="47" spans="1:21" s="726" customFormat="1" ht="15" customHeight="1" x14ac:dyDescent="0.2">
      <c r="B47" s="519"/>
      <c r="C47" s="519"/>
      <c r="D47" s="519"/>
      <c r="E47" s="519"/>
      <c r="F47" s="124"/>
      <c r="G47" s="519"/>
      <c r="H47" s="725"/>
      <c r="I47" s="725"/>
      <c r="J47" s="725"/>
      <c r="K47" s="725"/>
      <c r="L47" s="725"/>
      <c r="M47" s="725"/>
      <c r="N47" s="725"/>
      <c r="O47" s="725"/>
      <c r="P47" s="725"/>
      <c r="Q47" s="725"/>
      <c r="R47" s="725"/>
      <c r="S47" s="725"/>
      <c r="T47" s="725"/>
      <c r="U47" s="725"/>
    </row>
    <row r="48" spans="1:21" s="726" customFormat="1" ht="15" customHeight="1" thickBot="1" x14ac:dyDescent="0.25">
      <c r="B48" s="519"/>
      <c r="C48" s="519"/>
      <c r="D48" s="519"/>
      <c r="E48" s="519"/>
      <c r="F48" s="124"/>
      <c r="G48" s="1404"/>
      <c r="H48" s="725"/>
      <c r="I48" s="725"/>
      <c r="J48" s="725"/>
      <c r="K48" s="725"/>
      <c r="L48" s="725"/>
      <c r="M48" s="725"/>
      <c r="N48" s="725"/>
      <c r="O48" s="725"/>
      <c r="P48" s="725"/>
      <c r="Q48" s="725"/>
      <c r="R48" s="725"/>
      <c r="S48" s="725"/>
      <c r="T48" s="725"/>
      <c r="U48" s="725"/>
    </row>
    <row r="49" spans="1:21" s="726" customFormat="1" ht="25.5" customHeight="1" thickBot="1" x14ac:dyDescent="0.25">
      <c r="B49" s="2618" t="s">
        <v>3579</v>
      </c>
      <c r="C49" s="2619"/>
      <c r="D49" s="2619"/>
      <c r="E49" s="2619"/>
      <c r="F49" s="124"/>
      <c r="G49" s="1421">
        <f>SUM(G46:G48)</f>
        <v>0</v>
      </c>
      <c r="H49" s="725"/>
      <c r="I49" s="725"/>
      <c r="J49" s="725"/>
      <c r="K49" s="725"/>
      <c r="L49" s="725"/>
      <c r="M49" s="725"/>
      <c r="N49" s="725"/>
      <c r="O49" s="725"/>
      <c r="P49" s="725"/>
      <c r="Q49" s="725"/>
      <c r="R49" s="725"/>
      <c r="S49" s="725"/>
      <c r="T49" s="725"/>
      <c r="U49" s="725"/>
    </row>
    <row r="50" spans="1:21" s="726" customFormat="1" ht="15" customHeight="1" thickTop="1" x14ac:dyDescent="0.2">
      <c r="B50" s="684"/>
      <c r="C50" s="1405"/>
      <c r="D50" s="124"/>
      <c r="E50" s="124"/>
      <c r="F50" s="124"/>
      <c r="G50" s="1404"/>
      <c r="H50" s="725"/>
      <c r="I50" s="725"/>
      <c r="J50" s="725"/>
      <c r="K50" s="725"/>
      <c r="L50" s="725"/>
      <c r="M50" s="725"/>
      <c r="N50" s="725"/>
      <c r="O50" s="725"/>
      <c r="P50" s="725"/>
      <c r="Q50" s="725"/>
      <c r="R50" s="725"/>
      <c r="S50" s="725"/>
      <c r="T50" s="725"/>
      <c r="U50" s="725"/>
    </row>
    <row r="51" spans="1:21" s="726" customFormat="1" ht="15" customHeight="1" x14ac:dyDescent="0.2">
      <c r="A51" s="38" t="s">
        <v>3581</v>
      </c>
      <c r="C51" s="725"/>
      <c r="D51" s="725"/>
      <c r="F51" s="725"/>
      <c r="G51" s="725"/>
      <c r="H51" s="725"/>
      <c r="I51" s="725"/>
      <c r="J51" s="725"/>
      <c r="K51" s="725"/>
      <c r="L51" s="725"/>
      <c r="M51" s="725"/>
      <c r="N51" s="725"/>
      <c r="O51" s="725"/>
      <c r="P51" s="725"/>
      <c r="Q51" s="725"/>
      <c r="R51" s="725"/>
      <c r="S51" s="725"/>
      <c r="T51" s="725"/>
      <c r="U51" s="725"/>
    </row>
    <row r="52" spans="1:21" s="726" customFormat="1" ht="15" customHeight="1" x14ac:dyDescent="0.2">
      <c r="A52" s="38" t="s">
        <v>3580</v>
      </c>
      <c r="C52" s="725"/>
      <c r="D52" s="725"/>
      <c r="F52" s="725"/>
      <c r="G52" s="725"/>
      <c r="H52" s="725"/>
      <c r="I52" s="725"/>
      <c r="J52" s="725"/>
      <c r="K52" s="725"/>
      <c r="L52" s="725"/>
      <c r="M52" s="725"/>
      <c r="N52" s="725"/>
      <c r="O52" s="725"/>
      <c r="P52" s="725"/>
      <c r="Q52" s="725"/>
      <c r="R52" s="725"/>
      <c r="S52" s="725"/>
      <c r="T52" s="725"/>
      <c r="U52" s="725"/>
    </row>
    <row r="53" spans="1:21" s="726" customFormat="1" ht="15" customHeight="1" x14ac:dyDescent="0.2">
      <c r="A53" s="122"/>
      <c r="C53" s="725"/>
      <c r="D53" s="725"/>
      <c r="F53" s="725"/>
      <c r="G53" s="725"/>
      <c r="H53" s="725"/>
      <c r="I53" s="725"/>
      <c r="J53" s="725"/>
      <c r="K53" s="725"/>
      <c r="L53" s="725"/>
      <c r="M53" s="725"/>
      <c r="N53" s="725"/>
      <c r="O53" s="725"/>
      <c r="P53" s="725"/>
      <c r="Q53" s="725"/>
      <c r="R53" s="725"/>
      <c r="S53" s="725"/>
      <c r="T53" s="725"/>
      <c r="U53" s="725"/>
    </row>
    <row r="54" spans="1:21" s="726" customFormat="1" ht="15" customHeight="1" x14ac:dyDescent="0.2">
      <c r="A54" s="122"/>
      <c r="E54" s="725"/>
      <c r="F54" s="725"/>
      <c r="H54" s="725"/>
      <c r="I54" s="725"/>
      <c r="J54" s="725"/>
      <c r="K54" s="725"/>
      <c r="L54" s="725"/>
      <c r="M54" s="725"/>
      <c r="N54" s="725"/>
      <c r="O54" s="725"/>
      <c r="P54" s="725"/>
      <c r="Q54" s="725"/>
      <c r="R54" s="725"/>
      <c r="S54" s="725"/>
      <c r="T54" s="725"/>
      <c r="U54" s="725"/>
    </row>
    <row r="55" spans="1:21" s="726" customFormat="1" ht="15" customHeight="1" x14ac:dyDescent="0.2">
      <c r="E55" s="725"/>
      <c r="F55" s="725"/>
      <c r="G55" s="725"/>
      <c r="H55" s="725"/>
      <c r="I55" s="725"/>
      <c r="J55" s="725"/>
      <c r="K55" s="725"/>
      <c r="L55" s="725"/>
      <c r="M55" s="725"/>
      <c r="N55" s="725"/>
      <c r="O55" s="725"/>
      <c r="P55" s="725"/>
      <c r="Q55" s="725"/>
      <c r="R55" s="725"/>
      <c r="S55" s="725"/>
      <c r="T55" s="725"/>
      <c r="U55" s="725"/>
    </row>
    <row r="56" spans="1:21" ht="15" customHeight="1" x14ac:dyDescent="0.2">
      <c r="E56" s="725"/>
      <c r="F56" s="725"/>
      <c r="G56" s="725"/>
      <c r="H56" s="725"/>
      <c r="I56" s="725"/>
      <c r="J56" s="725"/>
      <c r="K56" s="725"/>
      <c r="L56" s="725"/>
      <c r="M56" s="725"/>
      <c r="N56" s="725"/>
      <c r="O56" s="725"/>
      <c r="P56" s="725"/>
      <c r="Q56" s="725"/>
      <c r="R56" s="725"/>
      <c r="S56" s="725"/>
      <c r="T56" s="725"/>
      <c r="U56" s="725"/>
    </row>
    <row r="57" spans="1:21" ht="15" customHeight="1" x14ac:dyDescent="0.2">
      <c r="E57" s="725"/>
      <c r="F57" s="725"/>
      <c r="G57" s="725"/>
      <c r="H57" s="725"/>
      <c r="I57" s="725"/>
      <c r="J57" s="725"/>
      <c r="K57" s="725"/>
      <c r="L57" s="725"/>
      <c r="M57" s="725"/>
      <c r="N57" s="725"/>
      <c r="O57" s="725"/>
      <c r="P57" s="725"/>
      <c r="Q57" s="725"/>
      <c r="R57" s="725"/>
      <c r="S57" s="725"/>
      <c r="T57" s="725"/>
      <c r="U57" s="725"/>
    </row>
    <row r="58" spans="1:21" ht="15" customHeight="1" x14ac:dyDescent="0.2">
      <c r="M58" s="725"/>
      <c r="N58" s="725"/>
      <c r="O58" s="725"/>
      <c r="P58" s="725"/>
      <c r="Q58" s="725"/>
      <c r="R58" s="725"/>
      <c r="S58" s="725"/>
      <c r="T58" s="725"/>
      <c r="U58" s="725"/>
    </row>
    <row r="59" spans="1:21" ht="15" customHeight="1" x14ac:dyDescent="0.2">
      <c r="M59" s="725"/>
      <c r="N59" s="725"/>
      <c r="O59" s="725"/>
      <c r="P59" s="725"/>
      <c r="Q59" s="725"/>
      <c r="R59" s="725"/>
      <c r="S59" s="725"/>
      <c r="T59" s="725"/>
      <c r="U59" s="725"/>
    </row>
    <row r="60" spans="1:21" ht="15" customHeight="1" x14ac:dyDescent="0.2">
      <c r="M60" s="725"/>
      <c r="N60" s="725"/>
      <c r="O60" s="725"/>
      <c r="P60" s="725"/>
      <c r="Q60" s="725"/>
      <c r="R60" s="725"/>
      <c r="S60" s="725"/>
      <c r="T60" s="725"/>
      <c r="U60" s="725"/>
    </row>
    <row r="61" spans="1:21" ht="15" customHeight="1" x14ac:dyDescent="0.2">
      <c r="M61" s="725"/>
      <c r="N61" s="725"/>
      <c r="O61" s="725"/>
      <c r="P61" s="725"/>
      <c r="Q61" s="725"/>
      <c r="R61" s="725"/>
      <c r="S61" s="725"/>
      <c r="T61" s="725"/>
      <c r="U61" s="725"/>
    </row>
    <row r="62" spans="1:21" ht="15" customHeight="1" x14ac:dyDescent="0.2">
      <c r="M62" s="725"/>
      <c r="N62" s="725"/>
      <c r="O62" s="725"/>
      <c r="P62" s="725"/>
      <c r="Q62" s="725"/>
      <c r="R62" s="725"/>
      <c r="S62" s="725"/>
      <c r="T62" s="725"/>
      <c r="U62" s="725"/>
    </row>
    <row r="63" spans="1:21" ht="15" customHeight="1" x14ac:dyDescent="0.2">
      <c r="M63" s="725"/>
      <c r="N63" s="725"/>
      <c r="O63" s="725"/>
      <c r="P63" s="725"/>
      <c r="Q63" s="725"/>
      <c r="R63" s="725"/>
      <c r="S63" s="725"/>
      <c r="T63" s="725"/>
      <c r="U63" s="725"/>
    </row>
    <row r="64" spans="1:21" ht="15" customHeight="1" x14ac:dyDescent="0.2">
      <c r="M64" s="725"/>
      <c r="N64" s="725"/>
      <c r="O64" s="725"/>
      <c r="P64" s="725"/>
      <c r="Q64" s="725"/>
      <c r="R64" s="725"/>
      <c r="S64" s="725"/>
      <c r="T64" s="725"/>
      <c r="U64" s="725"/>
    </row>
    <row r="65" spans="13:21" ht="15" customHeight="1" x14ac:dyDescent="0.2">
      <c r="M65" s="725"/>
      <c r="N65" s="725"/>
      <c r="O65" s="725"/>
      <c r="P65" s="725"/>
      <c r="Q65" s="725"/>
      <c r="R65" s="725"/>
      <c r="S65" s="725"/>
      <c r="T65" s="725"/>
      <c r="U65" s="725"/>
    </row>
    <row r="66" spans="13:21" ht="15" customHeight="1" x14ac:dyDescent="0.2">
      <c r="M66" s="725"/>
      <c r="N66" s="725"/>
      <c r="O66" s="725"/>
      <c r="P66" s="725"/>
      <c r="Q66" s="725"/>
      <c r="R66" s="725"/>
      <c r="S66" s="725"/>
      <c r="T66" s="725"/>
      <c r="U66" s="725"/>
    </row>
    <row r="67" spans="13:21" ht="15" customHeight="1" x14ac:dyDescent="0.2">
      <c r="M67" s="725"/>
      <c r="N67" s="725"/>
      <c r="O67" s="725"/>
      <c r="P67" s="725"/>
      <c r="Q67" s="725"/>
      <c r="R67" s="725"/>
      <c r="S67" s="725"/>
      <c r="T67" s="725"/>
      <c r="U67" s="725"/>
    </row>
    <row r="68" spans="13:21" ht="15" customHeight="1" x14ac:dyDescent="0.2">
      <c r="M68" s="725"/>
      <c r="N68" s="725"/>
      <c r="O68" s="725"/>
      <c r="P68" s="725"/>
      <c r="Q68" s="725"/>
      <c r="R68" s="725"/>
      <c r="S68" s="725"/>
      <c r="T68" s="725"/>
      <c r="U68" s="725"/>
    </row>
    <row r="69" spans="13:21" ht="15" customHeight="1" x14ac:dyDescent="0.2">
      <c r="M69" s="725"/>
      <c r="N69" s="725"/>
      <c r="O69" s="725"/>
      <c r="P69" s="725"/>
      <c r="Q69" s="725"/>
      <c r="R69" s="725"/>
      <c r="S69" s="725"/>
      <c r="T69" s="725"/>
      <c r="U69" s="725"/>
    </row>
    <row r="70" spans="13:21" ht="15" customHeight="1" x14ac:dyDescent="0.2">
      <c r="M70" s="725"/>
      <c r="N70" s="725"/>
      <c r="O70" s="725"/>
      <c r="P70" s="725"/>
      <c r="Q70" s="725"/>
      <c r="R70" s="725"/>
      <c r="S70" s="725"/>
      <c r="T70" s="725"/>
      <c r="U70" s="725"/>
    </row>
    <row r="71" spans="13:21" ht="15" customHeight="1" x14ac:dyDescent="0.2">
      <c r="M71" s="725"/>
      <c r="N71" s="725"/>
      <c r="O71" s="725"/>
      <c r="P71" s="725"/>
      <c r="Q71" s="725"/>
      <c r="R71" s="725"/>
      <c r="S71" s="725"/>
      <c r="T71" s="725"/>
      <c r="U71" s="725"/>
    </row>
    <row r="72" spans="13:21" ht="15" customHeight="1" x14ac:dyDescent="0.2">
      <c r="M72" s="725"/>
      <c r="N72" s="725"/>
      <c r="O72" s="725"/>
      <c r="P72" s="725"/>
      <c r="Q72" s="725"/>
      <c r="R72" s="725"/>
      <c r="S72" s="725"/>
      <c r="T72" s="725"/>
      <c r="U72" s="725"/>
    </row>
    <row r="73" spans="13:21" ht="15" customHeight="1" x14ac:dyDescent="0.2">
      <c r="M73" s="725"/>
      <c r="N73" s="725"/>
      <c r="O73" s="725"/>
      <c r="P73" s="725"/>
      <c r="Q73" s="725"/>
      <c r="R73" s="725"/>
      <c r="S73" s="725"/>
      <c r="T73" s="725"/>
      <c r="U73" s="725"/>
    </row>
    <row r="74" spans="13:21" ht="15" customHeight="1" x14ac:dyDescent="0.2">
      <c r="M74" s="725"/>
      <c r="N74" s="725"/>
      <c r="O74" s="725"/>
      <c r="P74" s="725"/>
      <c r="Q74" s="725"/>
      <c r="R74" s="725"/>
      <c r="S74" s="725"/>
      <c r="T74" s="725"/>
      <c r="U74" s="725"/>
    </row>
    <row r="75" spans="13:21" ht="15" customHeight="1" x14ac:dyDescent="0.2">
      <c r="M75" s="725"/>
      <c r="N75" s="725"/>
      <c r="O75" s="725"/>
      <c r="P75" s="725"/>
      <c r="Q75" s="725"/>
      <c r="R75" s="725"/>
      <c r="S75" s="725"/>
      <c r="T75" s="725"/>
      <c r="U75" s="725"/>
    </row>
    <row r="76" spans="13:21" ht="15" customHeight="1" x14ac:dyDescent="0.2">
      <c r="M76" s="725"/>
      <c r="N76" s="725"/>
      <c r="O76" s="725"/>
      <c r="P76" s="725"/>
      <c r="Q76" s="725"/>
      <c r="R76" s="725"/>
      <c r="S76" s="725"/>
      <c r="T76" s="725"/>
      <c r="U76" s="725"/>
    </row>
    <row r="77" spans="13:21" ht="15" customHeight="1" x14ac:dyDescent="0.2">
      <c r="M77" s="725"/>
      <c r="N77" s="725"/>
      <c r="O77" s="725"/>
      <c r="P77" s="725"/>
      <c r="Q77" s="725"/>
      <c r="R77" s="725"/>
      <c r="S77" s="725"/>
      <c r="T77" s="725"/>
      <c r="U77" s="725"/>
    </row>
    <row r="78" spans="13:21" ht="15" customHeight="1" x14ac:dyDescent="0.2">
      <c r="M78" s="725"/>
      <c r="N78" s="725"/>
      <c r="O78" s="725"/>
      <c r="P78" s="725"/>
      <c r="Q78" s="725"/>
      <c r="R78" s="725"/>
      <c r="S78" s="725"/>
      <c r="T78" s="725"/>
      <c r="U78" s="725"/>
    </row>
    <row r="79" spans="13:21" ht="15" customHeight="1" x14ac:dyDescent="0.2">
      <c r="M79" s="725"/>
      <c r="N79" s="725"/>
      <c r="O79" s="725"/>
      <c r="P79" s="725"/>
      <c r="Q79" s="725"/>
      <c r="R79" s="725"/>
      <c r="S79" s="725"/>
      <c r="T79" s="725"/>
      <c r="U79" s="725"/>
    </row>
    <row r="80" spans="13:21" x14ac:dyDescent="0.2">
      <c r="M80" s="725"/>
      <c r="N80" s="725"/>
      <c r="O80" s="725"/>
      <c r="P80" s="725"/>
      <c r="Q80" s="725"/>
      <c r="R80" s="725"/>
      <c r="S80" s="725"/>
      <c r="T80" s="725"/>
      <c r="U80" s="725"/>
    </row>
    <row r="81" spans="13:21" x14ac:dyDescent="0.2">
      <c r="M81" s="725"/>
      <c r="N81" s="725"/>
      <c r="O81" s="725"/>
      <c r="P81" s="725"/>
      <c r="Q81" s="725"/>
      <c r="R81" s="725"/>
      <c r="S81" s="725"/>
      <c r="T81" s="725"/>
      <c r="U81" s="725"/>
    </row>
    <row r="82" spans="13:21" x14ac:dyDescent="0.2">
      <c r="M82" s="725"/>
      <c r="N82" s="725"/>
      <c r="O82" s="725"/>
      <c r="P82" s="725"/>
      <c r="Q82" s="725"/>
      <c r="R82" s="725"/>
      <c r="S82" s="725"/>
      <c r="T82" s="725"/>
      <c r="U82" s="725"/>
    </row>
    <row r="83" spans="13:21" x14ac:dyDescent="0.2">
      <c r="M83" s="725"/>
      <c r="N83" s="725"/>
      <c r="O83" s="725"/>
      <c r="P83" s="725"/>
      <c r="Q83" s="725"/>
      <c r="R83" s="725"/>
      <c r="S83" s="725"/>
      <c r="T83" s="725"/>
      <c r="U83" s="725"/>
    </row>
    <row r="84" spans="13:21" x14ac:dyDescent="0.2">
      <c r="M84" s="725"/>
      <c r="N84" s="725"/>
      <c r="O84" s="725"/>
      <c r="P84" s="725"/>
      <c r="Q84" s="725"/>
      <c r="R84" s="725"/>
      <c r="S84" s="725"/>
      <c r="T84" s="725"/>
      <c r="U84" s="725"/>
    </row>
    <row r="85" spans="13:21" x14ac:dyDescent="0.2">
      <c r="M85" s="725"/>
      <c r="N85" s="725"/>
      <c r="O85" s="725"/>
      <c r="P85" s="725"/>
      <c r="Q85" s="725"/>
      <c r="R85" s="725"/>
      <c r="S85" s="725"/>
      <c r="T85" s="725"/>
      <c r="U85" s="725"/>
    </row>
    <row r="86" spans="13:21" x14ac:dyDescent="0.2">
      <c r="M86" s="725"/>
      <c r="N86" s="725"/>
      <c r="O86" s="725"/>
      <c r="P86" s="725"/>
      <c r="Q86" s="725"/>
      <c r="R86" s="725"/>
      <c r="S86" s="725"/>
      <c r="T86" s="725"/>
      <c r="U86" s="725"/>
    </row>
    <row r="87" spans="13:21" x14ac:dyDescent="0.2">
      <c r="M87" s="725"/>
      <c r="N87" s="725"/>
      <c r="O87" s="725"/>
      <c r="P87" s="725"/>
      <c r="Q87" s="725"/>
      <c r="R87" s="725"/>
      <c r="S87" s="725"/>
      <c r="T87" s="725"/>
      <c r="U87" s="725"/>
    </row>
    <row r="88" spans="13:21" x14ac:dyDescent="0.2">
      <c r="M88" s="725"/>
      <c r="N88" s="725"/>
      <c r="O88" s="725"/>
      <c r="P88" s="725"/>
      <c r="Q88" s="725"/>
      <c r="R88" s="725"/>
      <c r="S88" s="725"/>
      <c r="T88" s="725"/>
      <c r="U88" s="725"/>
    </row>
    <row r="89" spans="13:21" x14ac:dyDescent="0.2">
      <c r="M89" s="725"/>
      <c r="N89" s="725"/>
      <c r="O89" s="725"/>
      <c r="P89" s="725"/>
      <c r="Q89" s="725"/>
      <c r="R89" s="725"/>
      <c r="S89" s="725"/>
      <c r="T89" s="725"/>
      <c r="U89" s="725"/>
    </row>
    <row r="90" spans="13:21" x14ac:dyDescent="0.2">
      <c r="M90" s="725"/>
      <c r="N90" s="725"/>
      <c r="O90" s="725"/>
      <c r="P90" s="725"/>
      <c r="Q90" s="725"/>
      <c r="R90" s="725"/>
      <c r="S90" s="725"/>
      <c r="T90" s="725"/>
      <c r="U90" s="725"/>
    </row>
    <row r="91" spans="13:21" x14ac:dyDescent="0.2">
      <c r="M91" s="725"/>
      <c r="N91" s="725"/>
      <c r="O91" s="725"/>
      <c r="P91" s="725"/>
      <c r="Q91" s="725"/>
      <c r="R91" s="725"/>
      <c r="S91" s="725"/>
      <c r="T91" s="725"/>
      <c r="U91" s="725"/>
    </row>
    <row r="92" spans="13:21" x14ac:dyDescent="0.2">
      <c r="M92" s="725"/>
      <c r="N92" s="725"/>
      <c r="O92" s="725"/>
      <c r="P92" s="725"/>
      <c r="Q92" s="725"/>
      <c r="R92" s="725"/>
      <c r="S92" s="725"/>
      <c r="T92" s="725"/>
      <c r="U92" s="725"/>
    </row>
    <row r="93" spans="13:21" x14ac:dyDescent="0.2">
      <c r="M93" s="725"/>
      <c r="N93" s="725"/>
      <c r="O93" s="725"/>
      <c r="P93" s="725"/>
      <c r="Q93" s="725"/>
      <c r="R93" s="725"/>
      <c r="S93" s="725"/>
      <c r="T93" s="725"/>
      <c r="U93" s="725"/>
    </row>
    <row r="94" spans="13:21" x14ac:dyDescent="0.2">
      <c r="M94" s="725"/>
      <c r="N94" s="725"/>
      <c r="O94" s="725"/>
      <c r="P94" s="725"/>
      <c r="Q94" s="725"/>
      <c r="R94" s="725"/>
      <c r="S94" s="725"/>
      <c r="T94" s="725"/>
      <c r="U94" s="725"/>
    </row>
    <row r="95" spans="13:21" x14ac:dyDescent="0.2">
      <c r="M95" s="725"/>
      <c r="N95" s="725"/>
      <c r="O95" s="725"/>
      <c r="P95" s="725"/>
      <c r="Q95" s="725"/>
      <c r="R95" s="725"/>
      <c r="S95" s="725"/>
      <c r="T95" s="725"/>
      <c r="U95" s="725"/>
    </row>
    <row r="96" spans="13:21" x14ac:dyDescent="0.2">
      <c r="M96" s="725"/>
      <c r="N96" s="725"/>
      <c r="O96" s="725"/>
      <c r="P96" s="725"/>
      <c r="Q96" s="725"/>
      <c r="R96" s="725"/>
      <c r="S96" s="725"/>
      <c r="T96" s="725"/>
      <c r="U96" s="725"/>
    </row>
    <row r="97" spans="13:21" x14ac:dyDescent="0.2">
      <c r="M97" s="725"/>
      <c r="N97" s="725"/>
      <c r="O97" s="725"/>
      <c r="P97" s="725"/>
      <c r="Q97" s="725"/>
      <c r="R97" s="725"/>
      <c r="S97" s="725"/>
      <c r="T97" s="725"/>
      <c r="U97" s="725"/>
    </row>
    <row r="98" spans="13:21" x14ac:dyDescent="0.2">
      <c r="M98" s="725"/>
      <c r="N98" s="725"/>
      <c r="O98" s="725"/>
      <c r="P98" s="725"/>
      <c r="Q98" s="725"/>
      <c r="R98" s="725"/>
      <c r="S98" s="725"/>
      <c r="T98" s="725"/>
      <c r="U98" s="725"/>
    </row>
    <row r="99" spans="13:21" x14ac:dyDescent="0.2">
      <c r="M99" s="725"/>
      <c r="N99" s="725"/>
      <c r="O99" s="725"/>
      <c r="P99" s="725"/>
      <c r="Q99" s="725"/>
      <c r="R99" s="725"/>
      <c r="S99" s="725"/>
      <c r="T99" s="725"/>
      <c r="U99" s="725"/>
    </row>
    <row r="100" spans="13:21" x14ac:dyDescent="0.2">
      <c r="M100" s="725"/>
      <c r="N100" s="725"/>
      <c r="O100" s="725"/>
      <c r="P100" s="725"/>
      <c r="Q100" s="725"/>
      <c r="R100" s="725"/>
      <c r="S100" s="725"/>
      <c r="T100" s="725"/>
      <c r="U100" s="725"/>
    </row>
    <row r="101" spans="13:21" x14ac:dyDescent="0.2">
      <c r="M101" s="725"/>
      <c r="N101" s="725"/>
      <c r="O101" s="725"/>
      <c r="P101" s="725"/>
      <c r="Q101" s="725"/>
      <c r="R101" s="725"/>
      <c r="S101" s="725"/>
      <c r="T101" s="725"/>
      <c r="U101" s="725"/>
    </row>
    <row r="102" spans="13:21" x14ac:dyDescent="0.2">
      <c r="M102" s="725"/>
      <c r="N102" s="725"/>
      <c r="O102" s="725"/>
      <c r="P102" s="725"/>
      <c r="Q102" s="725"/>
      <c r="R102" s="725"/>
      <c r="S102" s="725"/>
      <c r="T102" s="725"/>
      <c r="U102" s="725"/>
    </row>
    <row r="103" spans="13:21" x14ac:dyDescent="0.2">
      <c r="M103" s="725"/>
      <c r="N103" s="725"/>
      <c r="O103" s="725"/>
      <c r="P103" s="725"/>
      <c r="Q103" s="725"/>
      <c r="R103" s="725"/>
      <c r="S103" s="725"/>
      <c r="T103" s="725"/>
      <c r="U103" s="725"/>
    </row>
    <row r="104" spans="13:21" x14ac:dyDescent="0.2">
      <c r="M104" s="725"/>
      <c r="N104" s="725"/>
      <c r="O104" s="725"/>
      <c r="P104" s="725"/>
      <c r="Q104" s="725"/>
      <c r="R104" s="725"/>
      <c r="S104" s="725"/>
      <c r="T104" s="725"/>
      <c r="U104" s="725"/>
    </row>
    <row r="105" spans="13:21" x14ac:dyDescent="0.2">
      <c r="M105" s="725"/>
      <c r="N105" s="725"/>
      <c r="O105" s="725"/>
      <c r="P105" s="725"/>
      <c r="Q105" s="725"/>
      <c r="R105" s="725"/>
      <c r="S105" s="725"/>
      <c r="T105" s="725"/>
      <c r="U105" s="725"/>
    </row>
    <row r="106" spans="13:21" x14ac:dyDescent="0.2">
      <c r="M106" s="725"/>
      <c r="N106" s="725"/>
      <c r="O106" s="725"/>
      <c r="P106" s="725"/>
      <c r="Q106" s="725"/>
      <c r="R106" s="725"/>
      <c r="S106" s="725"/>
      <c r="T106" s="725"/>
      <c r="U106" s="725"/>
    </row>
    <row r="107" spans="13:21" x14ac:dyDescent="0.2">
      <c r="M107" s="725"/>
      <c r="N107" s="725"/>
      <c r="O107" s="725"/>
      <c r="P107" s="725"/>
      <c r="Q107" s="725"/>
      <c r="R107" s="725"/>
      <c r="S107" s="725"/>
      <c r="T107" s="725"/>
      <c r="U107" s="725"/>
    </row>
    <row r="108" spans="13:21" x14ac:dyDescent="0.2">
      <c r="M108" s="725"/>
      <c r="N108" s="725"/>
      <c r="O108" s="725"/>
      <c r="P108" s="725"/>
      <c r="Q108" s="725"/>
      <c r="R108" s="725"/>
      <c r="S108" s="725"/>
      <c r="T108" s="725"/>
      <c r="U108" s="725"/>
    </row>
    <row r="109" spans="13:21" x14ac:dyDescent="0.2">
      <c r="M109" s="725"/>
      <c r="N109" s="725"/>
      <c r="O109" s="725"/>
      <c r="P109" s="725"/>
      <c r="Q109" s="725"/>
      <c r="R109" s="725"/>
      <c r="S109" s="725"/>
      <c r="T109" s="725"/>
      <c r="U109" s="725"/>
    </row>
    <row r="110" spans="13:21" x14ac:dyDescent="0.2">
      <c r="M110" s="725"/>
      <c r="N110" s="725"/>
      <c r="O110" s="725"/>
      <c r="P110" s="725"/>
      <c r="Q110" s="725"/>
      <c r="R110" s="725"/>
      <c r="S110" s="725"/>
      <c r="T110" s="725"/>
      <c r="U110" s="725"/>
    </row>
    <row r="111" spans="13:21" x14ac:dyDescent="0.2">
      <c r="M111" s="725"/>
      <c r="N111" s="725"/>
      <c r="O111" s="725"/>
      <c r="P111" s="725"/>
      <c r="Q111" s="725"/>
      <c r="R111" s="725"/>
      <c r="S111" s="725"/>
      <c r="T111" s="725"/>
      <c r="U111" s="725"/>
    </row>
    <row r="112" spans="13:21" x14ac:dyDescent="0.2">
      <c r="M112" s="725"/>
      <c r="N112" s="725"/>
      <c r="O112" s="725"/>
      <c r="P112" s="725"/>
      <c r="Q112" s="725"/>
      <c r="R112" s="725"/>
      <c r="S112" s="725"/>
      <c r="T112" s="725"/>
      <c r="U112" s="725"/>
    </row>
    <row r="113" spans="13:21" x14ac:dyDescent="0.2">
      <c r="M113" s="725"/>
      <c r="N113" s="725"/>
      <c r="O113" s="725"/>
      <c r="P113" s="725"/>
      <c r="Q113" s="725"/>
      <c r="R113" s="725"/>
      <c r="S113" s="725"/>
      <c r="T113" s="725"/>
      <c r="U113" s="725"/>
    </row>
    <row r="114" spans="13:21" x14ac:dyDescent="0.2">
      <c r="M114" s="725"/>
      <c r="N114" s="725"/>
      <c r="O114" s="725"/>
      <c r="P114" s="725"/>
      <c r="Q114" s="725"/>
      <c r="R114" s="725"/>
      <c r="S114" s="725"/>
      <c r="T114" s="725"/>
      <c r="U114" s="725"/>
    </row>
    <row r="115" spans="13:21" x14ac:dyDescent="0.2">
      <c r="M115" s="725"/>
      <c r="N115" s="725"/>
      <c r="O115" s="725"/>
      <c r="P115" s="725"/>
      <c r="Q115" s="725"/>
      <c r="R115" s="725"/>
      <c r="S115" s="725"/>
      <c r="T115" s="725"/>
      <c r="U115" s="725"/>
    </row>
    <row r="116" spans="13:21" x14ac:dyDescent="0.2">
      <c r="M116" s="725"/>
      <c r="N116" s="725"/>
      <c r="O116" s="725"/>
      <c r="P116" s="725"/>
      <c r="Q116" s="725"/>
      <c r="R116" s="725"/>
      <c r="S116" s="725"/>
      <c r="T116" s="725"/>
      <c r="U116" s="725"/>
    </row>
    <row r="117" spans="13:21" x14ac:dyDescent="0.2">
      <c r="M117" s="725"/>
      <c r="N117" s="725"/>
      <c r="O117" s="725"/>
      <c r="P117" s="725"/>
      <c r="Q117" s="725"/>
      <c r="R117" s="725"/>
      <c r="S117" s="725"/>
      <c r="T117" s="725"/>
      <c r="U117" s="725"/>
    </row>
    <row r="118" spans="13:21" x14ac:dyDescent="0.2">
      <c r="M118" s="725"/>
      <c r="N118" s="725"/>
      <c r="O118" s="725"/>
      <c r="P118" s="725"/>
      <c r="Q118" s="725"/>
      <c r="R118" s="725"/>
      <c r="S118" s="725"/>
      <c r="T118" s="725"/>
      <c r="U118" s="725"/>
    </row>
    <row r="119" spans="13:21" x14ac:dyDescent="0.2">
      <c r="M119" s="725"/>
      <c r="N119" s="725"/>
      <c r="O119" s="725"/>
      <c r="P119" s="725"/>
      <c r="Q119" s="725"/>
      <c r="R119" s="725"/>
      <c r="S119" s="725"/>
      <c r="T119" s="725"/>
      <c r="U119" s="725"/>
    </row>
    <row r="120" spans="13:21" x14ac:dyDescent="0.2">
      <c r="M120" s="725"/>
      <c r="N120" s="725"/>
      <c r="O120" s="725"/>
      <c r="P120" s="725"/>
      <c r="Q120" s="725"/>
      <c r="R120" s="725"/>
      <c r="S120" s="725"/>
      <c r="T120" s="725"/>
      <c r="U120" s="725"/>
    </row>
    <row r="121" spans="13:21" x14ac:dyDescent="0.2">
      <c r="M121" s="725"/>
      <c r="N121" s="725"/>
      <c r="O121" s="725"/>
      <c r="P121" s="725"/>
      <c r="Q121" s="725"/>
      <c r="R121" s="725"/>
      <c r="S121" s="725"/>
      <c r="T121" s="725"/>
      <c r="U121" s="725"/>
    </row>
    <row r="122" spans="13:21" x14ac:dyDescent="0.2">
      <c r="M122" s="725"/>
      <c r="N122" s="725"/>
      <c r="O122" s="725"/>
      <c r="P122" s="725"/>
      <c r="Q122" s="725"/>
      <c r="R122" s="725"/>
      <c r="S122" s="725"/>
      <c r="T122" s="725"/>
      <c r="U122" s="725"/>
    </row>
    <row r="123" spans="13:21" x14ac:dyDescent="0.2">
      <c r="M123" s="725"/>
      <c r="N123" s="725"/>
      <c r="O123" s="725"/>
      <c r="P123" s="725"/>
      <c r="Q123" s="725"/>
      <c r="R123" s="725"/>
      <c r="S123" s="725"/>
      <c r="T123" s="725"/>
      <c r="U123" s="725"/>
    </row>
    <row r="124" spans="13:21" x14ac:dyDescent="0.2">
      <c r="M124" s="725"/>
      <c r="N124" s="725"/>
      <c r="O124" s="725"/>
      <c r="P124" s="725"/>
      <c r="Q124" s="725"/>
      <c r="R124" s="725"/>
      <c r="S124" s="725"/>
      <c r="T124" s="725"/>
      <c r="U124" s="725"/>
    </row>
    <row r="125" spans="13:21" x14ac:dyDescent="0.2">
      <c r="M125" s="725"/>
      <c r="N125" s="725"/>
      <c r="O125" s="725"/>
      <c r="P125" s="725"/>
      <c r="Q125" s="725"/>
      <c r="R125" s="725"/>
      <c r="S125" s="725"/>
      <c r="T125" s="725"/>
      <c r="U125" s="725"/>
    </row>
    <row r="126" spans="13:21" x14ac:dyDescent="0.2">
      <c r="M126" s="725"/>
      <c r="N126" s="725"/>
      <c r="O126" s="725"/>
      <c r="P126" s="725"/>
      <c r="Q126" s="725"/>
      <c r="R126" s="725"/>
      <c r="S126" s="725"/>
      <c r="T126" s="725"/>
      <c r="U126" s="725"/>
    </row>
    <row r="127" spans="13:21" x14ac:dyDescent="0.2">
      <c r="M127" s="725"/>
      <c r="N127" s="725"/>
      <c r="O127" s="725"/>
      <c r="P127" s="725"/>
      <c r="Q127" s="725"/>
      <c r="R127" s="725"/>
      <c r="S127" s="725"/>
      <c r="T127" s="725"/>
      <c r="U127" s="725"/>
    </row>
    <row r="128" spans="13:21" x14ac:dyDescent="0.2">
      <c r="M128" s="725"/>
      <c r="N128" s="725"/>
      <c r="O128" s="725"/>
      <c r="P128" s="725"/>
      <c r="Q128" s="725"/>
      <c r="R128" s="725"/>
      <c r="S128" s="725"/>
      <c r="T128" s="725"/>
      <c r="U128" s="725"/>
    </row>
    <row r="129" spans="13:21" x14ac:dyDescent="0.2">
      <c r="M129" s="725"/>
      <c r="N129" s="725"/>
      <c r="O129" s="725"/>
      <c r="P129" s="725"/>
      <c r="Q129" s="725"/>
      <c r="R129" s="725"/>
      <c r="S129" s="725"/>
      <c r="T129" s="725"/>
      <c r="U129" s="725"/>
    </row>
    <row r="130" spans="13:21" x14ac:dyDescent="0.2">
      <c r="M130" s="725"/>
      <c r="N130" s="725"/>
      <c r="O130" s="725"/>
      <c r="P130" s="725"/>
      <c r="Q130" s="725"/>
      <c r="R130" s="725"/>
      <c r="S130" s="725"/>
      <c r="T130" s="725"/>
      <c r="U130" s="725"/>
    </row>
    <row r="131" spans="13:21" x14ac:dyDescent="0.2">
      <c r="M131" s="725"/>
      <c r="N131" s="725"/>
      <c r="O131" s="725"/>
      <c r="P131" s="725"/>
      <c r="Q131" s="725"/>
      <c r="R131" s="725"/>
      <c r="S131" s="725"/>
      <c r="T131" s="725"/>
      <c r="U131" s="725"/>
    </row>
    <row r="132" spans="13:21" x14ac:dyDescent="0.2">
      <c r="M132" s="725"/>
      <c r="N132" s="725"/>
      <c r="O132" s="725"/>
      <c r="P132" s="725"/>
      <c r="Q132" s="725"/>
      <c r="R132" s="725"/>
      <c r="S132" s="725"/>
      <c r="T132" s="725"/>
      <c r="U132" s="725"/>
    </row>
    <row r="133" spans="13:21" x14ac:dyDescent="0.2">
      <c r="M133" s="725"/>
      <c r="N133" s="725"/>
      <c r="O133" s="725"/>
      <c r="P133" s="725"/>
      <c r="Q133" s="725"/>
      <c r="R133" s="725"/>
      <c r="S133" s="725"/>
      <c r="T133" s="725"/>
      <c r="U133" s="725"/>
    </row>
    <row r="134" spans="13:21" x14ac:dyDescent="0.2">
      <c r="M134" s="725"/>
      <c r="N134" s="725"/>
      <c r="O134" s="725"/>
      <c r="P134" s="725"/>
      <c r="Q134" s="725"/>
      <c r="R134" s="725"/>
      <c r="S134" s="725"/>
      <c r="T134" s="725"/>
      <c r="U134" s="725"/>
    </row>
    <row r="135" spans="13:21" x14ac:dyDescent="0.2">
      <c r="M135" s="725"/>
      <c r="N135" s="725"/>
      <c r="O135" s="725"/>
      <c r="P135" s="725"/>
      <c r="Q135" s="725"/>
      <c r="R135" s="725"/>
      <c r="S135" s="725"/>
      <c r="T135" s="725"/>
      <c r="U135" s="725"/>
    </row>
    <row r="136" spans="13:21" x14ac:dyDescent="0.2">
      <c r="M136" s="725"/>
      <c r="N136" s="725"/>
      <c r="O136" s="725"/>
      <c r="P136" s="725"/>
      <c r="Q136" s="725"/>
      <c r="R136" s="725"/>
      <c r="S136" s="725"/>
      <c r="T136" s="725"/>
      <c r="U136" s="725"/>
    </row>
    <row r="137" spans="13:21" x14ac:dyDescent="0.2">
      <c r="M137" s="725"/>
      <c r="N137" s="725"/>
      <c r="O137" s="725"/>
      <c r="P137" s="725"/>
      <c r="Q137" s="725"/>
      <c r="R137" s="725"/>
      <c r="S137" s="725"/>
      <c r="T137" s="725"/>
      <c r="U137" s="725"/>
    </row>
    <row r="138" spans="13:21" x14ac:dyDescent="0.2">
      <c r="M138" s="725"/>
      <c r="N138" s="725"/>
      <c r="O138" s="725"/>
      <c r="P138" s="725"/>
      <c r="Q138" s="725"/>
      <c r="R138" s="725"/>
      <c r="S138" s="725"/>
      <c r="T138" s="725"/>
      <c r="U138" s="725"/>
    </row>
    <row r="139" spans="13:21" x14ac:dyDescent="0.2">
      <c r="M139" s="725"/>
      <c r="N139" s="725"/>
      <c r="O139" s="725"/>
      <c r="P139" s="725"/>
      <c r="Q139" s="725"/>
      <c r="R139" s="725"/>
      <c r="S139" s="725"/>
      <c r="T139" s="725"/>
      <c r="U139" s="725"/>
    </row>
    <row r="140" spans="13:21" x14ac:dyDescent="0.2">
      <c r="M140" s="725"/>
      <c r="N140" s="725"/>
      <c r="O140" s="725"/>
      <c r="P140" s="725"/>
      <c r="Q140" s="725"/>
      <c r="R140" s="725"/>
      <c r="S140" s="725"/>
      <c r="T140" s="725"/>
      <c r="U140" s="725"/>
    </row>
  </sheetData>
  <sheetProtection algorithmName="SHA-512" hashValue="luBClHoUmJEG4QswjTooCgInYxLv2MyTbHlQljs654nuXz53Grws/r/EFCo+EUDESf+g7Ai4AAFsjfcRih23GA==" saltValue="GX4mfhrjdqLO/JJQZiL+sQ==" spinCount="100000" sheet="1" objects="1" scenarios="1" autoFilter="0"/>
  <customSheetViews>
    <customSheetView guid="{B08879A4-635B-4C39-9937-AC7883D562FC}" showGridLines="0" fitToPage="1">
      <selection activeCell="A47" sqref="A47:IV47"/>
      <pageMargins left="0.75" right="0.5" top="0.5" bottom="0.5" header="0.5" footer="0.25"/>
      <printOptions horizontalCentered="1"/>
      <pageSetup orientation="portrait" r:id="rId1"/>
      <headerFooter alignWithMargins="0">
        <oddFooter>&amp;R&amp;A</oddFooter>
      </headerFooter>
    </customSheetView>
    <customSheetView guid="{1250FD07-FF56-4A9D-AF9E-C27124A7EBE9}" showGridLines="0" fitToPage="1" showRuler="0">
      <selection sqref="A1:J3"/>
      <pageMargins left="0.75" right="0.5" top="0.5" bottom="0.5" header="0.5" footer="0.25"/>
      <printOptions horizontalCentered="1"/>
      <pageSetup orientation="portrait" horizontalDpi="300" verticalDpi="300" r:id="rId2"/>
      <headerFooter alignWithMargins="0">
        <oddFooter>&amp;R&amp;A</oddFooter>
      </headerFooter>
    </customSheetView>
    <customSheetView guid="{BEA4BE86-04D1-4C96-9358-7A260B9D2B2D}" showGridLines="0" fitToPage="1" showRuler="0">
      <selection sqref="A1:J3"/>
      <pageMargins left="0.75" right="0.5" top="0.5" bottom="0.5" header="0.5" footer="0.25"/>
      <printOptions horizontalCentered="1"/>
      <pageSetup orientation="portrait" horizontalDpi="300" verticalDpi="300" r:id="rId3"/>
      <headerFooter alignWithMargins="0">
        <oddFooter>&amp;R&amp;A</oddFooter>
      </headerFooter>
    </customSheetView>
    <customSheetView guid="{9FCFC836-1CA5-48BF-958D-24D2EA94B219}" showGridLines="0" fitToPage="1">
      <selection activeCell="A47" sqref="A47:IV47"/>
      <pageMargins left="0.75" right="0.5" top="0.5" bottom="0.5" header="0.5" footer="0.25"/>
      <printOptions horizontalCentered="1"/>
      <pageSetup orientation="portrait" r:id="rId4"/>
      <headerFooter alignWithMargins="0">
        <oddFooter>&amp;R&amp;A</oddFooter>
      </headerFooter>
    </customSheetView>
  </customSheetViews>
  <mergeCells count="9">
    <mergeCell ref="B39:E39"/>
    <mergeCell ref="B49:E49"/>
    <mergeCell ref="H1:H3"/>
    <mergeCell ref="A1:G1"/>
    <mergeCell ref="A3:G3"/>
    <mergeCell ref="A2:G2"/>
    <mergeCell ref="B37:E37"/>
    <mergeCell ref="B38:E38"/>
    <mergeCell ref="B46:E46"/>
  </mergeCells>
  <phoneticPr fontId="15" type="noConversion"/>
  <conditionalFormatting sqref="H1:H3">
    <cfRule type="cellIs" dxfId="118" priority="1" stopIfTrue="1" operator="equal">
      <formula>"na"</formula>
    </cfRule>
  </conditionalFormatting>
  <hyperlinks>
    <hyperlink ref="A1:G1" location="Index!A1" display="Index!A1" xr:uid="{00000000-0004-0000-1800-000000000000}"/>
  </hyperlinks>
  <printOptions horizontalCentered="1"/>
  <pageMargins left="0.5" right="0.5" top="0.5" bottom="0.5" header="0.5" footer="0.25"/>
  <pageSetup scale="89" orientation="portrait" horizontalDpi="360" verticalDpi="360" r:id="rId5"/>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1">
    <pageSetUpPr fitToPage="1"/>
  </sheetPr>
  <dimension ref="A1:T1444"/>
  <sheetViews>
    <sheetView showGridLines="0" zoomScaleNormal="100" workbookViewId="0">
      <pane ySplit="4" topLeftCell="A5" activePane="bottomLeft" state="frozen"/>
      <selection sqref="A1:E1"/>
      <selection pane="bottomLeft" activeCell="L8" sqref="L8"/>
    </sheetView>
  </sheetViews>
  <sheetFormatPr defaultColWidth="9.42578125" defaultRowHeight="15" x14ac:dyDescent="0.25"/>
  <cols>
    <col min="1" max="1" width="10.42578125" style="1101" customWidth="1"/>
    <col min="2" max="2" width="8.42578125" style="1101" customWidth="1"/>
    <col min="3" max="3" width="8.5703125" style="1101" customWidth="1"/>
    <col min="4" max="4" width="9" style="1101" hidden="1" customWidth="1"/>
    <col min="5" max="5" width="9" style="1101" customWidth="1"/>
    <col min="6" max="9" width="8.42578125" style="1101" customWidth="1"/>
    <col min="10" max="10" width="9.5703125" style="1101" customWidth="1"/>
    <col min="11" max="11" width="7.5703125" style="1101" customWidth="1"/>
    <col min="12" max="12" width="10.5703125" style="1101" customWidth="1"/>
    <col min="13" max="14" width="9.42578125" style="1101" customWidth="1"/>
    <col min="15" max="15" width="2.5703125" style="1101" customWidth="1"/>
    <col min="16" max="16" width="6" style="1101" customWidth="1"/>
    <col min="17" max="17" width="2.42578125" style="1101" customWidth="1"/>
    <col min="18" max="18" width="9.42578125" style="1101" customWidth="1"/>
    <col min="19" max="16384" width="9.42578125" style="1101"/>
  </cols>
  <sheetData>
    <row r="1" spans="1:16" ht="15.75" x14ac:dyDescent="0.25">
      <c r="A1" s="2399" t="s">
        <v>3974</v>
      </c>
      <c r="B1" s="2399"/>
      <c r="C1" s="2399"/>
      <c r="D1" s="2399"/>
      <c r="E1" s="2399"/>
      <c r="F1" s="2399"/>
      <c r="G1" s="2399"/>
      <c r="H1" s="2399"/>
      <c r="I1" s="2399"/>
      <c r="J1" s="2399"/>
      <c r="K1" s="2399"/>
      <c r="L1" s="2399"/>
      <c r="M1" s="2399"/>
      <c r="N1" s="2399"/>
      <c r="O1" s="2399"/>
    </row>
    <row r="2" spans="1:16" ht="15.75" x14ac:dyDescent="0.25">
      <c r="A2" s="2400" t="str">
        <f>CONCATENATE(YEAR(Data!A2), " ACFR Worksheets")</f>
        <v>2022 ACFR Worksheets</v>
      </c>
      <c r="B2" s="2400"/>
      <c r="C2" s="2400"/>
      <c r="D2" s="2400"/>
      <c r="E2" s="2400"/>
      <c r="F2" s="2400"/>
      <c r="G2" s="2400"/>
      <c r="H2" s="2400"/>
      <c r="I2" s="2400"/>
      <c r="J2" s="2400"/>
      <c r="K2" s="2400"/>
      <c r="L2" s="2400"/>
      <c r="M2" s="2400"/>
      <c r="N2" s="2400"/>
      <c r="O2" s="2400"/>
    </row>
    <row r="3" spans="1:16" ht="15.75" x14ac:dyDescent="0.25">
      <c r="A3" s="2400" t="s">
        <v>594</v>
      </c>
      <c r="B3" s="2400"/>
      <c r="C3" s="2400"/>
      <c r="D3" s="2400"/>
      <c r="E3" s="2400"/>
      <c r="F3" s="2400"/>
      <c r="G3" s="2400"/>
      <c r="H3" s="2400"/>
      <c r="I3" s="2400"/>
      <c r="J3" s="2400"/>
      <c r="K3" s="2400"/>
      <c r="L3" s="2400"/>
      <c r="M3" s="2400"/>
      <c r="N3" s="2400"/>
      <c r="O3" s="2400"/>
    </row>
    <row r="4" spans="1:16" x14ac:dyDescent="0.25">
      <c r="A4" s="1102"/>
      <c r="B4" s="1102"/>
      <c r="C4" s="1102"/>
      <c r="D4" s="1102"/>
      <c r="E4" s="1102"/>
      <c r="F4" s="1102"/>
      <c r="G4" s="1103"/>
      <c r="H4" s="1103"/>
      <c r="I4" s="1103"/>
      <c r="J4" s="1102"/>
      <c r="K4" s="1102"/>
      <c r="L4" s="2406" t="s">
        <v>5904</v>
      </c>
      <c r="M4" s="2407"/>
      <c r="N4" s="2407"/>
      <c r="O4" s="2408"/>
      <c r="P4" s="1104"/>
    </row>
    <row r="5" spans="1:16" x14ac:dyDescent="0.25">
      <c r="A5" s="1105" t="s">
        <v>681</v>
      </c>
      <c r="B5" s="1102"/>
      <c r="C5" s="1102"/>
      <c r="D5" s="1102"/>
      <c r="E5" s="1102"/>
      <c r="F5" s="1102"/>
      <c r="G5" s="1160"/>
      <c r="H5" s="1102"/>
      <c r="I5" s="1102"/>
      <c r="J5" s="1100"/>
      <c r="K5" s="1102"/>
      <c r="L5" s="1102"/>
      <c r="M5" s="1102"/>
      <c r="N5" s="1102"/>
      <c r="O5" s="1102"/>
    </row>
    <row r="6" spans="1:16" x14ac:dyDescent="0.25">
      <c r="A6" s="1182" t="s">
        <v>196</v>
      </c>
      <c r="B6" s="1180"/>
      <c r="C6" s="1102"/>
      <c r="D6" s="1102"/>
      <c r="E6" s="2403" t="s">
        <v>5892</v>
      </c>
      <c r="F6" s="2403"/>
      <c r="G6" s="2403"/>
      <c r="H6" s="2403"/>
      <c r="I6" s="2403"/>
      <c r="J6" s="2403"/>
      <c r="K6" s="1106" t="s">
        <v>692</v>
      </c>
      <c r="L6" s="1102"/>
      <c r="M6" s="1102"/>
      <c r="N6" s="1102"/>
      <c r="O6" s="1102"/>
    </row>
    <row r="7" spans="1:16" x14ac:dyDescent="0.25">
      <c r="A7" s="1180"/>
      <c r="B7" s="1180"/>
      <c r="C7" s="1102"/>
      <c r="D7" s="1102"/>
      <c r="E7" s="1102"/>
      <c r="F7" s="1107"/>
      <c r="G7" s="1107"/>
      <c r="H7" s="1107"/>
      <c r="I7" s="1107"/>
      <c r="J7" s="1107"/>
      <c r="K7" s="1102"/>
      <c r="L7" s="1102"/>
      <c r="M7" s="1102"/>
      <c r="N7" s="1102"/>
      <c r="O7" s="1102"/>
    </row>
    <row r="8" spans="1:16" x14ac:dyDescent="0.25">
      <c r="A8" s="1180" t="s">
        <v>197</v>
      </c>
      <c r="B8" s="1180"/>
      <c r="C8" s="1102"/>
      <c r="D8" s="1102"/>
      <c r="E8" s="1102"/>
      <c r="F8" s="1102"/>
      <c r="G8" s="1102"/>
      <c r="H8" s="1102"/>
      <c r="I8" s="1102"/>
      <c r="J8" s="1102"/>
      <c r="K8" s="1102"/>
      <c r="L8" s="1102"/>
      <c r="M8" s="1102"/>
      <c r="N8" s="1102"/>
      <c r="O8" s="1102"/>
    </row>
    <row r="9" spans="1:16" x14ac:dyDescent="0.25">
      <c r="A9" s="1180"/>
      <c r="B9" s="1180"/>
      <c r="C9" s="1102"/>
      <c r="D9" s="1102"/>
      <c r="E9" s="1102"/>
      <c r="F9" s="1102"/>
      <c r="G9" s="1102"/>
      <c r="H9" s="1102"/>
      <c r="I9" s="1102"/>
      <c r="J9" s="1102"/>
      <c r="K9" s="1102"/>
      <c r="L9" s="1102"/>
      <c r="M9" s="1102"/>
      <c r="N9" s="1102"/>
      <c r="O9" s="1102"/>
    </row>
    <row r="10" spans="1:16" x14ac:dyDescent="0.25">
      <c r="A10" s="1180"/>
      <c r="B10" s="2401" t="s">
        <v>903</v>
      </c>
      <c r="C10" s="2402"/>
      <c r="D10" s="2402"/>
      <c r="E10" s="2404" t="str">
        <f>INDEX(comptable,MATCH(E6,ConcNum,0),2)</f>
        <v>01</v>
      </c>
      <c r="F10" s="2404"/>
      <c r="G10" s="2404"/>
      <c r="H10" s="2404"/>
      <c r="I10" s="2405"/>
      <c r="J10" s="1108"/>
      <c r="K10" s="1106" t="str">
        <f ca="1">IF(Errors!D2,"","Invalid filename!  Please rename your file to:")</f>
        <v>Invalid filename!  Please rename your file to:</v>
      </c>
      <c r="L10" s="1102"/>
      <c r="M10" s="1106"/>
      <c r="N10" s="1106"/>
      <c r="O10" s="1106"/>
    </row>
    <row r="11" spans="1:16" x14ac:dyDescent="0.25">
      <c r="A11" s="1180"/>
      <c r="B11" s="2401" t="s">
        <v>1016</v>
      </c>
      <c r="C11" s="2402"/>
      <c r="D11" s="2402"/>
      <c r="E11" s="2404" t="str">
        <f>IF(ISNA(MATCH(TEXT(AgyIdx,"00"),compnumtxt,0)),"INVALID COMPANY NUMBER",INDEX(comptable,MATCH(TEXT(AgyIdx,"00"),compnumtxt,0),3))</f>
        <v>North Carolina General Assembly</v>
      </c>
      <c r="F11" s="2404"/>
      <c r="G11" s="2404"/>
      <c r="H11" s="2404"/>
      <c r="I11" s="2405"/>
      <c r="J11" s="1108"/>
      <c r="K11" s="2410" t="str">
        <f ca="1">IF(K10="","",E10&amp;"p.xlsx")</f>
        <v>01p.xlsx</v>
      </c>
      <c r="L11" s="2410"/>
      <c r="M11" s="2410"/>
      <c r="N11" s="2410"/>
      <c r="O11" s="1102"/>
    </row>
    <row r="12" spans="1:16" x14ac:dyDescent="0.25">
      <c r="A12" s="1180"/>
      <c r="B12" s="2401" t="s">
        <v>342</v>
      </c>
      <c r="C12" s="2402"/>
      <c r="D12" s="2402"/>
      <c r="E12" s="2412"/>
      <c r="F12" s="2412"/>
      <c r="G12" s="2412"/>
      <c r="H12" s="2412"/>
      <c r="I12" s="2413"/>
      <c r="J12" s="1109"/>
      <c r="K12" s="1110" t="str">
        <f>IF(ISBLANK(E12),"Enter preparer name!","")</f>
        <v>Enter preparer name!</v>
      </c>
      <c r="L12" s="1111"/>
      <c r="M12" s="1111"/>
      <c r="N12" s="1111"/>
      <c r="O12" s="1111"/>
    </row>
    <row r="13" spans="1:16" x14ac:dyDescent="0.25">
      <c r="A13" s="1180"/>
      <c r="B13" s="1183" t="s">
        <v>348</v>
      </c>
      <c r="C13" s="1112"/>
      <c r="D13" s="1112"/>
      <c r="E13" s="2411"/>
      <c r="F13" s="2412"/>
      <c r="G13" s="2412"/>
      <c r="H13" s="2412"/>
      <c r="I13" s="2413"/>
      <c r="J13" s="1109"/>
      <c r="K13" s="1110" t="str">
        <f>IF(ISBLANK(E13),"Enter email address!","")</f>
        <v>Enter email address!</v>
      </c>
      <c r="L13" s="1111"/>
      <c r="M13" s="1111"/>
      <c r="N13" s="1111"/>
      <c r="O13" s="1111"/>
    </row>
    <row r="14" spans="1:16" x14ac:dyDescent="0.25">
      <c r="A14" s="1180"/>
      <c r="B14" s="2401" t="s">
        <v>343</v>
      </c>
      <c r="C14" s="2402"/>
      <c r="D14" s="2402"/>
      <c r="E14" s="2412"/>
      <c r="F14" s="2412"/>
      <c r="G14" s="2412"/>
      <c r="H14" s="2412"/>
      <c r="I14" s="2413"/>
      <c r="J14" s="1113"/>
      <c r="K14" s="1110" t="str">
        <f>IF(ISBLANK(E14),"Enter preparer phone number, including area code and extension!","")</f>
        <v>Enter preparer phone number, including area code and extension!</v>
      </c>
      <c r="L14" s="1114"/>
      <c r="M14" s="1111"/>
      <c r="N14" s="1111"/>
      <c r="O14" s="1111"/>
    </row>
    <row r="15" spans="1:16" x14ac:dyDescent="0.25">
      <c r="A15" s="1180"/>
      <c r="B15" s="1180"/>
      <c r="C15" s="1102"/>
      <c r="D15" s="1102"/>
      <c r="E15" s="1115"/>
      <c r="F15" s="1102"/>
      <c r="G15" s="1102"/>
      <c r="H15" s="1102"/>
      <c r="I15" s="1102"/>
      <c r="J15" s="1111"/>
      <c r="K15" s="1111"/>
      <c r="L15" s="1111"/>
      <c r="M15" s="1111"/>
      <c r="N15" s="1111"/>
      <c r="O15" s="1111"/>
    </row>
    <row r="16" spans="1:16" ht="42.75" x14ac:dyDescent="0.25">
      <c r="A16" s="1184" t="s">
        <v>344</v>
      </c>
      <c r="B16" s="1185" t="s">
        <v>1815</v>
      </c>
      <c r="C16" s="1185" t="s">
        <v>1814</v>
      </c>
      <c r="D16" s="1118"/>
      <c r="E16" s="2409" t="s">
        <v>346</v>
      </c>
      <c r="F16" s="2409"/>
      <c r="G16" s="2409"/>
      <c r="H16" s="2409"/>
      <c r="I16" s="2409"/>
      <c r="J16" s="2409"/>
      <c r="K16" s="2409"/>
      <c r="L16" s="2409"/>
      <c r="M16" s="2409"/>
      <c r="N16" s="2409"/>
      <c r="O16" s="2409"/>
      <c r="P16" s="1867" t="s">
        <v>555</v>
      </c>
    </row>
    <row r="17" spans="1:20" s="1117" customFormat="1" x14ac:dyDescent="0.25">
      <c r="A17" s="1186">
        <v>101</v>
      </c>
      <c r="B17" s="1187"/>
      <c r="C17" s="1228" t="s">
        <v>345</v>
      </c>
      <c r="D17" s="1121"/>
      <c r="E17" s="2384" t="s">
        <v>207</v>
      </c>
      <c r="F17" s="2385"/>
      <c r="G17" s="2385"/>
      <c r="H17" s="2385"/>
      <c r="I17" s="2385"/>
      <c r="J17" s="2385"/>
      <c r="K17" s="2385"/>
      <c r="L17" s="2385"/>
      <c r="M17" s="2385"/>
      <c r="N17" s="2385"/>
      <c r="O17" s="2386"/>
      <c r="P17" s="1119"/>
    </row>
    <row r="18" spans="1:20" s="1117" customFormat="1" x14ac:dyDescent="0.25">
      <c r="A18" s="1186">
        <v>105</v>
      </c>
      <c r="B18" s="1188"/>
      <c r="C18" s="1228" t="s">
        <v>345</v>
      </c>
      <c r="D18" s="1121" t="str">
        <f t="shared" ref="D18:D96" si="0">IF(B18="NA","",IF(Q18&lt;&gt;0,"E",""))</f>
        <v/>
      </c>
      <c r="E18" s="2384" t="s">
        <v>61</v>
      </c>
      <c r="F18" s="2385"/>
      <c r="G18" s="2385"/>
      <c r="H18" s="2385"/>
      <c r="I18" s="2385"/>
      <c r="J18" s="2385"/>
      <c r="K18" s="2385"/>
      <c r="L18" s="2385"/>
      <c r="M18" s="2385"/>
      <c r="N18" s="2385"/>
      <c r="O18" s="2386"/>
      <c r="P18" s="1119"/>
    </row>
    <row r="19" spans="1:20" s="1117" customFormat="1" x14ac:dyDescent="0.25">
      <c r="A19" s="1186">
        <v>110</v>
      </c>
      <c r="B19" s="1187"/>
      <c r="C19" s="1669"/>
      <c r="D19" s="1121" t="str">
        <f>IF(B19="NA","",IF(Q19&lt;&gt;0,"E",""))</f>
        <v/>
      </c>
      <c r="E19" s="2384" t="s">
        <v>3529</v>
      </c>
      <c r="F19" s="2385"/>
      <c r="G19" s="2385"/>
      <c r="H19" s="2385"/>
      <c r="I19" s="2385"/>
      <c r="J19" s="2385"/>
      <c r="K19" s="2385"/>
      <c r="L19" s="2385"/>
      <c r="M19" s="2385"/>
      <c r="N19" s="2385"/>
      <c r="O19" s="2386"/>
      <c r="P19" s="1119" t="s">
        <v>929</v>
      </c>
    </row>
    <row r="20" spans="1:20" s="1117" customFormat="1" x14ac:dyDescent="0.25">
      <c r="A20" s="1186">
        <v>120</v>
      </c>
      <c r="B20" s="1187"/>
      <c r="C20" s="1651"/>
      <c r="D20" s="1121" t="str">
        <f>IF(B20="NA","",IF(Q20&lt;&gt;0,"E",""))</f>
        <v/>
      </c>
      <c r="E20" s="2384" t="s">
        <v>3937</v>
      </c>
      <c r="F20" s="2385"/>
      <c r="G20" s="2385"/>
      <c r="H20" s="2385"/>
      <c r="I20" s="2385"/>
      <c r="J20" s="2385"/>
      <c r="K20" s="2385"/>
      <c r="L20" s="2385"/>
      <c r="M20" s="2385"/>
      <c r="N20" s="2385"/>
      <c r="O20" s="2386"/>
      <c r="P20" s="1119" t="s">
        <v>929</v>
      </c>
    </row>
    <row r="21" spans="1:20" s="1117" customFormat="1" x14ac:dyDescent="0.25">
      <c r="A21" s="1937">
        <v>201</v>
      </c>
      <c r="B21" s="1188"/>
      <c r="C21" s="1669"/>
      <c r="D21" s="1121" t="str">
        <f t="shared" si="0"/>
        <v/>
      </c>
      <c r="E21" s="2384" t="s">
        <v>208</v>
      </c>
      <c r="F21" s="2385"/>
      <c r="G21" s="2385"/>
      <c r="H21" s="2385"/>
      <c r="I21" s="2385"/>
      <c r="J21" s="2385"/>
      <c r="K21" s="2385"/>
      <c r="L21" s="2385"/>
      <c r="M21" s="2385"/>
      <c r="N21" s="2385"/>
      <c r="O21" s="2386"/>
      <c r="P21" s="1119" t="s">
        <v>1341</v>
      </c>
    </row>
    <row r="22" spans="1:20" s="1117" customFormat="1" x14ac:dyDescent="0.25">
      <c r="A22" s="1186">
        <v>202</v>
      </c>
      <c r="B22" s="1188"/>
      <c r="C22" s="1669"/>
      <c r="D22" s="1121"/>
      <c r="E22" s="2384" t="s">
        <v>4533</v>
      </c>
      <c r="F22" s="2385"/>
      <c r="G22" s="2385"/>
      <c r="H22" s="2385"/>
      <c r="I22" s="2385"/>
      <c r="J22" s="2385"/>
      <c r="K22" s="2385"/>
      <c r="L22" s="2385"/>
      <c r="M22" s="2385"/>
      <c r="N22" s="2385"/>
      <c r="O22" s="2386"/>
      <c r="P22" s="1119" t="s">
        <v>1341</v>
      </c>
    </row>
    <row r="23" spans="1:20" s="1117" customFormat="1" x14ac:dyDescent="0.25">
      <c r="A23" s="1186">
        <v>203</v>
      </c>
      <c r="B23" s="1188"/>
      <c r="C23" s="1669"/>
      <c r="D23" s="1121"/>
      <c r="E23" s="2384" t="s">
        <v>4680</v>
      </c>
      <c r="F23" s="2385"/>
      <c r="G23" s="2385"/>
      <c r="H23" s="2385"/>
      <c r="I23" s="2385"/>
      <c r="J23" s="2385"/>
      <c r="K23" s="2385"/>
      <c r="L23" s="2385"/>
      <c r="M23" s="2385"/>
      <c r="N23" s="2385"/>
      <c r="O23" s="2386"/>
      <c r="P23" s="1119" t="s">
        <v>4542</v>
      </c>
    </row>
    <row r="24" spans="1:20" s="1117" customFormat="1" x14ac:dyDescent="0.25">
      <c r="A24" s="1186">
        <v>210</v>
      </c>
      <c r="B24" s="1188"/>
      <c r="C24" s="1228" t="s">
        <v>345</v>
      </c>
      <c r="D24" s="1121" t="str">
        <f t="shared" si="0"/>
        <v/>
      </c>
      <c r="E24" s="2384" t="s">
        <v>5476</v>
      </c>
      <c r="F24" s="2385"/>
      <c r="G24" s="2385"/>
      <c r="H24" s="2385"/>
      <c r="I24" s="2385"/>
      <c r="J24" s="2385"/>
      <c r="K24" s="2385"/>
      <c r="L24" s="2385"/>
      <c r="M24" s="2385"/>
      <c r="N24" s="2385"/>
      <c r="O24" s="2386"/>
      <c r="P24" s="1119" t="s">
        <v>1553</v>
      </c>
    </row>
    <row r="25" spans="1:20" s="1117" customFormat="1" x14ac:dyDescent="0.25">
      <c r="A25" s="1186">
        <v>215</v>
      </c>
      <c r="B25" s="1188"/>
      <c r="C25" s="1669"/>
      <c r="D25" s="1121" t="str">
        <f t="shared" si="0"/>
        <v/>
      </c>
      <c r="E25" s="2384" t="s">
        <v>62</v>
      </c>
      <c r="F25" s="2385"/>
      <c r="G25" s="2385"/>
      <c r="H25" s="2385"/>
      <c r="I25" s="2385"/>
      <c r="J25" s="2385"/>
      <c r="K25" s="2385"/>
      <c r="L25" s="2385"/>
      <c r="M25" s="2385"/>
      <c r="N25" s="2385"/>
      <c r="O25" s="2386"/>
      <c r="P25" s="1119" t="s">
        <v>929</v>
      </c>
    </row>
    <row r="26" spans="1:20" s="1117" customFormat="1" x14ac:dyDescent="0.25">
      <c r="A26" s="1186">
        <v>220</v>
      </c>
      <c r="B26" s="1188"/>
      <c r="C26" s="1228" t="s">
        <v>345</v>
      </c>
      <c r="D26" s="1121" t="str">
        <f t="shared" si="0"/>
        <v/>
      </c>
      <c r="E26" s="2384" t="s">
        <v>63</v>
      </c>
      <c r="F26" s="2385"/>
      <c r="G26" s="2385"/>
      <c r="H26" s="2385"/>
      <c r="I26" s="2385"/>
      <c r="J26" s="2385"/>
      <c r="K26" s="2385"/>
      <c r="L26" s="2385"/>
      <c r="M26" s="2385"/>
      <c r="N26" s="2385"/>
      <c r="O26" s="2386"/>
      <c r="P26" s="1119"/>
    </row>
    <row r="27" spans="1:20" s="1117" customFormat="1" x14ac:dyDescent="0.25">
      <c r="A27" s="1186">
        <v>301</v>
      </c>
      <c r="B27" s="1188"/>
      <c r="C27" s="1669"/>
      <c r="D27" s="1121" t="str">
        <f t="shared" si="0"/>
        <v/>
      </c>
      <c r="E27" s="2384" t="s">
        <v>5459</v>
      </c>
      <c r="F27" s="2385"/>
      <c r="G27" s="2385"/>
      <c r="H27" s="2385"/>
      <c r="I27" s="2385"/>
      <c r="J27" s="2385"/>
      <c r="K27" s="2385"/>
      <c r="L27" s="2385"/>
      <c r="M27" s="2385"/>
      <c r="N27" s="2385"/>
      <c r="O27" s="2386"/>
      <c r="P27" s="1119"/>
      <c r="T27" s="1186"/>
    </row>
    <row r="28" spans="1:20" s="1117" customFormat="1" x14ac:dyDescent="0.25">
      <c r="A28" s="1186">
        <v>305</v>
      </c>
      <c r="B28" s="1188"/>
      <c r="C28" s="1669"/>
      <c r="D28" s="1121" t="str">
        <f t="shared" si="0"/>
        <v/>
      </c>
      <c r="E28" s="2384" t="s">
        <v>1189</v>
      </c>
      <c r="F28" s="2385"/>
      <c r="G28" s="2385"/>
      <c r="H28" s="2385"/>
      <c r="I28" s="2385"/>
      <c r="J28" s="2385"/>
      <c r="K28" s="2385"/>
      <c r="L28" s="2385"/>
      <c r="M28" s="2385"/>
      <c r="N28" s="2385"/>
      <c r="O28" s="2386"/>
      <c r="P28" s="1119" t="s">
        <v>1289</v>
      </c>
    </row>
    <row r="29" spans="1:20" s="1117" customFormat="1" x14ac:dyDescent="0.25">
      <c r="A29" s="198">
        <v>306</v>
      </c>
      <c r="B29" s="1226" t="s">
        <v>345</v>
      </c>
      <c r="C29" s="1669"/>
      <c r="D29" s="1121" t="str">
        <f>IF(B29="NA","",IF(Q29&lt;&gt;0,"E",""))</f>
        <v/>
      </c>
      <c r="E29" s="2414" t="s">
        <v>4681</v>
      </c>
      <c r="F29" s="2402"/>
      <c r="G29" s="2402"/>
      <c r="H29" s="2402"/>
      <c r="I29" s="2402"/>
      <c r="J29" s="2402"/>
      <c r="K29" s="2402"/>
      <c r="L29" s="2402"/>
      <c r="M29" s="2402"/>
      <c r="N29" s="2402"/>
      <c r="O29" s="2415"/>
      <c r="P29" s="1119" t="s">
        <v>929</v>
      </c>
    </row>
    <row r="30" spans="1:20" s="1117" customFormat="1" x14ac:dyDescent="0.25">
      <c r="A30" s="1186">
        <v>310</v>
      </c>
      <c r="B30" s="1188"/>
      <c r="C30" s="1669"/>
      <c r="D30" s="1121" t="str">
        <f t="shared" si="0"/>
        <v/>
      </c>
      <c r="E30" s="2384" t="s">
        <v>588</v>
      </c>
      <c r="F30" s="2385"/>
      <c r="G30" s="2385"/>
      <c r="H30" s="2385"/>
      <c r="I30" s="2385"/>
      <c r="J30" s="2385"/>
      <c r="K30" s="2385"/>
      <c r="L30" s="2385"/>
      <c r="M30" s="2385"/>
      <c r="N30" s="2385"/>
      <c r="O30" s="2386"/>
      <c r="P30" s="1119" t="s">
        <v>1289</v>
      </c>
    </row>
    <row r="31" spans="1:20" s="1117" customFormat="1" x14ac:dyDescent="0.25">
      <c r="A31" s="198">
        <v>311</v>
      </c>
      <c r="B31" s="1226" t="s">
        <v>345</v>
      </c>
      <c r="C31" s="1669"/>
      <c r="D31" s="1121" t="str">
        <f t="shared" si="0"/>
        <v/>
      </c>
      <c r="E31" s="2414" t="s">
        <v>4682</v>
      </c>
      <c r="F31" s="2402"/>
      <c r="G31" s="2402"/>
      <c r="H31" s="2402"/>
      <c r="I31" s="2402"/>
      <c r="J31" s="2402"/>
      <c r="K31" s="2402"/>
      <c r="L31" s="2402"/>
      <c r="M31" s="2402"/>
      <c r="N31" s="2402"/>
      <c r="O31" s="2415"/>
      <c r="P31" s="1119" t="s">
        <v>929</v>
      </c>
    </row>
    <row r="32" spans="1:20" s="1117" customFormat="1" ht="29.25" customHeight="1" x14ac:dyDescent="0.25">
      <c r="A32" s="1186">
        <v>315</v>
      </c>
      <c r="B32" s="1188"/>
      <c r="C32" s="1228" t="s">
        <v>345</v>
      </c>
      <c r="D32" s="1121" t="str">
        <f t="shared" si="0"/>
        <v/>
      </c>
      <c r="E32" s="2393" t="s">
        <v>4706</v>
      </c>
      <c r="F32" s="2394"/>
      <c r="G32" s="2394"/>
      <c r="H32" s="2394"/>
      <c r="I32" s="2394"/>
      <c r="J32" s="2394"/>
      <c r="K32" s="2394"/>
      <c r="L32" s="2394"/>
      <c r="M32" s="2394"/>
      <c r="N32" s="2394"/>
      <c r="O32" s="2395"/>
      <c r="P32" s="1119"/>
    </row>
    <row r="33" spans="1:16" s="1117" customFormat="1" ht="30.75" customHeight="1" x14ac:dyDescent="0.25">
      <c r="A33" s="1186">
        <v>320</v>
      </c>
      <c r="B33" s="1188"/>
      <c r="C33" s="1228" t="s">
        <v>345</v>
      </c>
      <c r="D33" s="1121" t="str">
        <f>IF(B33="NA","",IF(Q33&lt;&gt;0,"E",""))</f>
        <v/>
      </c>
      <c r="E33" s="2393" t="s">
        <v>4707</v>
      </c>
      <c r="F33" s="2394"/>
      <c r="G33" s="2394"/>
      <c r="H33" s="2394"/>
      <c r="I33" s="2394"/>
      <c r="J33" s="2394"/>
      <c r="K33" s="2394"/>
      <c r="L33" s="2394"/>
      <c r="M33" s="2394"/>
      <c r="N33" s="2394"/>
      <c r="O33" s="2395"/>
      <c r="P33" s="1119"/>
    </row>
    <row r="34" spans="1:16" s="1117" customFormat="1" x14ac:dyDescent="0.25">
      <c r="A34" s="1186">
        <v>322</v>
      </c>
      <c r="B34" s="1188"/>
      <c r="C34" s="1669"/>
      <c r="D34" s="1121"/>
      <c r="E34" s="2384" t="s">
        <v>1269</v>
      </c>
      <c r="F34" s="2385"/>
      <c r="G34" s="2385"/>
      <c r="H34" s="2385"/>
      <c r="I34" s="2385"/>
      <c r="J34" s="2385"/>
      <c r="K34" s="2385"/>
      <c r="L34" s="2385"/>
      <c r="M34" s="2385"/>
      <c r="N34" s="2385"/>
      <c r="O34" s="2386"/>
      <c r="P34" s="1119" t="s">
        <v>929</v>
      </c>
    </row>
    <row r="35" spans="1:16" s="1117" customFormat="1" x14ac:dyDescent="0.25">
      <c r="A35" s="1186">
        <v>323</v>
      </c>
      <c r="B35" s="1188"/>
      <c r="C35" s="1669"/>
      <c r="D35" s="1121"/>
      <c r="E35" s="2396" t="s">
        <v>4801</v>
      </c>
      <c r="F35" s="2397"/>
      <c r="G35" s="2397"/>
      <c r="H35" s="2397"/>
      <c r="I35" s="2397"/>
      <c r="J35" s="2397"/>
      <c r="K35" s="2397"/>
      <c r="L35" s="2397"/>
      <c r="M35" s="2397"/>
      <c r="N35" s="2397"/>
      <c r="O35" s="2398"/>
      <c r="P35" s="1119" t="s">
        <v>929</v>
      </c>
    </row>
    <row r="36" spans="1:16" s="1117" customFormat="1" x14ac:dyDescent="0.25">
      <c r="A36" s="1119">
        <v>325</v>
      </c>
      <c r="B36" s="1188"/>
      <c r="C36" s="1228" t="s">
        <v>345</v>
      </c>
      <c r="D36" s="1121" t="str">
        <f t="shared" si="0"/>
        <v/>
      </c>
      <c r="E36" s="2384" t="s">
        <v>288</v>
      </c>
      <c r="F36" s="2385"/>
      <c r="G36" s="2385"/>
      <c r="H36" s="2385"/>
      <c r="I36" s="2385"/>
      <c r="J36" s="2385"/>
      <c r="K36" s="2385"/>
      <c r="L36" s="2385"/>
      <c r="M36" s="2385"/>
      <c r="N36" s="2385"/>
      <c r="O36" s="2386"/>
      <c r="P36" s="1119"/>
    </row>
    <row r="37" spans="1:16" s="1117" customFormat="1" x14ac:dyDescent="0.25">
      <c r="A37" s="198">
        <v>326</v>
      </c>
      <c r="B37" s="1228" t="s">
        <v>345</v>
      </c>
      <c r="C37" s="1669"/>
      <c r="D37" s="1121" t="str">
        <f>IF(B37="NA","",IF(Q37&lt;&gt;0,"E",""))</f>
        <v/>
      </c>
      <c r="E37" s="2427" t="s">
        <v>1712</v>
      </c>
      <c r="F37" s="2402"/>
      <c r="G37" s="2402"/>
      <c r="H37" s="2402"/>
      <c r="I37" s="2402"/>
      <c r="J37" s="2402"/>
      <c r="K37" s="2402"/>
      <c r="L37" s="2402"/>
      <c r="M37" s="2402"/>
      <c r="N37" s="2402"/>
      <c r="O37" s="2415"/>
      <c r="P37" s="1119" t="s">
        <v>929</v>
      </c>
    </row>
    <row r="38" spans="1:16" s="1117" customFormat="1" x14ac:dyDescent="0.25">
      <c r="A38" s="1119">
        <v>330</v>
      </c>
      <c r="B38" s="1651"/>
      <c r="C38" s="1669"/>
      <c r="D38" s="1121" t="str">
        <f t="shared" si="0"/>
        <v/>
      </c>
      <c r="E38" s="2384" t="s">
        <v>994</v>
      </c>
      <c r="F38" s="2385"/>
      <c r="G38" s="2385"/>
      <c r="H38" s="2385"/>
      <c r="I38" s="2385"/>
      <c r="J38" s="2385"/>
      <c r="K38" s="2385"/>
      <c r="L38" s="2385"/>
      <c r="M38" s="2385"/>
      <c r="N38" s="2385"/>
      <c r="O38" s="2386"/>
      <c r="P38" s="1119" t="s">
        <v>929</v>
      </c>
    </row>
    <row r="39" spans="1:16" s="1117" customFormat="1" x14ac:dyDescent="0.25">
      <c r="A39" s="198">
        <v>335</v>
      </c>
      <c r="B39" s="1226" t="s">
        <v>345</v>
      </c>
      <c r="C39" s="1669"/>
      <c r="D39" s="1121" t="str">
        <f t="shared" si="0"/>
        <v/>
      </c>
      <c r="E39" s="2427" t="s">
        <v>1713</v>
      </c>
      <c r="F39" s="2402"/>
      <c r="G39" s="2402"/>
      <c r="H39" s="2402"/>
      <c r="I39" s="2402"/>
      <c r="J39" s="2402"/>
      <c r="K39" s="2402"/>
      <c r="L39" s="2402"/>
      <c r="M39" s="2402"/>
      <c r="N39" s="2402"/>
      <c r="O39" s="2415"/>
      <c r="P39" s="1119" t="s">
        <v>929</v>
      </c>
    </row>
    <row r="40" spans="1:16" s="1117" customFormat="1" x14ac:dyDescent="0.25">
      <c r="A40" s="1119">
        <v>338</v>
      </c>
      <c r="B40" s="1651"/>
      <c r="C40" s="1669"/>
      <c r="D40" s="1121"/>
      <c r="E40" s="2384" t="s">
        <v>3622</v>
      </c>
      <c r="F40" s="2385"/>
      <c r="G40" s="2385"/>
      <c r="H40" s="2385"/>
      <c r="I40" s="2385"/>
      <c r="J40" s="2385"/>
      <c r="K40" s="2385"/>
      <c r="L40" s="2385"/>
      <c r="M40" s="2385"/>
      <c r="N40" s="2385"/>
      <c r="O40" s="2386"/>
      <c r="P40" s="1119" t="s">
        <v>929</v>
      </c>
    </row>
    <row r="41" spans="1:16" s="1117" customFormat="1" x14ac:dyDescent="0.25">
      <c r="A41" s="1119">
        <v>340</v>
      </c>
      <c r="B41" s="1651"/>
      <c r="C41" s="1669"/>
      <c r="D41" s="1121"/>
      <c r="E41" s="2384" t="s">
        <v>1353</v>
      </c>
      <c r="F41" s="2402"/>
      <c r="G41" s="2402"/>
      <c r="H41" s="2402"/>
      <c r="I41" s="2402"/>
      <c r="J41" s="2402"/>
      <c r="K41" s="2402"/>
      <c r="L41" s="2402"/>
      <c r="M41" s="2402"/>
      <c r="N41" s="2402"/>
      <c r="O41" s="2415"/>
      <c r="P41" s="1119" t="s">
        <v>929</v>
      </c>
    </row>
    <row r="42" spans="1:16" s="1117" customFormat="1" x14ac:dyDescent="0.25">
      <c r="A42" s="1119">
        <v>341</v>
      </c>
      <c r="B42" s="1651"/>
      <c r="C42" s="1669"/>
      <c r="D42" s="1121"/>
      <c r="E42" s="2384" t="s">
        <v>1400</v>
      </c>
      <c r="F42" s="2402"/>
      <c r="G42" s="2402"/>
      <c r="H42" s="2402"/>
      <c r="I42" s="2402"/>
      <c r="J42" s="2402"/>
      <c r="K42" s="2402"/>
      <c r="L42" s="2402"/>
      <c r="M42" s="2402"/>
      <c r="N42" s="2402"/>
      <c r="O42" s="2415"/>
      <c r="P42" s="1119" t="s">
        <v>929</v>
      </c>
    </row>
    <row r="43" spans="1:16" s="1117" customFormat="1" x14ac:dyDescent="0.25">
      <c r="A43" s="1119">
        <v>342</v>
      </c>
      <c r="B43" s="1651"/>
      <c r="C43" s="1669"/>
      <c r="D43" s="1121"/>
      <c r="E43" s="2384" t="s">
        <v>1394</v>
      </c>
      <c r="F43" s="2402"/>
      <c r="G43" s="2402"/>
      <c r="H43" s="2402"/>
      <c r="I43" s="2402"/>
      <c r="J43" s="2402"/>
      <c r="K43" s="2402"/>
      <c r="L43" s="2402"/>
      <c r="M43" s="2402"/>
      <c r="N43" s="2402"/>
      <c r="O43" s="2415"/>
      <c r="P43" s="1119" t="s">
        <v>929</v>
      </c>
    </row>
    <row r="44" spans="1:16" s="1117" customFormat="1" x14ac:dyDescent="0.25">
      <c r="A44" s="1119">
        <v>345</v>
      </c>
      <c r="B44" s="1120"/>
      <c r="C44" s="1669"/>
      <c r="D44" s="1121" t="str">
        <f t="shared" si="0"/>
        <v/>
      </c>
      <c r="E44" s="2384" t="s">
        <v>734</v>
      </c>
      <c r="F44" s="2385"/>
      <c r="G44" s="2385"/>
      <c r="H44" s="2385"/>
      <c r="I44" s="2385"/>
      <c r="J44" s="2385"/>
      <c r="K44" s="2385"/>
      <c r="L44" s="2385"/>
      <c r="M44" s="2385"/>
      <c r="N44" s="2385"/>
      <c r="O44" s="2386"/>
      <c r="P44" s="1119" t="s">
        <v>929</v>
      </c>
    </row>
    <row r="45" spans="1:16" s="1117" customFormat="1" x14ac:dyDescent="0.25">
      <c r="A45" s="1119">
        <v>350</v>
      </c>
      <c r="B45" s="1122"/>
      <c r="C45" s="1172"/>
      <c r="D45" s="1121" t="str">
        <f t="shared" si="0"/>
        <v/>
      </c>
      <c r="E45" s="2384" t="s">
        <v>586</v>
      </c>
      <c r="F45" s="2385"/>
      <c r="G45" s="2385"/>
      <c r="H45" s="2385"/>
      <c r="I45" s="2385"/>
      <c r="J45" s="2385"/>
      <c r="K45" s="2385"/>
      <c r="L45" s="2385"/>
      <c r="M45" s="2385"/>
      <c r="N45" s="2385"/>
      <c r="O45" s="2386"/>
      <c r="P45" s="1119" t="s">
        <v>929</v>
      </c>
    </row>
    <row r="46" spans="1:16" s="1117" customFormat="1" x14ac:dyDescent="0.25">
      <c r="A46" s="1119">
        <v>355</v>
      </c>
      <c r="B46" s="1120"/>
      <c r="C46" s="1172"/>
      <c r="D46" s="1121" t="str">
        <f t="shared" si="0"/>
        <v/>
      </c>
      <c r="E46" s="2384" t="s">
        <v>1014</v>
      </c>
      <c r="F46" s="2385"/>
      <c r="G46" s="2385"/>
      <c r="H46" s="2385"/>
      <c r="I46" s="2385"/>
      <c r="J46" s="2385"/>
      <c r="K46" s="2385"/>
      <c r="L46" s="2385"/>
      <c r="M46" s="2385"/>
      <c r="N46" s="2385"/>
      <c r="O46" s="2386"/>
      <c r="P46" s="1119" t="s">
        <v>929</v>
      </c>
    </row>
    <row r="47" spans="1:16" s="1117" customFormat="1" x14ac:dyDescent="0.25">
      <c r="A47" s="198">
        <v>360</v>
      </c>
      <c r="B47" s="1226" t="s">
        <v>345</v>
      </c>
      <c r="C47" s="1172"/>
      <c r="D47" s="1121" t="str">
        <f t="shared" si="0"/>
        <v/>
      </c>
      <c r="E47" s="2427" t="s">
        <v>1730</v>
      </c>
      <c r="F47" s="2402"/>
      <c r="G47" s="2402"/>
      <c r="H47" s="2402"/>
      <c r="I47" s="2402"/>
      <c r="J47" s="2402"/>
      <c r="K47" s="2402"/>
      <c r="L47" s="2402"/>
      <c r="M47" s="2402"/>
      <c r="N47" s="2402"/>
      <c r="O47" s="2415"/>
      <c r="P47" s="1119" t="s">
        <v>929</v>
      </c>
    </row>
    <row r="48" spans="1:16" s="1117" customFormat="1" x14ac:dyDescent="0.25">
      <c r="A48" s="1119">
        <v>365</v>
      </c>
      <c r="B48" s="1122"/>
      <c r="C48" s="1172"/>
      <c r="D48" s="1121"/>
      <c r="E48" s="2384" t="s">
        <v>1313</v>
      </c>
      <c r="F48" s="2385"/>
      <c r="G48" s="2385"/>
      <c r="H48" s="2385"/>
      <c r="I48" s="2385"/>
      <c r="J48" s="2385"/>
      <c r="K48" s="2385"/>
      <c r="L48" s="2385"/>
      <c r="M48" s="2385"/>
      <c r="N48" s="2385"/>
      <c r="O48" s="2386"/>
      <c r="P48" s="1119" t="s">
        <v>929</v>
      </c>
    </row>
    <row r="49" spans="1:16" s="1117" customFormat="1" x14ac:dyDescent="0.25">
      <c r="A49" s="1119">
        <v>370</v>
      </c>
      <c r="B49" s="1651"/>
      <c r="C49" s="1228" t="s">
        <v>345</v>
      </c>
      <c r="D49" s="1121"/>
      <c r="E49" s="2384" t="s">
        <v>1351</v>
      </c>
      <c r="F49" s="2385"/>
      <c r="G49" s="2385"/>
      <c r="H49" s="2385"/>
      <c r="I49" s="2385"/>
      <c r="J49" s="2385"/>
      <c r="K49" s="2385"/>
      <c r="L49" s="2385"/>
      <c r="M49" s="2385"/>
      <c r="N49" s="2385"/>
      <c r="O49" s="2386"/>
      <c r="P49" s="1119"/>
    </row>
    <row r="50" spans="1:16" s="1117" customFormat="1" x14ac:dyDescent="0.25">
      <c r="A50" s="1119" t="s">
        <v>4866</v>
      </c>
      <c r="B50" s="1651"/>
      <c r="C50" s="1228" t="s">
        <v>345</v>
      </c>
      <c r="D50" s="1121"/>
      <c r="E50" s="2416" t="s">
        <v>4892</v>
      </c>
      <c r="F50" s="2385"/>
      <c r="G50" s="2385"/>
      <c r="H50" s="2385"/>
      <c r="I50" s="2385"/>
      <c r="J50" s="2385"/>
      <c r="K50" s="2385"/>
      <c r="L50" s="2385"/>
      <c r="M50" s="2385"/>
      <c r="N50" s="2385"/>
      <c r="O50" s="2386"/>
      <c r="P50" s="1119"/>
    </row>
    <row r="51" spans="1:16" s="1117" customFormat="1" x14ac:dyDescent="0.25">
      <c r="A51" s="1119" t="s">
        <v>4867</v>
      </c>
      <c r="B51" s="1651"/>
      <c r="C51" s="1228" t="s">
        <v>345</v>
      </c>
      <c r="D51" s="1121"/>
      <c r="E51" s="2416" t="s">
        <v>5325</v>
      </c>
      <c r="F51" s="2385"/>
      <c r="G51" s="2385"/>
      <c r="H51" s="2385"/>
      <c r="I51" s="2385"/>
      <c r="J51" s="2385"/>
      <c r="K51" s="2385"/>
      <c r="L51" s="2385"/>
      <c r="M51" s="2385"/>
      <c r="N51" s="2385"/>
      <c r="O51" s="2386"/>
      <c r="P51" s="1119"/>
    </row>
    <row r="52" spans="1:16" s="1117" customFormat="1" x14ac:dyDescent="0.25">
      <c r="A52" s="1119">
        <v>401</v>
      </c>
      <c r="B52" s="1651"/>
      <c r="C52" s="1172"/>
      <c r="D52" s="1121" t="str">
        <f t="shared" si="0"/>
        <v/>
      </c>
      <c r="E52" s="2384" t="s">
        <v>3808</v>
      </c>
      <c r="F52" s="2385"/>
      <c r="G52" s="2385"/>
      <c r="H52" s="2385"/>
      <c r="I52" s="2385"/>
      <c r="J52" s="2385"/>
      <c r="K52" s="2385"/>
      <c r="L52" s="2385"/>
      <c r="M52" s="2385"/>
      <c r="N52" s="2385"/>
      <c r="O52" s="2386"/>
      <c r="P52" s="1119" t="s">
        <v>929</v>
      </c>
    </row>
    <row r="53" spans="1:16" s="1117" customFormat="1" x14ac:dyDescent="0.25">
      <c r="A53" s="1119">
        <v>405</v>
      </c>
      <c r="B53" s="1122"/>
      <c r="C53" s="1172"/>
      <c r="D53" s="1121" t="str">
        <f t="shared" si="0"/>
        <v/>
      </c>
      <c r="E53" s="2384" t="s">
        <v>3807</v>
      </c>
      <c r="F53" s="2385"/>
      <c r="G53" s="2385"/>
      <c r="H53" s="2385"/>
      <c r="I53" s="2385"/>
      <c r="J53" s="2385"/>
      <c r="K53" s="2385"/>
      <c r="L53" s="2385"/>
      <c r="M53" s="2385"/>
      <c r="N53" s="2385"/>
      <c r="O53" s="2386"/>
      <c r="P53" s="1119" t="s">
        <v>929</v>
      </c>
    </row>
    <row r="54" spans="1:16" s="1117" customFormat="1" x14ac:dyDescent="0.25">
      <c r="A54" s="1119">
        <v>410</v>
      </c>
      <c r="B54" s="1122"/>
      <c r="C54" s="1172"/>
      <c r="D54" s="1121" t="str">
        <f t="shared" si="0"/>
        <v/>
      </c>
      <c r="E54" s="2384" t="s">
        <v>3809</v>
      </c>
      <c r="F54" s="2385"/>
      <c r="G54" s="2385"/>
      <c r="H54" s="2385"/>
      <c r="I54" s="2385"/>
      <c r="J54" s="2385"/>
      <c r="K54" s="2385"/>
      <c r="L54" s="2385"/>
      <c r="M54" s="2385"/>
      <c r="N54" s="2385"/>
      <c r="O54" s="2386"/>
      <c r="P54" s="1119" t="s">
        <v>929</v>
      </c>
    </row>
    <row r="55" spans="1:16" s="1117" customFormat="1" x14ac:dyDescent="0.25">
      <c r="A55" s="1119">
        <v>415</v>
      </c>
      <c r="B55" s="1122"/>
      <c r="C55" s="1172"/>
      <c r="D55" s="1121" t="str">
        <f t="shared" si="0"/>
        <v/>
      </c>
      <c r="E55" s="2384" t="s">
        <v>3810</v>
      </c>
      <c r="F55" s="2385"/>
      <c r="G55" s="2385"/>
      <c r="H55" s="2385"/>
      <c r="I55" s="2385"/>
      <c r="J55" s="2385"/>
      <c r="K55" s="2385"/>
      <c r="L55" s="2385"/>
      <c r="M55" s="2385"/>
      <c r="N55" s="2385"/>
      <c r="O55" s="2386"/>
      <c r="P55" s="1119" t="s">
        <v>929</v>
      </c>
    </row>
    <row r="56" spans="1:16" s="1117" customFormat="1" x14ac:dyDescent="0.25">
      <c r="A56" s="1119">
        <v>420</v>
      </c>
      <c r="B56" s="1651"/>
      <c r="C56" s="1172"/>
      <c r="D56" s="1121" t="str">
        <f t="shared" si="0"/>
        <v/>
      </c>
      <c r="E56" s="2384" t="s">
        <v>3530</v>
      </c>
      <c r="F56" s="2385"/>
      <c r="G56" s="2385"/>
      <c r="H56" s="2385"/>
      <c r="I56" s="2385"/>
      <c r="J56" s="2385"/>
      <c r="K56" s="2385"/>
      <c r="L56" s="2385"/>
      <c r="M56" s="2385"/>
      <c r="N56" s="2385"/>
      <c r="O56" s="2386"/>
      <c r="P56" s="1119" t="s">
        <v>929</v>
      </c>
    </row>
    <row r="57" spans="1:16" s="1117" customFormat="1" x14ac:dyDescent="0.25">
      <c r="A57" s="1119">
        <v>425</v>
      </c>
      <c r="B57" s="1120"/>
      <c r="C57" s="1172"/>
      <c r="D57" s="1121"/>
      <c r="E57" s="2384" t="s">
        <v>1328</v>
      </c>
      <c r="F57" s="2385"/>
      <c r="G57" s="2385"/>
      <c r="H57" s="2385"/>
      <c r="I57" s="2385"/>
      <c r="J57" s="2385"/>
      <c r="K57" s="2385"/>
      <c r="L57" s="2385"/>
      <c r="M57" s="2385"/>
      <c r="N57" s="2385"/>
      <c r="O57" s="2386"/>
      <c r="P57" s="1119"/>
    </row>
    <row r="58" spans="1:16" s="1117" customFormat="1" x14ac:dyDescent="0.25">
      <c r="A58" s="1119" t="s">
        <v>3709</v>
      </c>
      <c r="B58" s="1651"/>
      <c r="C58" s="1228" t="s">
        <v>345</v>
      </c>
      <c r="D58" s="1121" t="str">
        <f t="shared" si="0"/>
        <v/>
      </c>
      <c r="E58" s="2417" t="s">
        <v>3805</v>
      </c>
      <c r="F58" s="2418"/>
      <c r="G58" s="2418"/>
      <c r="H58" s="2418"/>
      <c r="I58" s="2418"/>
      <c r="J58" s="2418"/>
      <c r="K58" s="2418"/>
      <c r="L58" s="2418"/>
      <c r="M58" s="2418"/>
      <c r="N58" s="2418"/>
      <c r="O58" s="2419"/>
      <c r="P58" s="1119"/>
    </row>
    <row r="59" spans="1:16" s="1117" customFormat="1" x14ac:dyDescent="0.25">
      <c r="A59" s="1119" t="s">
        <v>3710</v>
      </c>
      <c r="B59" s="1651"/>
      <c r="C59" s="1228" t="s">
        <v>345</v>
      </c>
      <c r="D59" s="1121" t="str">
        <f>IF(B59="NA","",IF(Q59&lt;&gt;0,"E",""))</f>
        <v/>
      </c>
      <c r="E59" s="2417" t="s">
        <v>3806</v>
      </c>
      <c r="F59" s="2418"/>
      <c r="G59" s="2418"/>
      <c r="H59" s="2418"/>
      <c r="I59" s="2418"/>
      <c r="J59" s="2418"/>
      <c r="K59" s="2418"/>
      <c r="L59" s="2418"/>
      <c r="M59" s="2418"/>
      <c r="N59" s="2418"/>
      <c r="O59" s="2419"/>
      <c r="P59" s="1119"/>
    </row>
    <row r="60" spans="1:16" s="1117" customFormat="1" x14ac:dyDescent="0.25">
      <c r="A60" s="1119" t="s">
        <v>4800</v>
      </c>
      <c r="B60" s="1651"/>
      <c r="C60" s="1814" t="s">
        <v>345</v>
      </c>
      <c r="D60" s="1121"/>
      <c r="E60" s="2085" t="s">
        <v>5326</v>
      </c>
      <c r="F60" s="2082"/>
      <c r="G60" s="2082"/>
      <c r="H60" s="2082"/>
      <c r="I60" s="2082"/>
      <c r="J60" s="2082"/>
      <c r="K60" s="2082"/>
      <c r="L60" s="2082"/>
      <c r="M60" s="2082"/>
      <c r="N60" s="2082"/>
      <c r="O60" s="2083"/>
      <c r="P60" s="1119"/>
    </row>
    <row r="61" spans="1:16" s="1117" customFormat="1" x14ac:dyDescent="0.25">
      <c r="A61" s="1119" t="s">
        <v>3975</v>
      </c>
      <c r="B61" s="1651"/>
      <c r="C61" s="1228" t="s">
        <v>345</v>
      </c>
      <c r="D61" s="1121" t="str">
        <f t="shared" si="0"/>
        <v/>
      </c>
      <c r="E61" s="2417" t="s">
        <v>4319</v>
      </c>
      <c r="F61" s="2418"/>
      <c r="G61" s="2418"/>
      <c r="H61" s="2418"/>
      <c r="I61" s="2418"/>
      <c r="J61" s="2418"/>
      <c r="K61" s="2418"/>
      <c r="L61" s="2418"/>
      <c r="M61" s="2418"/>
      <c r="N61" s="2418"/>
      <c r="O61" s="2419"/>
      <c r="P61" s="1119"/>
    </row>
    <row r="62" spans="1:16" s="1117" customFormat="1" x14ac:dyDescent="0.25">
      <c r="A62" s="1119" t="s">
        <v>3976</v>
      </c>
      <c r="B62" s="1651"/>
      <c r="C62" s="1228" t="s">
        <v>345</v>
      </c>
      <c r="D62" s="1121" t="str">
        <f>IF(B62="NA","",IF(Q62&lt;&gt;0,"E",""))</f>
        <v/>
      </c>
      <c r="E62" s="2417" t="s">
        <v>4320</v>
      </c>
      <c r="F62" s="2418"/>
      <c r="G62" s="2418"/>
      <c r="H62" s="2418"/>
      <c r="I62" s="2418"/>
      <c r="J62" s="2418"/>
      <c r="K62" s="2418"/>
      <c r="L62" s="2418"/>
      <c r="M62" s="2418"/>
      <c r="N62" s="2418"/>
      <c r="O62" s="2419"/>
      <c r="P62" s="1119"/>
    </row>
    <row r="63" spans="1:16" s="1117" customFormat="1" x14ac:dyDescent="0.25">
      <c r="A63" s="1119">
        <v>501</v>
      </c>
      <c r="B63" s="1651"/>
      <c r="C63" s="1228" t="s">
        <v>345</v>
      </c>
      <c r="D63" s="1121" t="str">
        <f t="shared" si="0"/>
        <v/>
      </c>
      <c r="E63" s="2384" t="s">
        <v>508</v>
      </c>
      <c r="F63" s="2385"/>
      <c r="G63" s="2385"/>
      <c r="H63" s="2385"/>
      <c r="I63" s="2385"/>
      <c r="J63" s="2385"/>
      <c r="K63" s="2385"/>
      <c r="L63" s="2385"/>
      <c r="M63" s="2385"/>
      <c r="N63" s="2385"/>
      <c r="O63" s="2386"/>
      <c r="P63" s="1119"/>
    </row>
    <row r="64" spans="1:16" s="1117" customFormat="1" x14ac:dyDescent="0.25">
      <c r="A64" s="1119">
        <v>505</v>
      </c>
      <c r="B64" s="1122"/>
      <c r="C64" s="1228" t="s">
        <v>345</v>
      </c>
      <c r="D64" s="1121" t="str">
        <f t="shared" si="0"/>
        <v/>
      </c>
      <c r="E64" s="2384" t="s">
        <v>265</v>
      </c>
      <c r="F64" s="2385"/>
      <c r="G64" s="2385"/>
      <c r="H64" s="2385"/>
      <c r="I64" s="2385"/>
      <c r="J64" s="2385"/>
      <c r="K64" s="2385"/>
      <c r="L64" s="2385"/>
      <c r="M64" s="2385"/>
      <c r="N64" s="2385"/>
      <c r="O64" s="2386"/>
      <c r="P64" s="1119"/>
    </row>
    <row r="65" spans="1:16" s="1117" customFormat="1" x14ac:dyDescent="0.25">
      <c r="A65" s="1119">
        <v>510</v>
      </c>
      <c r="B65" s="1122"/>
      <c r="C65" s="1228" t="s">
        <v>345</v>
      </c>
      <c r="D65" s="1121" t="str">
        <f t="shared" si="0"/>
        <v/>
      </c>
      <c r="E65" s="2384" t="s">
        <v>266</v>
      </c>
      <c r="F65" s="2385"/>
      <c r="G65" s="2385"/>
      <c r="H65" s="2385"/>
      <c r="I65" s="2385"/>
      <c r="J65" s="2385"/>
      <c r="K65" s="2385"/>
      <c r="L65" s="2385"/>
      <c r="M65" s="2385"/>
      <c r="N65" s="2385"/>
      <c r="O65" s="2386"/>
      <c r="P65" s="1119"/>
    </row>
    <row r="66" spans="1:16" s="1117" customFormat="1" x14ac:dyDescent="0.25">
      <c r="A66" s="1119">
        <v>515</v>
      </c>
      <c r="B66" s="1122"/>
      <c r="C66" s="1228" t="s">
        <v>345</v>
      </c>
      <c r="D66" s="1121" t="str">
        <f t="shared" si="0"/>
        <v/>
      </c>
      <c r="E66" s="2384" t="s">
        <v>436</v>
      </c>
      <c r="F66" s="2385"/>
      <c r="G66" s="2385"/>
      <c r="H66" s="2385"/>
      <c r="I66" s="2385"/>
      <c r="J66" s="2385"/>
      <c r="K66" s="2385"/>
      <c r="L66" s="2385"/>
      <c r="M66" s="2385"/>
      <c r="N66" s="2385"/>
      <c r="O66" s="2386"/>
      <c r="P66" s="1119"/>
    </row>
    <row r="67" spans="1:16" s="1117" customFormat="1" x14ac:dyDescent="0.25">
      <c r="A67" s="1119">
        <v>520</v>
      </c>
      <c r="B67" s="1122"/>
      <c r="C67" s="1228" t="s">
        <v>345</v>
      </c>
      <c r="D67" s="1121" t="str">
        <f t="shared" si="0"/>
        <v/>
      </c>
      <c r="E67" s="2384" t="s">
        <v>267</v>
      </c>
      <c r="F67" s="2385"/>
      <c r="G67" s="2385"/>
      <c r="H67" s="2385"/>
      <c r="I67" s="2385"/>
      <c r="J67" s="2385"/>
      <c r="K67" s="2385"/>
      <c r="L67" s="2385"/>
      <c r="M67" s="2385"/>
      <c r="N67" s="2385"/>
      <c r="O67" s="2386"/>
      <c r="P67" s="1119"/>
    </row>
    <row r="68" spans="1:16" s="1117" customFormat="1" x14ac:dyDescent="0.25">
      <c r="A68" s="1119">
        <v>525</v>
      </c>
      <c r="B68" s="1122"/>
      <c r="C68" s="1228" t="s">
        <v>345</v>
      </c>
      <c r="D68" s="1121" t="str">
        <f t="shared" si="0"/>
        <v/>
      </c>
      <c r="E68" s="2384" t="s">
        <v>1214</v>
      </c>
      <c r="F68" s="2385"/>
      <c r="G68" s="2385"/>
      <c r="H68" s="2385"/>
      <c r="I68" s="2385"/>
      <c r="J68" s="2385"/>
      <c r="K68" s="2385"/>
      <c r="L68" s="2385"/>
      <c r="M68" s="2385"/>
      <c r="N68" s="2385"/>
      <c r="O68" s="2386"/>
      <c r="P68" s="1119"/>
    </row>
    <row r="69" spans="1:16" s="1117" customFormat="1" x14ac:dyDescent="0.25">
      <c r="A69" s="1119">
        <v>530</v>
      </c>
      <c r="B69" s="1122"/>
      <c r="C69" s="1228" t="s">
        <v>345</v>
      </c>
      <c r="D69" s="1121" t="str">
        <f t="shared" si="0"/>
        <v/>
      </c>
      <c r="E69" s="2384" t="s">
        <v>258</v>
      </c>
      <c r="F69" s="2385"/>
      <c r="G69" s="2385"/>
      <c r="H69" s="2385"/>
      <c r="I69" s="2385"/>
      <c r="J69" s="2385"/>
      <c r="K69" s="2385"/>
      <c r="L69" s="2385"/>
      <c r="M69" s="2385"/>
      <c r="N69" s="2385"/>
      <c r="O69" s="2386"/>
      <c r="P69" s="1119"/>
    </row>
    <row r="70" spans="1:16" s="1117" customFormat="1" x14ac:dyDescent="0.25">
      <c r="A70" s="1119">
        <v>535</v>
      </c>
      <c r="B70" s="1122"/>
      <c r="C70" s="1228" t="s">
        <v>345</v>
      </c>
      <c r="D70" s="1121" t="str">
        <f t="shared" si="0"/>
        <v/>
      </c>
      <c r="E70" s="2384" t="s">
        <v>414</v>
      </c>
      <c r="F70" s="2385"/>
      <c r="G70" s="2385"/>
      <c r="H70" s="2385"/>
      <c r="I70" s="2385"/>
      <c r="J70" s="2385"/>
      <c r="K70" s="2385"/>
      <c r="L70" s="2385"/>
      <c r="M70" s="2385"/>
      <c r="N70" s="2385"/>
      <c r="O70" s="2386"/>
      <c r="P70" s="1119"/>
    </row>
    <row r="71" spans="1:16" s="1117" customFormat="1" x14ac:dyDescent="0.25">
      <c r="A71" s="1119">
        <v>540</v>
      </c>
      <c r="B71" s="1651"/>
      <c r="C71" s="1814" t="s">
        <v>345</v>
      </c>
      <c r="D71" s="1121"/>
      <c r="E71" s="2384" t="s">
        <v>4404</v>
      </c>
      <c r="F71" s="2385"/>
      <c r="G71" s="2385"/>
      <c r="H71" s="2385"/>
      <c r="I71" s="2385"/>
      <c r="J71" s="2385"/>
      <c r="K71" s="2385"/>
      <c r="L71" s="2385"/>
      <c r="M71" s="2385"/>
      <c r="N71" s="2385"/>
      <c r="O71" s="2386"/>
      <c r="P71" s="1119"/>
    </row>
    <row r="72" spans="1:16" s="1117" customFormat="1" x14ac:dyDescent="0.25">
      <c r="A72" s="1119">
        <v>545</v>
      </c>
      <c r="B72" s="1651"/>
      <c r="C72" s="1814" t="s">
        <v>345</v>
      </c>
      <c r="D72" s="1121"/>
      <c r="E72" s="2384" t="s">
        <v>4901</v>
      </c>
      <c r="F72" s="2385"/>
      <c r="G72" s="2385"/>
      <c r="H72" s="2385"/>
      <c r="I72" s="2385"/>
      <c r="J72" s="2385"/>
      <c r="K72" s="2385"/>
      <c r="L72" s="2385"/>
      <c r="M72" s="2385"/>
      <c r="N72" s="2385"/>
      <c r="O72" s="2386"/>
      <c r="P72" s="1119"/>
    </row>
    <row r="73" spans="1:16" s="1117" customFormat="1" x14ac:dyDescent="0.25">
      <c r="A73" s="1119">
        <v>550</v>
      </c>
      <c r="B73" s="1651"/>
      <c r="C73" s="1814" t="s">
        <v>345</v>
      </c>
      <c r="D73" s="1121"/>
      <c r="E73" s="2384" t="s">
        <v>4403</v>
      </c>
      <c r="F73" s="2385"/>
      <c r="G73" s="2385"/>
      <c r="H73" s="2385"/>
      <c r="I73" s="2385"/>
      <c r="J73" s="2385"/>
      <c r="K73" s="2385"/>
      <c r="L73" s="2385"/>
      <c r="M73" s="2385"/>
      <c r="N73" s="2385"/>
      <c r="O73" s="2386"/>
      <c r="P73" s="1119"/>
    </row>
    <row r="74" spans="1:16" s="1117" customFormat="1" x14ac:dyDescent="0.25">
      <c r="A74" s="1119">
        <v>555</v>
      </c>
      <c r="B74" s="1651"/>
      <c r="C74" s="1814" t="s">
        <v>345</v>
      </c>
      <c r="D74" s="1121"/>
      <c r="E74" s="2384" t="s">
        <v>4402</v>
      </c>
      <c r="F74" s="2385"/>
      <c r="G74" s="2385"/>
      <c r="H74" s="2385"/>
      <c r="I74" s="2385"/>
      <c r="J74" s="2385"/>
      <c r="K74" s="2385"/>
      <c r="L74" s="2385"/>
      <c r="M74" s="2385"/>
      <c r="N74" s="2385"/>
      <c r="O74" s="2386"/>
      <c r="P74" s="1119"/>
    </row>
    <row r="75" spans="1:16" s="1117" customFormat="1" x14ac:dyDescent="0.25">
      <c r="A75" s="1119">
        <v>560</v>
      </c>
      <c r="B75" s="1651"/>
      <c r="C75" s="1814" t="s">
        <v>345</v>
      </c>
      <c r="D75" s="1121"/>
      <c r="E75" s="2384" t="s">
        <v>4401</v>
      </c>
      <c r="F75" s="2385"/>
      <c r="G75" s="2385"/>
      <c r="H75" s="2385"/>
      <c r="I75" s="2385"/>
      <c r="J75" s="2385"/>
      <c r="K75" s="2385"/>
      <c r="L75" s="2385"/>
      <c r="M75" s="2385"/>
      <c r="N75" s="2385"/>
      <c r="O75" s="2386"/>
      <c r="P75" s="1119"/>
    </row>
    <row r="76" spans="1:16" s="1117" customFormat="1" x14ac:dyDescent="0.25">
      <c r="A76" s="1119">
        <v>565</v>
      </c>
      <c r="B76" s="1122"/>
      <c r="C76" s="1228" t="s">
        <v>345</v>
      </c>
      <c r="D76" s="1121" t="str">
        <f t="shared" si="0"/>
        <v/>
      </c>
      <c r="E76" s="2384" t="s">
        <v>1036</v>
      </c>
      <c r="F76" s="2385"/>
      <c r="G76" s="2385"/>
      <c r="H76" s="2385"/>
      <c r="I76" s="2385"/>
      <c r="J76" s="2385"/>
      <c r="K76" s="2385"/>
      <c r="L76" s="2385"/>
      <c r="M76" s="2385"/>
      <c r="N76" s="2385"/>
      <c r="O76" s="2386"/>
      <c r="P76" s="1119"/>
    </row>
    <row r="77" spans="1:16" s="1117" customFormat="1" x14ac:dyDescent="0.25">
      <c r="A77" s="1119">
        <v>570</v>
      </c>
      <c r="B77" s="1651"/>
      <c r="C77" s="1228" t="s">
        <v>345</v>
      </c>
      <c r="D77" s="1121" t="str">
        <f t="shared" si="0"/>
        <v/>
      </c>
      <c r="E77" s="2384" t="s">
        <v>558</v>
      </c>
      <c r="F77" s="2385"/>
      <c r="G77" s="2385"/>
      <c r="H77" s="2385"/>
      <c r="I77" s="2385"/>
      <c r="J77" s="2385"/>
      <c r="K77" s="2385"/>
      <c r="L77" s="2385"/>
      <c r="M77" s="2385"/>
      <c r="N77" s="2385"/>
      <c r="O77" s="2386"/>
      <c r="P77" s="1119"/>
    </row>
    <row r="78" spans="1:16" s="1117" customFormat="1" x14ac:dyDescent="0.25">
      <c r="A78" s="1119">
        <v>602</v>
      </c>
      <c r="B78" s="1651"/>
      <c r="C78" s="1814" t="s">
        <v>345</v>
      </c>
      <c r="D78" s="1121"/>
      <c r="E78" s="2396" t="s">
        <v>4802</v>
      </c>
      <c r="F78" s="2397"/>
      <c r="G78" s="2397"/>
      <c r="H78" s="2397"/>
      <c r="I78" s="2397"/>
      <c r="J78" s="2397"/>
      <c r="K78" s="2397"/>
      <c r="L78" s="2397"/>
      <c r="M78" s="2397"/>
      <c r="N78" s="2397"/>
      <c r="O78" s="2398"/>
      <c r="P78" s="1119"/>
    </row>
    <row r="79" spans="1:16" s="1117" customFormat="1" x14ac:dyDescent="0.25">
      <c r="A79" s="1119">
        <v>605</v>
      </c>
      <c r="B79" s="1651"/>
      <c r="C79" s="1228" t="s">
        <v>345</v>
      </c>
      <c r="D79" s="1121" t="str">
        <f t="shared" si="0"/>
        <v/>
      </c>
      <c r="E79" s="2428" t="s">
        <v>4231</v>
      </c>
      <c r="F79" s="2429"/>
      <c r="G79" s="2429"/>
      <c r="H79" s="2429"/>
      <c r="I79" s="2429"/>
      <c r="J79" s="2429"/>
      <c r="K79" s="2429"/>
      <c r="L79" s="2429"/>
      <c r="M79" s="2429"/>
      <c r="N79" s="2429"/>
      <c r="O79" s="2430"/>
      <c r="P79" s="1119"/>
    </row>
    <row r="80" spans="1:16" s="1117" customFormat="1" x14ac:dyDescent="0.25">
      <c r="A80" s="1119">
        <v>610</v>
      </c>
      <c r="B80" s="1651"/>
      <c r="C80" s="1228" t="s">
        <v>345</v>
      </c>
      <c r="D80" s="1121" t="str">
        <f t="shared" si="0"/>
        <v/>
      </c>
      <c r="E80" s="2384" t="s">
        <v>3732</v>
      </c>
      <c r="F80" s="2385"/>
      <c r="G80" s="2385"/>
      <c r="H80" s="2385"/>
      <c r="I80" s="2385"/>
      <c r="J80" s="2385"/>
      <c r="K80" s="2385"/>
      <c r="L80" s="2385"/>
      <c r="M80" s="2385"/>
      <c r="N80" s="2385"/>
      <c r="O80" s="2386"/>
      <c r="P80" s="1119"/>
    </row>
    <row r="81" spans="1:16" s="1117" customFormat="1" x14ac:dyDescent="0.25">
      <c r="A81" s="1119">
        <v>615</v>
      </c>
      <c r="B81" s="1651"/>
      <c r="C81" s="1228" t="s">
        <v>345</v>
      </c>
      <c r="D81" s="1121" t="str">
        <f t="shared" si="0"/>
        <v/>
      </c>
      <c r="E81" s="2384" t="s">
        <v>4265</v>
      </c>
      <c r="F81" s="2385"/>
      <c r="G81" s="2385"/>
      <c r="H81" s="2385"/>
      <c r="I81" s="2385"/>
      <c r="J81" s="2385"/>
      <c r="K81" s="2385"/>
      <c r="L81" s="2385"/>
      <c r="M81" s="2385"/>
      <c r="N81" s="2385"/>
      <c r="O81" s="2386"/>
      <c r="P81" s="1119"/>
    </row>
    <row r="82" spans="1:16" s="1117" customFormat="1" x14ac:dyDescent="0.25">
      <c r="A82" s="1119">
        <v>616</v>
      </c>
      <c r="B82" s="1651"/>
      <c r="C82" s="1228" t="s">
        <v>345</v>
      </c>
      <c r="D82" s="1121" t="str">
        <f>IF(B82="NA","",IF(Q82&lt;&gt;0,"E",""))</f>
        <v/>
      </c>
      <c r="E82" s="2384" t="s">
        <v>4400</v>
      </c>
      <c r="F82" s="2385"/>
      <c r="G82" s="2385"/>
      <c r="H82" s="2385"/>
      <c r="I82" s="2385"/>
      <c r="J82" s="2385"/>
      <c r="K82" s="2385"/>
      <c r="L82" s="2385"/>
      <c r="M82" s="2385"/>
      <c r="N82" s="2385"/>
      <c r="O82" s="2386"/>
      <c r="P82" s="1119"/>
    </row>
    <row r="83" spans="1:16" s="1117" customFormat="1" x14ac:dyDescent="0.25">
      <c r="A83" s="1119">
        <v>620</v>
      </c>
      <c r="B83" s="1122"/>
      <c r="C83" s="1228" t="s">
        <v>345</v>
      </c>
      <c r="D83" s="1121" t="str">
        <f t="shared" si="0"/>
        <v/>
      </c>
      <c r="E83" s="2384" t="s">
        <v>3594</v>
      </c>
      <c r="F83" s="2385"/>
      <c r="G83" s="2385"/>
      <c r="H83" s="2385"/>
      <c r="I83" s="2385"/>
      <c r="J83" s="2385"/>
      <c r="K83" s="2385"/>
      <c r="L83" s="2385"/>
      <c r="M83" s="2385"/>
      <c r="N83" s="2385"/>
      <c r="O83" s="2386"/>
      <c r="P83" s="1119"/>
    </row>
    <row r="84" spans="1:16" s="1117" customFormat="1" x14ac:dyDescent="0.25">
      <c r="A84" s="1119">
        <v>625</v>
      </c>
      <c r="B84" s="1651"/>
      <c r="C84" s="1669"/>
      <c r="D84" s="1121" t="str">
        <f t="shared" si="0"/>
        <v/>
      </c>
      <c r="E84" s="2384" t="s">
        <v>100</v>
      </c>
      <c r="F84" s="2385"/>
      <c r="G84" s="2385"/>
      <c r="H84" s="2385"/>
      <c r="I84" s="2385"/>
      <c r="J84" s="2385"/>
      <c r="K84" s="2385"/>
      <c r="L84" s="2385"/>
      <c r="M84" s="2385"/>
      <c r="N84" s="2385"/>
      <c r="O84" s="2386"/>
      <c r="P84" s="1119" t="s">
        <v>929</v>
      </c>
    </row>
    <row r="85" spans="1:16" s="1117" customFormat="1" x14ac:dyDescent="0.25">
      <c r="A85" s="1119">
        <v>635</v>
      </c>
      <c r="B85" s="1651"/>
      <c r="C85" s="1228" t="s">
        <v>345</v>
      </c>
      <c r="D85" s="1121" t="str">
        <f t="shared" si="0"/>
        <v/>
      </c>
      <c r="E85" s="2384" t="s">
        <v>1015</v>
      </c>
      <c r="F85" s="2385"/>
      <c r="G85" s="2385"/>
      <c r="H85" s="2385"/>
      <c r="I85" s="2385"/>
      <c r="J85" s="2385"/>
      <c r="K85" s="2385"/>
      <c r="L85" s="2385"/>
      <c r="M85" s="2385"/>
      <c r="N85" s="2385"/>
      <c r="O85" s="2386"/>
      <c r="P85" s="1119"/>
    </row>
    <row r="86" spans="1:16" s="1117" customFormat="1" x14ac:dyDescent="0.25">
      <c r="A86" s="1694">
        <v>640</v>
      </c>
      <c r="B86" s="1651"/>
      <c r="C86" s="1669"/>
      <c r="D86" s="1121"/>
      <c r="E86" s="2390" t="s">
        <v>4399</v>
      </c>
      <c r="F86" s="2391"/>
      <c r="G86" s="2391"/>
      <c r="H86" s="2391"/>
      <c r="I86" s="2391"/>
      <c r="J86" s="2391"/>
      <c r="K86" s="2391"/>
      <c r="L86" s="2391"/>
      <c r="M86" s="2391"/>
      <c r="N86" s="2391"/>
      <c r="O86" s="2392"/>
      <c r="P86" s="1119" t="s">
        <v>929</v>
      </c>
    </row>
    <row r="87" spans="1:16" s="1117" customFormat="1" x14ac:dyDescent="0.25">
      <c r="A87" s="1119">
        <v>705</v>
      </c>
      <c r="B87" s="1122"/>
      <c r="C87" s="1228" t="s">
        <v>345</v>
      </c>
      <c r="D87" s="1121" t="str">
        <f t="shared" si="0"/>
        <v/>
      </c>
      <c r="E87" s="2384" t="s">
        <v>658</v>
      </c>
      <c r="F87" s="2385"/>
      <c r="G87" s="2385"/>
      <c r="H87" s="2385"/>
      <c r="I87" s="2385"/>
      <c r="J87" s="2385"/>
      <c r="K87" s="2385"/>
      <c r="L87" s="2385"/>
      <c r="M87" s="2385"/>
      <c r="N87" s="2385"/>
      <c r="O87" s="2386"/>
      <c r="P87" s="1119"/>
    </row>
    <row r="88" spans="1:16" s="1117" customFormat="1" x14ac:dyDescent="0.25">
      <c r="A88" s="1119">
        <v>710</v>
      </c>
      <c r="B88" s="1651"/>
      <c r="C88" s="1228" t="s">
        <v>345</v>
      </c>
      <c r="D88" s="1121" t="str">
        <f t="shared" si="0"/>
        <v/>
      </c>
      <c r="E88" s="2384" t="s">
        <v>657</v>
      </c>
      <c r="F88" s="2385"/>
      <c r="G88" s="2385"/>
      <c r="H88" s="2385"/>
      <c r="I88" s="2385"/>
      <c r="J88" s="2385"/>
      <c r="K88" s="2385"/>
      <c r="L88" s="2385"/>
      <c r="M88" s="2385"/>
      <c r="N88" s="2385"/>
      <c r="O88" s="2386"/>
      <c r="P88" s="1119"/>
    </row>
    <row r="89" spans="1:16" s="1117" customFormat="1" x14ac:dyDescent="0.25">
      <c r="A89" s="1119">
        <v>715</v>
      </c>
      <c r="B89" s="1122"/>
      <c r="C89" s="1228" t="s">
        <v>345</v>
      </c>
      <c r="D89" s="1121" t="str">
        <f t="shared" si="0"/>
        <v/>
      </c>
      <c r="E89" s="2384" t="s">
        <v>656</v>
      </c>
      <c r="F89" s="2385"/>
      <c r="G89" s="2385"/>
      <c r="H89" s="2385"/>
      <c r="I89" s="2385"/>
      <c r="J89" s="2385"/>
      <c r="K89" s="2385"/>
      <c r="L89" s="2385"/>
      <c r="M89" s="2385"/>
      <c r="N89" s="2385"/>
      <c r="O89" s="2386"/>
      <c r="P89" s="1119"/>
    </row>
    <row r="90" spans="1:16" s="1117" customFormat="1" x14ac:dyDescent="0.25">
      <c r="A90" s="1119">
        <v>720</v>
      </c>
      <c r="B90" s="1651"/>
      <c r="C90" s="1228" t="s">
        <v>345</v>
      </c>
      <c r="D90" s="1121" t="str">
        <f t="shared" si="0"/>
        <v/>
      </c>
      <c r="E90" s="2384" t="s">
        <v>407</v>
      </c>
      <c r="F90" s="2385"/>
      <c r="G90" s="2385"/>
      <c r="H90" s="2385"/>
      <c r="I90" s="2385"/>
      <c r="J90" s="2385"/>
      <c r="K90" s="2385"/>
      <c r="L90" s="2385"/>
      <c r="M90" s="2385"/>
      <c r="N90" s="2385"/>
      <c r="O90" s="2386"/>
      <c r="P90" s="1119"/>
    </row>
    <row r="91" spans="1:16" s="1117" customFormat="1" x14ac:dyDescent="0.25">
      <c r="A91" s="1119">
        <v>725</v>
      </c>
      <c r="B91" s="1651"/>
      <c r="C91" s="1228" t="s">
        <v>345</v>
      </c>
      <c r="D91" s="1121" t="str">
        <f t="shared" si="0"/>
        <v/>
      </c>
      <c r="E91" s="2384" t="s">
        <v>1687</v>
      </c>
      <c r="F91" s="2385"/>
      <c r="G91" s="2385"/>
      <c r="H91" s="2385"/>
      <c r="I91" s="2385"/>
      <c r="J91" s="2385"/>
      <c r="K91" s="2385"/>
      <c r="L91" s="2385"/>
      <c r="M91" s="2385"/>
      <c r="N91" s="2385"/>
      <c r="O91" s="2386"/>
      <c r="P91" s="1119"/>
    </row>
    <row r="92" spans="1:16" s="1117" customFormat="1" x14ac:dyDescent="0.25">
      <c r="A92" s="1119">
        <v>730</v>
      </c>
      <c r="B92" s="1122"/>
      <c r="C92" s="1228" t="s">
        <v>345</v>
      </c>
      <c r="D92" s="1121" t="str">
        <f t="shared" si="0"/>
        <v/>
      </c>
      <c r="E92" s="2384" t="s">
        <v>54</v>
      </c>
      <c r="F92" s="2385"/>
      <c r="G92" s="2385"/>
      <c r="H92" s="2385"/>
      <c r="I92" s="2385"/>
      <c r="J92" s="2385"/>
      <c r="K92" s="2385"/>
      <c r="L92" s="2385"/>
      <c r="M92" s="2385"/>
      <c r="N92" s="2385"/>
      <c r="O92" s="2386"/>
      <c r="P92" s="1119"/>
    </row>
    <row r="93" spans="1:16" s="1117" customFormat="1" x14ac:dyDescent="0.25">
      <c r="A93" s="1119">
        <v>735</v>
      </c>
      <c r="B93" s="1122"/>
      <c r="C93" s="1228" t="s">
        <v>345</v>
      </c>
      <c r="D93" s="1121" t="str">
        <f t="shared" si="0"/>
        <v/>
      </c>
      <c r="E93" s="2384" t="s">
        <v>55</v>
      </c>
      <c r="F93" s="2385"/>
      <c r="G93" s="2385"/>
      <c r="H93" s="2385"/>
      <c r="I93" s="2385"/>
      <c r="J93" s="2385"/>
      <c r="K93" s="2385"/>
      <c r="L93" s="2385"/>
      <c r="M93" s="2385"/>
      <c r="N93" s="2385"/>
      <c r="O93" s="2386"/>
      <c r="P93" s="1119"/>
    </row>
    <row r="94" spans="1:16" s="1117" customFormat="1" x14ac:dyDescent="0.25">
      <c r="A94" s="1119">
        <v>740</v>
      </c>
      <c r="B94" s="1122"/>
      <c r="C94" s="1228" t="s">
        <v>345</v>
      </c>
      <c r="D94" s="1121" t="str">
        <f t="shared" si="0"/>
        <v/>
      </c>
      <c r="E94" s="2384" t="s">
        <v>3602</v>
      </c>
      <c r="F94" s="2385"/>
      <c r="G94" s="2385"/>
      <c r="H94" s="2385"/>
      <c r="I94" s="2385"/>
      <c r="J94" s="2385"/>
      <c r="K94" s="2385"/>
      <c r="L94" s="2385"/>
      <c r="M94" s="2385"/>
      <c r="N94" s="2385"/>
      <c r="O94" s="2386"/>
      <c r="P94" s="1119"/>
    </row>
    <row r="95" spans="1:16" s="1117" customFormat="1" x14ac:dyDescent="0.25">
      <c r="A95" s="1119">
        <v>745</v>
      </c>
      <c r="B95" s="1122"/>
      <c r="C95" s="1172"/>
      <c r="D95" s="1121" t="str">
        <f t="shared" si="0"/>
        <v/>
      </c>
      <c r="E95" s="2384" t="s">
        <v>1962</v>
      </c>
      <c r="F95" s="2385"/>
      <c r="G95" s="2385"/>
      <c r="H95" s="2385"/>
      <c r="I95" s="2385"/>
      <c r="J95" s="2385"/>
      <c r="K95" s="2385"/>
      <c r="L95" s="2385"/>
      <c r="M95" s="2385"/>
      <c r="N95" s="2385"/>
      <c r="O95" s="2386"/>
      <c r="P95" s="1119" t="s">
        <v>929</v>
      </c>
    </row>
    <row r="96" spans="1:16" s="1117" customFormat="1" x14ac:dyDescent="0.25">
      <c r="A96" s="198">
        <v>750</v>
      </c>
      <c r="B96" s="1226" t="s">
        <v>345</v>
      </c>
      <c r="C96" s="1172"/>
      <c r="D96" s="1121" t="str">
        <f t="shared" si="0"/>
        <v/>
      </c>
      <c r="E96" s="2427" t="s">
        <v>1714</v>
      </c>
      <c r="F96" s="2402"/>
      <c r="G96" s="2402"/>
      <c r="H96" s="2402"/>
      <c r="I96" s="2402"/>
      <c r="J96" s="2402"/>
      <c r="K96" s="2402"/>
      <c r="L96" s="2402"/>
      <c r="M96" s="2402"/>
      <c r="N96" s="2402"/>
      <c r="O96" s="2415"/>
      <c r="P96" s="1119" t="s">
        <v>929</v>
      </c>
    </row>
    <row r="97" spans="1:17" s="1117" customFormat="1" x14ac:dyDescent="0.25">
      <c r="A97" s="1119">
        <v>755</v>
      </c>
      <c r="B97" s="1651"/>
      <c r="C97" s="1669"/>
      <c r="D97" s="1121"/>
      <c r="E97" s="2384" t="s">
        <v>4285</v>
      </c>
      <c r="F97" s="2385"/>
      <c r="G97" s="2385"/>
      <c r="H97" s="2385"/>
      <c r="I97" s="2385"/>
      <c r="J97" s="2385"/>
      <c r="K97" s="2385"/>
      <c r="L97" s="2385"/>
      <c r="M97" s="2385"/>
      <c r="N97" s="2385"/>
      <c r="O97" s="2386"/>
      <c r="P97" s="1119" t="s">
        <v>929</v>
      </c>
    </row>
    <row r="98" spans="1:17" s="1117" customFormat="1" x14ac:dyDescent="0.25">
      <c r="A98" s="1119">
        <v>756</v>
      </c>
      <c r="B98" s="1651"/>
      <c r="C98" s="1656" t="s">
        <v>345</v>
      </c>
      <c r="D98" s="1121" t="str">
        <f>IF(B98="NA","",IF(Q98&lt;&gt;0,"E",""))</f>
        <v/>
      </c>
      <c r="E98" s="2384" t="s">
        <v>4361</v>
      </c>
      <c r="F98" s="2385"/>
      <c r="G98" s="2385"/>
      <c r="H98" s="2385"/>
      <c r="I98" s="2385"/>
      <c r="J98" s="2385"/>
      <c r="K98" s="2385"/>
      <c r="L98" s="2385"/>
      <c r="M98" s="2385"/>
      <c r="N98" s="2385"/>
      <c r="O98" s="2386"/>
      <c r="P98" s="1119"/>
    </row>
    <row r="99" spans="1:17" s="1117" customFormat="1" x14ac:dyDescent="0.25">
      <c r="A99" s="1119">
        <v>760</v>
      </c>
      <c r="B99" s="1651"/>
      <c r="C99" s="1669"/>
      <c r="D99" s="1121"/>
      <c r="E99" s="2384" t="s">
        <v>4286</v>
      </c>
      <c r="F99" s="2385"/>
      <c r="G99" s="2385"/>
      <c r="H99" s="2385"/>
      <c r="I99" s="2385"/>
      <c r="J99" s="2385"/>
      <c r="K99" s="2385"/>
      <c r="L99" s="2385"/>
      <c r="M99" s="2385"/>
      <c r="N99" s="2385"/>
      <c r="O99" s="2386"/>
      <c r="P99" s="1119" t="s">
        <v>929</v>
      </c>
    </row>
    <row r="100" spans="1:17" s="1659" customFormat="1" ht="15" customHeight="1" x14ac:dyDescent="0.2">
      <c r="A100" s="1660">
        <v>765</v>
      </c>
      <c r="B100" s="1668"/>
      <c r="C100" s="1670"/>
      <c r="D100" s="1658"/>
      <c r="E100" s="2387" t="s">
        <v>4287</v>
      </c>
      <c r="F100" s="2388"/>
      <c r="G100" s="2388"/>
      <c r="H100" s="2388"/>
      <c r="I100" s="2388"/>
      <c r="J100" s="2388"/>
      <c r="K100" s="2388"/>
      <c r="L100" s="2388"/>
      <c r="M100" s="2388"/>
      <c r="N100" s="2388"/>
      <c r="O100" s="2389"/>
      <c r="P100" s="1660" t="s">
        <v>929</v>
      </c>
    </row>
    <row r="101" spans="1:17" s="1117" customFormat="1" ht="29.1" customHeight="1" x14ac:dyDescent="0.25">
      <c r="A101" s="1661">
        <v>905</v>
      </c>
      <c r="B101" s="1651"/>
      <c r="C101" s="1228" t="s">
        <v>345</v>
      </c>
      <c r="D101" s="1121" t="str">
        <f>IF(B101="NA","",IF(Q101&lt;&gt;0,"E",""))</f>
        <v/>
      </c>
      <c r="E101" s="2393" t="s">
        <v>3533</v>
      </c>
      <c r="F101" s="2394"/>
      <c r="G101" s="2394"/>
      <c r="H101" s="2394"/>
      <c r="I101" s="2394"/>
      <c r="J101" s="2394"/>
      <c r="K101" s="2394"/>
      <c r="L101" s="2394"/>
      <c r="M101" s="2394"/>
      <c r="N101" s="2394"/>
      <c r="O101" s="2395"/>
      <c r="P101" s="1119"/>
    </row>
    <row r="102" spans="1:17" s="1117" customFormat="1" ht="45" customHeight="1" x14ac:dyDescent="0.25">
      <c r="A102" s="1123" t="s">
        <v>1560</v>
      </c>
      <c r="B102" s="1481" t="s">
        <v>1352</v>
      </c>
      <c r="C102" s="1227" t="s">
        <v>345</v>
      </c>
      <c r="D102" s="1121"/>
      <c r="E102" s="2393" t="s">
        <v>4902</v>
      </c>
      <c r="F102" s="2394"/>
      <c r="G102" s="2394"/>
      <c r="H102" s="2394"/>
      <c r="I102" s="2394"/>
      <c r="J102" s="2394"/>
      <c r="K102" s="2394"/>
      <c r="L102" s="2394"/>
      <c r="M102" s="2394"/>
      <c r="N102" s="2394"/>
      <c r="O102" s="2395"/>
      <c r="P102" s="1119"/>
    </row>
    <row r="103" spans="1:17" s="1117" customFormat="1" ht="33" customHeight="1" x14ac:dyDescent="0.25">
      <c r="A103" s="1119" t="s">
        <v>1459</v>
      </c>
      <c r="B103" s="1651"/>
      <c r="C103" s="1228" t="s">
        <v>345</v>
      </c>
      <c r="D103" s="1121"/>
      <c r="E103" s="2393" t="s">
        <v>4076</v>
      </c>
      <c r="F103" s="2394"/>
      <c r="G103" s="2394"/>
      <c r="H103" s="2394"/>
      <c r="I103" s="2394"/>
      <c r="J103" s="2394"/>
      <c r="K103" s="2394"/>
      <c r="L103" s="2394"/>
      <c r="M103" s="2394"/>
      <c r="N103" s="2394"/>
      <c r="O103" s="2395"/>
      <c r="P103" s="1119"/>
    </row>
    <row r="104" spans="1:17" s="1117" customFormat="1" ht="15" customHeight="1" x14ac:dyDescent="0.25">
      <c r="A104" s="1119" t="s">
        <v>1940</v>
      </c>
      <c r="B104" s="1651"/>
      <c r="C104" s="1228" t="s">
        <v>345</v>
      </c>
      <c r="D104" s="1121"/>
      <c r="E104" s="2393" t="s">
        <v>4288</v>
      </c>
      <c r="F104" s="2394"/>
      <c r="G104" s="2394"/>
      <c r="H104" s="2394"/>
      <c r="I104" s="2394"/>
      <c r="J104" s="2394"/>
      <c r="K104" s="2394"/>
      <c r="L104" s="2394"/>
      <c r="M104" s="2394"/>
      <c r="N104" s="2394"/>
      <c r="O104" s="2395"/>
      <c r="P104" s="1119"/>
      <c r="Q104" s="1164"/>
    </row>
    <row r="105" spans="1:17" s="1117" customFormat="1" ht="15" customHeight="1" x14ac:dyDescent="0.25">
      <c r="A105" s="1119" t="s">
        <v>1941</v>
      </c>
      <c r="B105" s="1651"/>
      <c r="C105" s="1228" t="s">
        <v>345</v>
      </c>
      <c r="D105" s="1121"/>
      <c r="E105" s="2393" t="s">
        <v>3531</v>
      </c>
      <c r="F105" s="2394"/>
      <c r="G105" s="2394"/>
      <c r="H105" s="2394"/>
      <c r="I105" s="2394"/>
      <c r="J105" s="2394"/>
      <c r="K105" s="2394"/>
      <c r="L105" s="2394"/>
      <c r="M105" s="2394"/>
      <c r="N105" s="2394"/>
      <c r="O105" s="2395"/>
      <c r="P105" s="1119"/>
      <c r="Q105" s="1164"/>
    </row>
    <row r="106" spans="1:17" s="1117" customFormat="1" ht="18" customHeight="1" x14ac:dyDescent="0.25">
      <c r="A106" s="1119" t="s">
        <v>3517</v>
      </c>
      <c r="B106" s="1651"/>
      <c r="C106" s="1228" t="s">
        <v>345</v>
      </c>
      <c r="D106" s="1121"/>
      <c r="E106" s="2381" t="s">
        <v>3532</v>
      </c>
      <c r="F106" s="2382"/>
      <c r="G106" s="2382"/>
      <c r="H106" s="2382"/>
      <c r="I106" s="2382"/>
      <c r="J106" s="2382"/>
      <c r="K106" s="2382"/>
      <c r="L106" s="2382"/>
      <c r="M106" s="2382"/>
      <c r="N106" s="2382"/>
      <c r="O106" s="2383"/>
      <c r="P106" s="1119"/>
      <c r="Q106" s="1164"/>
    </row>
    <row r="107" spans="1:17" s="1117" customFormat="1" x14ac:dyDescent="0.25">
      <c r="A107" s="1119">
        <v>907</v>
      </c>
      <c r="B107" s="1122"/>
      <c r="C107" s="1228" t="s">
        <v>345</v>
      </c>
      <c r="D107" s="1121" t="str">
        <f t="shared" ref="D107:D113" si="1">IF(B107="NA","",IF(Q107&lt;&gt;0,"E",""))</f>
        <v/>
      </c>
      <c r="E107" s="2384" t="s">
        <v>4962</v>
      </c>
      <c r="F107" s="2385"/>
      <c r="G107" s="2385"/>
      <c r="H107" s="2385"/>
      <c r="I107" s="2385"/>
      <c r="J107" s="2385"/>
      <c r="K107" s="2385"/>
      <c r="L107" s="2385"/>
      <c r="M107" s="2385"/>
      <c r="N107" s="2385"/>
      <c r="O107" s="2386"/>
      <c r="P107" s="1119"/>
    </row>
    <row r="108" spans="1:17" s="1117" customFormat="1" x14ac:dyDescent="0.25">
      <c r="A108" s="1119">
        <v>910</v>
      </c>
      <c r="B108" s="1651"/>
      <c r="C108" s="1228" t="s">
        <v>345</v>
      </c>
      <c r="D108" s="1121" t="str">
        <f t="shared" si="1"/>
        <v/>
      </c>
      <c r="E108" s="2384" t="s">
        <v>632</v>
      </c>
      <c r="F108" s="2385"/>
      <c r="G108" s="2385"/>
      <c r="H108" s="2385"/>
      <c r="I108" s="2385"/>
      <c r="J108" s="2385"/>
      <c r="K108" s="2385"/>
      <c r="L108" s="2385"/>
      <c r="M108" s="2385"/>
      <c r="N108" s="2385"/>
      <c r="O108" s="2386"/>
      <c r="P108" s="1119"/>
    </row>
    <row r="109" spans="1:17" s="1117" customFormat="1" x14ac:dyDescent="0.25">
      <c r="A109" s="1119" t="s">
        <v>1565</v>
      </c>
      <c r="B109" s="1651"/>
      <c r="C109" s="1228" t="s">
        <v>345</v>
      </c>
      <c r="D109" s="1121" t="str">
        <f t="shared" si="1"/>
        <v/>
      </c>
      <c r="E109" s="2384" t="s">
        <v>1682</v>
      </c>
      <c r="F109" s="2385"/>
      <c r="G109" s="2385"/>
      <c r="H109" s="2385"/>
      <c r="I109" s="2385"/>
      <c r="J109" s="2385"/>
      <c r="K109" s="2385"/>
      <c r="L109" s="2385"/>
      <c r="M109" s="2385"/>
      <c r="N109" s="2385"/>
      <c r="O109" s="2386"/>
      <c r="P109" s="1119"/>
    </row>
    <row r="110" spans="1:17" s="1117" customFormat="1" x14ac:dyDescent="0.25">
      <c r="A110" s="1119" t="s">
        <v>1942</v>
      </c>
      <c r="B110" s="1651"/>
      <c r="C110" s="1228" t="s">
        <v>345</v>
      </c>
      <c r="D110" s="1121" t="str">
        <f t="shared" si="1"/>
        <v/>
      </c>
      <c r="E110" s="2384" t="s">
        <v>1945</v>
      </c>
      <c r="F110" s="2385"/>
      <c r="G110" s="2385"/>
      <c r="H110" s="2385"/>
      <c r="I110" s="2385"/>
      <c r="J110" s="2385"/>
      <c r="K110" s="2385"/>
      <c r="L110" s="2385"/>
      <c r="M110" s="2385"/>
      <c r="N110" s="2385"/>
      <c r="O110" s="2386"/>
      <c r="P110" s="1119"/>
    </row>
    <row r="111" spans="1:17" s="1117" customFormat="1" x14ac:dyDescent="0.25">
      <c r="A111" s="1119" t="s">
        <v>1943</v>
      </c>
      <c r="B111" s="1651"/>
      <c r="C111" s="1228" t="s">
        <v>345</v>
      </c>
      <c r="D111" s="1121" t="str">
        <f t="shared" si="1"/>
        <v/>
      </c>
      <c r="E111" s="2384" t="s">
        <v>1944</v>
      </c>
      <c r="F111" s="2385"/>
      <c r="G111" s="2385"/>
      <c r="H111" s="2385"/>
      <c r="I111" s="2385"/>
      <c r="J111" s="2385"/>
      <c r="K111" s="2385"/>
      <c r="L111" s="2385"/>
      <c r="M111" s="2385"/>
      <c r="N111" s="2385"/>
      <c r="O111" s="2386"/>
      <c r="P111" s="1119"/>
    </row>
    <row r="112" spans="1:17" s="1117" customFormat="1" x14ac:dyDescent="0.25">
      <c r="A112" s="1124" t="s">
        <v>437</v>
      </c>
      <c r="B112" s="1651"/>
      <c r="C112" s="1228" t="s">
        <v>345</v>
      </c>
      <c r="D112" s="1121" t="str">
        <f t="shared" si="1"/>
        <v/>
      </c>
      <c r="E112" s="2384" t="s">
        <v>441</v>
      </c>
      <c r="F112" s="2385"/>
      <c r="G112" s="2385"/>
      <c r="H112" s="2385"/>
      <c r="I112" s="2385"/>
      <c r="J112" s="2385"/>
      <c r="K112" s="2385"/>
      <c r="L112" s="2385"/>
      <c r="M112" s="2385"/>
      <c r="N112" s="2385"/>
      <c r="O112" s="2386"/>
      <c r="P112" s="1119"/>
    </row>
    <row r="113" spans="1:17" s="1117" customFormat="1" x14ac:dyDescent="0.25">
      <c r="A113" s="1124" t="s">
        <v>963</v>
      </c>
      <c r="B113" s="1651"/>
      <c r="C113" s="1228" t="s">
        <v>345</v>
      </c>
      <c r="D113" s="1121" t="str">
        <f t="shared" si="1"/>
        <v/>
      </c>
      <c r="E113" s="2384" t="s">
        <v>57</v>
      </c>
      <c r="F113" s="2385"/>
      <c r="G113" s="2385"/>
      <c r="H113" s="2385"/>
      <c r="I113" s="2385"/>
      <c r="J113" s="2385"/>
      <c r="K113" s="2385"/>
      <c r="L113" s="2385"/>
      <c r="M113" s="2385"/>
      <c r="N113" s="2385"/>
      <c r="O113" s="2386"/>
      <c r="P113" s="1119"/>
    </row>
    <row r="114" spans="1:17" s="1117" customFormat="1" ht="16.5" customHeight="1" x14ac:dyDescent="0.25">
      <c r="A114" s="1472" t="s">
        <v>3813</v>
      </c>
      <c r="B114" s="1481" t="s">
        <v>1352</v>
      </c>
      <c r="C114" s="1228" t="s">
        <v>345</v>
      </c>
      <c r="D114" s="1121"/>
      <c r="E114" s="2423" t="s">
        <v>1849</v>
      </c>
      <c r="F114" s="2424"/>
      <c r="G114" s="2424"/>
      <c r="H114" s="2424"/>
      <c r="I114" s="2424"/>
      <c r="J114" s="2424"/>
      <c r="K114" s="2424"/>
      <c r="L114" s="2424"/>
      <c r="M114" s="2424"/>
      <c r="N114" s="2424"/>
      <c r="O114" s="2425"/>
      <c r="P114" s="1119"/>
      <c r="Q114" s="1164"/>
    </row>
    <row r="115" spans="1:17" s="1117" customFormat="1" ht="16.5" customHeight="1" x14ac:dyDescent="0.25">
      <c r="A115" s="1472" t="s">
        <v>4374</v>
      </c>
      <c r="B115" s="1481" t="s">
        <v>1352</v>
      </c>
      <c r="C115" s="1228" t="s">
        <v>345</v>
      </c>
      <c r="D115" s="1121"/>
      <c r="E115" s="1835" t="s">
        <v>4375</v>
      </c>
      <c r="F115" s="1836"/>
      <c r="G115" s="1836"/>
      <c r="H115" s="1836"/>
      <c r="I115" s="1836"/>
      <c r="J115" s="1836"/>
      <c r="K115" s="1836"/>
      <c r="L115" s="1836"/>
      <c r="M115" s="1836"/>
      <c r="N115" s="1836"/>
      <c r="O115" s="1837"/>
      <c r="P115" s="1119"/>
      <c r="Q115" s="1164"/>
    </row>
    <row r="116" spans="1:17" s="1117" customFormat="1" ht="15.75" customHeight="1" x14ac:dyDescent="0.25">
      <c r="A116" s="1125" t="s">
        <v>843</v>
      </c>
      <c r="B116" s="1481" t="s">
        <v>1352</v>
      </c>
      <c r="C116" s="1228" t="s">
        <v>345</v>
      </c>
      <c r="D116" s="1121"/>
      <c r="E116" s="2384" t="s">
        <v>1723</v>
      </c>
      <c r="F116" s="2385"/>
      <c r="G116" s="2385"/>
      <c r="H116" s="2385"/>
      <c r="I116" s="2385"/>
      <c r="J116" s="2385"/>
      <c r="K116" s="2385"/>
      <c r="L116" s="2385"/>
      <c r="M116" s="2385"/>
      <c r="N116" s="2385"/>
      <c r="O116" s="2386"/>
      <c r="P116" s="1119"/>
    </row>
    <row r="117" spans="1:17" s="1117" customFormat="1" ht="16.5" customHeight="1" x14ac:dyDescent="0.25">
      <c r="A117" s="1471" t="s">
        <v>3811</v>
      </c>
      <c r="B117" s="1481" t="s">
        <v>1352</v>
      </c>
      <c r="C117" s="1228" t="s">
        <v>345</v>
      </c>
      <c r="D117" s="1121"/>
      <c r="E117" s="2423" t="s">
        <v>3812</v>
      </c>
      <c r="F117" s="2424"/>
      <c r="G117" s="2424"/>
      <c r="H117" s="2424"/>
      <c r="I117" s="2424"/>
      <c r="J117" s="2424"/>
      <c r="K117" s="2424"/>
      <c r="L117" s="2424"/>
      <c r="M117" s="2424"/>
      <c r="N117" s="2424"/>
      <c r="O117" s="2425"/>
      <c r="P117" s="1119"/>
      <c r="Q117" s="1164"/>
    </row>
    <row r="118" spans="1:17" s="1117" customFormat="1" ht="16.5" customHeight="1" x14ac:dyDescent="0.25">
      <c r="A118" s="1125" t="s">
        <v>1812</v>
      </c>
      <c r="B118" s="1481" t="s">
        <v>1352</v>
      </c>
      <c r="C118" s="1228" t="s">
        <v>345</v>
      </c>
      <c r="D118" s="1121"/>
      <c r="E118" s="2384" t="s">
        <v>1946</v>
      </c>
      <c r="F118" s="2385"/>
      <c r="G118" s="2385"/>
      <c r="H118" s="2385"/>
      <c r="I118" s="2385"/>
      <c r="J118" s="2385"/>
      <c r="K118" s="2385"/>
      <c r="L118" s="2385"/>
      <c r="M118" s="2385"/>
      <c r="N118" s="2385"/>
      <c r="O118" s="2386"/>
      <c r="P118" s="1119"/>
      <c r="Q118" s="1164"/>
    </row>
    <row r="119" spans="1:17" s="1117" customFormat="1" ht="16.5" customHeight="1" x14ac:dyDescent="0.25">
      <c r="A119" s="1125" t="s">
        <v>1813</v>
      </c>
      <c r="B119" s="1481" t="s">
        <v>1352</v>
      </c>
      <c r="C119" s="1228" t="s">
        <v>345</v>
      </c>
      <c r="D119" s="1121"/>
      <c r="E119" s="2384" t="s">
        <v>3819</v>
      </c>
      <c r="F119" s="2385"/>
      <c r="G119" s="2385"/>
      <c r="H119" s="2385"/>
      <c r="I119" s="2385"/>
      <c r="J119" s="2385"/>
      <c r="K119" s="2385"/>
      <c r="L119" s="2385"/>
      <c r="M119" s="2385"/>
      <c r="N119" s="2385"/>
      <c r="O119" s="2386"/>
      <c r="P119" s="1119"/>
      <c r="Q119" s="1164"/>
    </row>
    <row r="120" spans="1:17" ht="12.75" customHeight="1" x14ac:dyDescent="0.25">
      <c r="A120" s="1262" t="s">
        <v>1288</v>
      </c>
      <c r="B120" s="1102"/>
      <c r="C120" s="1102"/>
      <c r="D120" s="1102"/>
      <c r="E120" s="1102"/>
      <c r="F120" s="1126"/>
      <c r="G120" s="1126"/>
      <c r="H120" s="1102"/>
      <c r="I120" s="2426" t="str">
        <f>CONCATENATE(E10," ",E11)</f>
        <v>01 North Carolina General Assembly</v>
      </c>
      <c r="J120" s="2426"/>
      <c r="K120" s="2426"/>
      <c r="L120" s="2426"/>
      <c r="M120" s="2426"/>
      <c r="N120" s="2426"/>
      <c r="O120" s="2426"/>
    </row>
    <row r="121" spans="1:17" s="1117" customFormat="1" x14ac:dyDescent="0.25">
      <c r="A121" s="2422" t="s">
        <v>4903</v>
      </c>
      <c r="B121" s="2421"/>
      <c r="C121" s="2421"/>
      <c r="D121" s="2421"/>
      <c r="E121" s="2421"/>
      <c r="F121" s="2421"/>
      <c r="G121" s="2421"/>
      <c r="H121" s="2421"/>
      <c r="I121" s="2421"/>
      <c r="J121" s="2421"/>
      <c r="K121" s="2421"/>
      <c r="L121" s="2421"/>
      <c r="M121" s="2421"/>
      <c r="N121" s="2421"/>
      <c r="O121" s="2421"/>
      <c r="P121" s="2421"/>
    </row>
    <row r="122" spans="1:17" x14ac:dyDescent="0.25">
      <c r="A122" s="2420" t="s">
        <v>1290</v>
      </c>
      <c r="B122" s="2421"/>
      <c r="C122" s="2421"/>
      <c r="D122" s="2421"/>
      <c r="E122" s="2421"/>
      <c r="F122" s="2421"/>
      <c r="G122" s="2421"/>
      <c r="H122" s="2421"/>
      <c r="I122" s="2421"/>
      <c r="J122" s="2421"/>
      <c r="K122" s="2421"/>
      <c r="L122" s="2421"/>
      <c r="M122" s="2421"/>
      <c r="N122" s="2421"/>
      <c r="O122" s="2421"/>
      <c r="P122" s="2421"/>
    </row>
    <row r="126" spans="1:17" x14ac:dyDescent="0.25">
      <c r="F126" s="1102"/>
      <c r="G126" s="1102"/>
    </row>
    <row r="127" spans="1:17" x14ac:dyDescent="0.25">
      <c r="F127" s="1102"/>
      <c r="G127" s="1102"/>
    </row>
    <row r="128" spans="1:17" x14ac:dyDescent="0.25">
      <c r="F128" s="1102"/>
      <c r="G128" s="1102"/>
    </row>
    <row r="129" spans="6:7" x14ac:dyDescent="0.25">
      <c r="F129" s="1102"/>
      <c r="G129" s="1102"/>
    </row>
    <row r="130" spans="6:7" x14ac:dyDescent="0.25">
      <c r="F130" s="1102"/>
      <c r="G130" s="1102"/>
    </row>
    <row r="131" spans="6:7" x14ac:dyDescent="0.25">
      <c r="F131" s="1102"/>
      <c r="G131" s="1102"/>
    </row>
    <row r="1288" spans="1:4" s="1102" customFormat="1" x14ac:dyDescent="0.25">
      <c r="A1288" s="1127"/>
    </row>
    <row r="1289" spans="1:4" s="1102" customFormat="1" x14ac:dyDescent="0.25">
      <c r="A1289" s="1127"/>
      <c r="B1289" s="1127"/>
      <c r="C1289" s="1127"/>
      <c r="D1289" s="1127"/>
    </row>
    <row r="1290" spans="1:4" s="1102" customFormat="1" x14ac:dyDescent="0.25">
      <c r="A1290" s="1127"/>
      <c r="B1290" s="1127"/>
      <c r="C1290" s="1127"/>
      <c r="D1290" s="1127"/>
    </row>
    <row r="1291" spans="1:4" s="1102" customFormat="1" x14ac:dyDescent="0.25">
      <c r="A1291" s="1127"/>
      <c r="B1291" s="1127"/>
      <c r="C1291" s="1127"/>
      <c r="D1291" s="1127"/>
    </row>
    <row r="1292" spans="1:4" s="1102" customFormat="1" x14ac:dyDescent="0.25">
      <c r="A1292" s="1127"/>
      <c r="B1292" s="1127"/>
      <c r="C1292" s="1127"/>
      <c r="D1292" s="1127"/>
    </row>
    <row r="1293" spans="1:4" s="1102" customFormat="1" x14ac:dyDescent="0.25">
      <c r="A1293" s="1127"/>
      <c r="B1293" s="1127"/>
      <c r="C1293" s="1127"/>
      <c r="D1293" s="1127"/>
    </row>
    <row r="1294" spans="1:4" s="1102" customFormat="1" x14ac:dyDescent="0.25">
      <c r="A1294" s="1127"/>
      <c r="B1294" s="1127"/>
      <c r="C1294" s="1127"/>
      <c r="D1294" s="1127"/>
    </row>
    <row r="1295" spans="1:4" s="1102" customFormat="1" x14ac:dyDescent="0.25">
      <c r="A1295" s="1127"/>
      <c r="B1295" s="1127"/>
      <c r="C1295" s="1127"/>
      <c r="D1295" s="1127"/>
    </row>
    <row r="1296" spans="1:4" s="1102" customFormat="1" x14ac:dyDescent="0.25">
      <c r="A1296" s="1127"/>
      <c r="B1296" s="1127"/>
      <c r="C1296" s="1127"/>
      <c r="D1296" s="1127"/>
    </row>
    <row r="1297" spans="1:4" s="1102" customFormat="1" x14ac:dyDescent="0.25">
      <c r="A1297" s="1127"/>
      <c r="B1297" s="1127"/>
      <c r="C1297" s="1127"/>
      <c r="D1297" s="1127"/>
    </row>
    <row r="1298" spans="1:4" s="1102" customFormat="1" x14ac:dyDescent="0.25">
      <c r="A1298" s="1127"/>
      <c r="B1298" s="1127"/>
      <c r="C1298" s="1127"/>
      <c r="D1298" s="1127"/>
    </row>
    <row r="1299" spans="1:4" s="1102" customFormat="1" x14ac:dyDescent="0.25">
      <c r="A1299" s="1127"/>
      <c r="B1299" s="1127"/>
      <c r="C1299" s="1127"/>
      <c r="D1299" s="1127"/>
    </row>
    <row r="1300" spans="1:4" s="1102" customFormat="1" x14ac:dyDescent="0.25">
      <c r="A1300" s="1127"/>
      <c r="B1300" s="1127"/>
      <c r="C1300" s="1127"/>
      <c r="D1300" s="1127"/>
    </row>
    <row r="1301" spans="1:4" s="1102" customFormat="1" x14ac:dyDescent="0.25">
      <c r="A1301" s="1127"/>
      <c r="B1301" s="1127"/>
      <c r="C1301" s="1127"/>
      <c r="D1301" s="1127"/>
    </row>
    <row r="1302" spans="1:4" s="1102" customFormat="1" x14ac:dyDescent="0.25">
      <c r="A1302" s="1127"/>
      <c r="B1302" s="1127"/>
      <c r="C1302" s="1127"/>
      <c r="D1302" s="1127"/>
    </row>
    <row r="1303" spans="1:4" s="1102" customFormat="1" x14ac:dyDescent="0.25">
      <c r="A1303" s="1127"/>
      <c r="B1303" s="1127"/>
      <c r="C1303" s="1127"/>
      <c r="D1303" s="1127"/>
    </row>
    <row r="1304" spans="1:4" s="1102" customFormat="1" x14ac:dyDescent="0.25">
      <c r="A1304" s="1127"/>
      <c r="B1304" s="1127"/>
      <c r="C1304" s="1127"/>
      <c r="D1304" s="1127"/>
    </row>
    <row r="1305" spans="1:4" s="1102" customFormat="1" x14ac:dyDescent="0.25">
      <c r="A1305" s="1127"/>
      <c r="B1305" s="1127"/>
      <c r="C1305" s="1127"/>
      <c r="D1305" s="1127"/>
    </row>
    <row r="1306" spans="1:4" s="1102" customFormat="1" x14ac:dyDescent="0.25">
      <c r="A1306" s="1127"/>
      <c r="B1306" s="1127"/>
      <c r="C1306" s="1127"/>
      <c r="D1306" s="1127"/>
    </row>
    <row r="1307" spans="1:4" s="1102" customFormat="1" x14ac:dyDescent="0.25">
      <c r="A1307" s="1127"/>
      <c r="B1307" s="1127"/>
      <c r="C1307" s="1127"/>
      <c r="D1307" s="1127"/>
    </row>
    <row r="1308" spans="1:4" s="1102" customFormat="1" x14ac:dyDescent="0.25">
      <c r="A1308" s="1127"/>
      <c r="B1308" s="1127"/>
      <c r="C1308" s="1127"/>
      <c r="D1308" s="1127"/>
    </row>
    <row r="1309" spans="1:4" s="1102" customFormat="1" x14ac:dyDescent="0.25">
      <c r="A1309" s="1127"/>
      <c r="B1309" s="1127"/>
      <c r="C1309" s="1127"/>
      <c r="D1309" s="1127"/>
    </row>
    <row r="1310" spans="1:4" s="1102" customFormat="1" x14ac:dyDescent="0.25">
      <c r="A1310" s="1127"/>
      <c r="B1310" s="1127"/>
      <c r="C1310" s="1127"/>
      <c r="D1310" s="1127"/>
    </row>
    <row r="1311" spans="1:4" s="1102" customFormat="1" x14ac:dyDescent="0.25">
      <c r="A1311" s="1127"/>
      <c r="B1311" s="1127"/>
      <c r="C1311" s="1127"/>
      <c r="D1311" s="1127"/>
    </row>
    <row r="1312" spans="1:4" s="1102" customFormat="1" x14ac:dyDescent="0.25">
      <c r="A1312" s="1127"/>
      <c r="B1312" s="1127"/>
      <c r="C1312" s="1127"/>
      <c r="D1312" s="1127"/>
    </row>
    <row r="1313" spans="1:4" s="1102" customFormat="1" x14ac:dyDescent="0.25">
      <c r="A1313" s="1127"/>
      <c r="B1313" s="1127"/>
      <c r="C1313" s="1127"/>
      <c r="D1313" s="1127"/>
    </row>
    <row r="1314" spans="1:4" s="1102" customFormat="1" x14ac:dyDescent="0.25">
      <c r="A1314" s="1127"/>
      <c r="B1314" s="1127"/>
      <c r="C1314" s="1127"/>
      <c r="D1314" s="1127"/>
    </row>
    <row r="1315" spans="1:4" s="1102" customFormat="1" x14ac:dyDescent="0.25">
      <c r="A1315" s="1127"/>
      <c r="B1315" s="1127"/>
      <c r="C1315" s="1127"/>
      <c r="D1315" s="1127"/>
    </row>
    <row r="1316" spans="1:4" s="1102" customFormat="1" x14ac:dyDescent="0.25">
      <c r="A1316" s="1127"/>
      <c r="B1316" s="1127"/>
      <c r="C1316" s="1127"/>
      <c r="D1316" s="1127"/>
    </row>
    <row r="1317" spans="1:4" s="1102" customFormat="1" x14ac:dyDescent="0.25">
      <c r="A1317" s="1127"/>
      <c r="B1317" s="1127"/>
      <c r="C1317" s="1127"/>
      <c r="D1317" s="1127"/>
    </row>
    <row r="1318" spans="1:4" s="1102" customFormat="1" x14ac:dyDescent="0.25">
      <c r="A1318" s="1127"/>
      <c r="B1318" s="1127"/>
      <c r="C1318" s="1127"/>
      <c r="D1318" s="1127"/>
    </row>
    <row r="1319" spans="1:4" s="1102" customFormat="1" x14ac:dyDescent="0.25">
      <c r="A1319" s="1127"/>
      <c r="B1319" s="1127"/>
      <c r="C1319" s="1127"/>
      <c r="D1319" s="1127"/>
    </row>
    <row r="1320" spans="1:4" s="1102" customFormat="1" x14ac:dyDescent="0.25">
      <c r="A1320" s="1127"/>
      <c r="B1320" s="1127"/>
      <c r="C1320" s="1127"/>
      <c r="D1320" s="1127"/>
    </row>
    <row r="1321" spans="1:4" s="1102" customFormat="1" x14ac:dyDescent="0.25">
      <c r="A1321" s="1127"/>
      <c r="B1321" s="1127"/>
      <c r="C1321" s="1127"/>
      <c r="D1321" s="1127"/>
    </row>
    <row r="1322" spans="1:4" s="1102" customFormat="1" x14ac:dyDescent="0.25">
      <c r="A1322" s="1127"/>
      <c r="B1322" s="1127"/>
      <c r="C1322" s="1127"/>
      <c r="D1322" s="1127"/>
    </row>
    <row r="1323" spans="1:4" s="1102" customFormat="1" x14ac:dyDescent="0.25">
      <c r="A1323" s="1127"/>
      <c r="B1323" s="1127"/>
      <c r="C1323" s="1127"/>
      <c r="D1323" s="1127"/>
    </row>
    <row r="1324" spans="1:4" s="1102" customFormat="1" x14ac:dyDescent="0.25">
      <c r="A1324" s="1127"/>
      <c r="B1324" s="1127"/>
      <c r="C1324" s="1127"/>
      <c r="D1324" s="1127"/>
    </row>
    <row r="1325" spans="1:4" s="1102" customFormat="1" x14ac:dyDescent="0.25">
      <c r="A1325" s="1127"/>
      <c r="B1325" s="1127"/>
      <c r="C1325" s="1127"/>
      <c r="D1325" s="1127"/>
    </row>
    <row r="1326" spans="1:4" s="1102" customFormat="1" x14ac:dyDescent="0.25">
      <c r="A1326" s="1127"/>
      <c r="B1326" s="1127"/>
      <c r="C1326" s="1127"/>
      <c r="D1326" s="1127"/>
    </row>
    <row r="1327" spans="1:4" s="1102" customFormat="1" x14ac:dyDescent="0.25">
      <c r="A1327" s="1127"/>
      <c r="B1327" s="1127"/>
      <c r="C1327" s="1127"/>
      <c r="D1327" s="1127"/>
    </row>
    <row r="1328" spans="1:4" s="1102" customFormat="1" x14ac:dyDescent="0.25">
      <c r="A1328" s="1127"/>
      <c r="B1328" s="1127"/>
      <c r="C1328" s="1127"/>
      <c r="D1328" s="1127"/>
    </row>
    <row r="1329" spans="1:4" s="1102" customFormat="1" x14ac:dyDescent="0.25">
      <c r="A1329" s="1127"/>
      <c r="B1329" s="1127"/>
      <c r="C1329" s="1127"/>
      <c r="D1329" s="1127"/>
    </row>
    <row r="1330" spans="1:4" s="1102" customFormat="1" x14ac:dyDescent="0.25">
      <c r="A1330" s="1127"/>
      <c r="B1330" s="1127"/>
      <c r="C1330" s="1127"/>
      <c r="D1330" s="1127"/>
    </row>
    <row r="1331" spans="1:4" s="1102" customFormat="1" x14ac:dyDescent="0.25">
      <c r="A1331" s="1127"/>
      <c r="B1331" s="1127"/>
      <c r="C1331" s="1127"/>
      <c r="D1331" s="1127"/>
    </row>
    <row r="1332" spans="1:4" s="1102" customFormat="1" x14ac:dyDescent="0.25">
      <c r="A1332" s="1127"/>
      <c r="B1332" s="1127"/>
      <c r="C1332" s="1127"/>
      <c r="D1332" s="1127"/>
    </row>
    <row r="1333" spans="1:4" s="1102" customFormat="1" x14ac:dyDescent="0.25">
      <c r="A1333" s="1127"/>
      <c r="B1333" s="1127"/>
      <c r="C1333" s="1127"/>
      <c r="D1333" s="1127"/>
    </row>
    <row r="1334" spans="1:4" s="1102" customFormat="1" x14ac:dyDescent="0.25">
      <c r="A1334" s="1127"/>
      <c r="B1334" s="1127"/>
      <c r="C1334" s="1127"/>
      <c r="D1334" s="1127"/>
    </row>
    <row r="1335" spans="1:4" s="1102" customFormat="1" x14ac:dyDescent="0.25">
      <c r="A1335" s="1127"/>
      <c r="B1335" s="1127"/>
      <c r="C1335" s="1127"/>
      <c r="D1335" s="1127"/>
    </row>
    <row r="1336" spans="1:4" s="1102" customFormat="1" x14ac:dyDescent="0.25">
      <c r="A1336" s="1127"/>
      <c r="B1336" s="1127"/>
      <c r="C1336" s="1127"/>
      <c r="D1336" s="1127"/>
    </row>
    <row r="1337" spans="1:4" s="1102" customFormat="1" x14ac:dyDescent="0.25">
      <c r="A1337" s="1127"/>
      <c r="B1337" s="1127"/>
      <c r="C1337" s="1127"/>
      <c r="D1337" s="1127"/>
    </row>
    <row r="1338" spans="1:4" s="1102" customFormat="1" x14ac:dyDescent="0.25">
      <c r="A1338" s="1127"/>
      <c r="B1338" s="1127"/>
      <c r="C1338" s="1127"/>
      <c r="D1338" s="1127"/>
    </row>
    <row r="1339" spans="1:4" s="1102" customFormat="1" x14ac:dyDescent="0.25">
      <c r="A1339" s="1127"/>
      <c r="B1339" s="1127"/>
      <c r="C1339" s="1127"/>
      <c r="D1339" s="1127"/>
    </row>
    <row r="1340" spans="1:4" s="1102" customFormat="1" x14ac:dyDescent="0.25">
      <c r="A1340" s="1127"/>
      <c r="B1340" s="1127"/>
      <c r="C1340" s="1127"/>
      <c r="D1340" s="1127"/>
    </row>
    <row r="1341" spans="1:4" s="1102" customFormat="1" x14ac:dyDescent="0.25">
      <c r="A1341" s="1127"/>
      <c r="B1341" s="1127"/>
      <c r="C1341" s="1127"/>
      <c r="D1341" s="1127"/>
    </row>
    <row r="1342" spans="1:4" s="1102" customFormat="1" x14ac:dyDescent="0.25">
      <c r="A1342" s="1127"/>
      <c r="B1342" s="1127"/>
      <c r="C1342" s="1127"/>
      <c r="D1342" s="1127"/>
    </row>
    <row r="1343" spans="1:4" s="1102" customFormat="1" x14ac:dyDescent="0.25">
      <c r="A1343" s="1127"/>
      <c r="B1343" s="1127"/>
      <c r="C1343" s="1127"/>
      <c r="D1343" s="1127"/>
    </row>
    <row r="1344" spans="1:4" s="1102" customFormat="1" x14ac:dyDescent="0.25">
      <c r="A1344" s="1127"/>
      <c r="B1344" s="1127"/>
      <c r="C1344" s="1127"/>
      <c r="D1344" s="1127"/>
    </row>
    <row r="1345" spans="1:4" s="1102" customFormat="1" x14ac:dyDescent="0.25">
      <c r="A1345" s="1127"/>
      <c r="B1345" s="1127"/>
      <c r="C1345" s="1127"/>
      <c r="D1345" s="1127"/>
    </row>
    <row r="1346" spans="1:4" s="1102" customFormat="1" x14ac:dyDescent="0.25">
      <c r="A1346" s="1127"/>
      <c r="B1346" s="1127"/>
      <c r="C1346" s="1127"/>
      <c r="D1346" s="1127"/>
    </row>
    <row r="1347" spans="1:4" s="1102" customFormat="1" x14ac:dyDescent="0.25">
      <c r="A1347" s="1127"/>
      <c r="B1347" s="1127"/>
      <c r="C1347" s="1127"/>
      <c r="D1347" s="1127"/>
    </row>
    <row r="1348" spans="1:4" s="1102" customFormat="1" x14ac:dyDescent="0.25">
      <c r="A1348" s="1127"/>
      <c r="B1348" s="1127"/>
      <c r="C1348" s="1127"/>
      <c r="D1348" s="1127"/>
    </row>
    <row r="1349" spans="1:4" s="1102" customFormat="1" x14ac:dyDescent="0.25">
      <c r="A1349" s="1127"/>
      <c r="B1349" s="1127"/>
      <c r="C1349" s="1127"/>
      <c r="D1349" s="1127"/>
    </row>
    <row r="1350" spans="1:4" s="1102" customFormat="1" x14ac:dyDescent="0.25">
      <c r="A1350" s="1127"/>
      <c r="B1350" s="1127"/>
      <c r="C1350" s="1127"/>
      <c r="D1350" s="1127"/>
    </row>
    <row r="1351" spans="1:4" s="1102" customFormat="1" x14ac:dyDescent="0.25">
      <c r="A1351" s="1127"/>
      <c r="B1351" s="1127"/>
      <c r="C1351" s="1127"/>
      <c r="D1351" s="1127"/>
    </row>
    <row r="1352" spans="1:4" s="1102" customFormat="1" x14ac:dyDescent="0.25">
      <c r="A1352" s="1127"/>
      <c r="B1352" s="1127"/>
      <c r="C1352" s="1127"/>
      <c r="D1352" s="1127"/>
    </row>
    <row r="1353" spans="1:4" s="1102" customFormat="1" x14ac:dyDescent="0.25">
      <c r="A1353" s="1127"/>
      <c r="B1353" s="1127"/>
      <c r="C1353" s="1127"/>
      <c r="D1353" s="1127"/>
    </row>
    <row r="1354" spans="1:4" s="1102" customFormat="1" x14ac:dyDescent="0.25">
      <c r="A1354" s="1127"/>
      <c r="B1354" s="1127"/>
      <c r="C1354" s="1127"/>
      <c r="D1354" s="1127"/>
    </row>
    <row r="1355" spans="1:4" x14ac:dyDescent="0.25">
      <c r="B1355" s="1128"/>
      <c r="C1355" s="1128"/>
      <c r="D1355" s="1128"/>
    </row>
    <row r="1356" spans="1:4" x14ac:dyDescent="0.25">
      <c r="B1356" s="1128"/>
      <c r="C1356" s="1128"/>
      <c r="D1356" s="1128"/>
    </row>
    <row r="1357" spans="1:4" x14ac:dyDescent="0.25">
      <c r="B1357" s="1128"/>
      <c r="C1357" s="1128"/>
      <c r="D1357" s="1128"/>
    </row>
    <row r="1358" spans="1:4" x14ac:dyDescent="0.25">
      <c r="B1358" s="1128"/>
      <c r="C1358" s="1128"/>
      <c r="D1358" s="1128"/>
    </row>
    <row r="1359" spans="1:4" x14ac:dyDescent="0.25">
      <c r="B1359" s="1128"/>
      <c r="C1359" s="1128"/>
      <c r="D1359" s="1128"/>
    </row>
    <row r="1360" spans="1:4" x14ac:dyDescent="0.25">
      <c r="B1360" s="1128"/>
      <c r="C1360" s="1128"/>
      <c r="D1360" s="1128"/>
    </row>
    <row r="1361" spans="2:4" x14ac:dyDescent="0.25">
      <c r="B1361" s="1128"/>
      <c r="C1361" s="1128"/>
      <c r="D1361" s="1128"/>
    </row>
    <row r="1362" spans="2:4" x14ac:dyDescent="0.25">
      <c r="B1362" s="1128"/>
      <c r="C1362" s="1128"/>
      <c r="D1362" s="1128"/>
    </row>
    <row r="1363" spans="2:4" x14ac:dyDescent="0.25">
      <c r="B1363" s="1128"/>
      <c r="C1363" s="1128"/>
      <c r="D1363" s="1128"/>
    </row>
    <row r="1364" spans="2:4" x14ac:dyDescent="0.25">
      <c r="B1364" s="1128"/>
      <c r="C1364" s="1128"/>
      <c r="D1364" s="1128"/>
    </row>
    <row r="1365" spans="2:4" x14ac:dyDescent="0.25">
      <c r="B1365" s="1128"/>
      <c r="C1365" s="1128"/>
      <c r="D1365" s="1128"/>
    </row>
    <row r="1366" spans="2:4" x14ac:dyDescent="0.25">
      <c r="B1366" s="1128"/>
      <c r="C1366" s="1128"/>
      <c r="D1366" s="1128"/>
    </row>
    <row r="1367" spans="2:4" x14ac:dyDescent="0.25">
      <c r="B1367" s="1128"/>
      <c r="C1367" s="1128"/>
      <c r="D1367" s="1128"/>
    </row>
    <row r="1368" spans="2:4" x14ac:dyDescent="0.25">
      <c r="B1368" s="1128"/>
      <c r="C1368" s="1128"/>
      <c r="D1368" s="1128"/>
    </row>
    <row r="1369" spans="2:4" x14ac:dyDescent="0.25">
      <c r="B1369" s="1128"/>
      <c r="C1369" s="1128"/>
      <c r="D1369" s="1128"/>
    </row>
    <row r="1370" spans="2:4" x14ac:dyDescent="0.25">
      <c r="B1370" s="1128"/>
      <c r="C1370" s="1128"/>
      <c r="D1370" s="1128"/>
    </row>
    <row r="1371" spans="2:4" x14ac:dyDescent="0.25">
      <c r="B1371" s="1128"/>
      <c r="C1371" s="1128"/>
      <c r="D1371" s="1128"/>
    </row>
    <row r="1372" spans="2:4" x14ac:dyDescent="0.25">
      <c r="B1372" s="1128"/>
      <c r="C1372" s="1128"/>
      <c r="D1372" s="1128"/>
    </row>
    <row r="1373" spans="2:4" x14ac:dyDescent="0.25">
      <c r="B1373" s="1128"/>
      <c r="C1373" s="1128"/>
      <c r="D1373" s="1128"/>
    </row>
    <row r="1374" spans="2:4" x14ac:dyDescent="0.25">
      <c r="B1374" s="1128"/>
      <c r="C1374" s="1128"/>
      <c r="D1374" s="1128"/>
    </row>
    <row r="1375" spans="2:4" x14ac:dyDescent="0.25">
      <c r="B1375" s="1128"/>
      <c r="C1375" s="1128"/>
      <c r="D1375" s="1128"/>
    </row>
    <row r="1376" spans="2:4" x14ac:dyDescent="0.25">
      <c r="B1376" s="1128"/>
      <c r="C1376" s="1128"/>
      <c r="D1376" s="1128"/>
    </row>
    <row r="1377" spans="2:4" x14ac:dyDescent="0.25">
      <c r="B1377" s="1128"/>
      <c r="C1377" s="1128"/>
      <c r="D1377" s="1128"/>
    </row>
    <row r="1378" spans="2:4" x14ac:dyDescent="0.25">
      <c r="B1378" s="1128"/>
      <c r="C1378" s="1128"/>
      <c r="D1378" s="1128"/>
    </row>
    <row r="1379" spans="2:4" x14ac:dyDescent="0.25">
      <c r="B1379" s="1128"/>
      <c r="C1379" s="1128"/>
      <c r="D1379" s="1128"/>
    </row>
    <row r="1380" spans="2:4" x14ac:dyDescent="0.25">
      <c r="B1380" s="1128"/>
      <c r="C1380" s="1128"/>
      <c r="D1380" s="1128"/>
    </row>
    <row r="1381" spans="2:4" x14ac:dyDescent="0.25">
      <c r="B1381" s="1128"/>
      <c r="C1381" s="1128"/>
      <c r="D1381" s="1128"/>
    </row>
    <row r="1382" spans="2:4" x14ac:dyDescent="0.25">
      <c r="B1382" s="1128"/>
      <c r="C1382" s="1128"/>
      <c r="D1382" s="1128"/>
    </row>
    <row r="1383" spans="2:4" x14ac:dyDescent="0.25">
      <c r="B1383" s="1128"/>
      <c r="C1383" s="1128"/>
      <c r="D1383" s="1128"/>
    </row>
    <row r="1384" spans="2:4" x14ac:dyDescent="0.25">
      <c r="B1384" s="1128"/>
      <c r="C1384" s="1128"/>
      <c r="D1384" s="1128"/>
    </row>
    <row r="1385" spans="2:4" x14ac:dyDescent="0.25">
      <c r="B1385" s="1128"/>
      <c r="C1385" s="1128"/>
      <c r="D1385" s="1128"/>
    </row>
    <row r="1386" spans="2:4" x14ac:dyDescent="0.25">
      <c r="B1386" s="1128"/>
      <c r="C1386" s="1128"/>
      <c r="D1386" s="1128"/>
    </row>
    <row r="1387" spans="2:4" x14ac:dyDescent="0.25">
      <c r="B1387" s="1128"/>
      <c r="C1387" s="1128"/>
      <c r="D1387" s="1128"/>
    </row>
    <row r="1388" spans="2:4" x14ac:dyDescent="0.25">
      <c r="B1388" s="1128"/>
      <c r="C1388" s="1128"/>
      <c r="D1388" s="1128"/>
    </row>
    <row r="1389" spans="2:4" x14ac:dyDescent="0.25">
      <c r="B1389" s="1128"/>
      <c r="C1389" s="1128"/>
      <c r="D1389" s="1128"/>
    </row>
    <row r="1390" spans="2:4" x14ac:dyDescent="0.25">
      <c r="B1390" s="1128"/>
      <c r="C1390" s="1128"/>
      <c r="D1390" s="1128"/>
    </row>
    <row r="1391" spans="2:4" x14ac:dyDescent="0.25">
      <c r="B1391" s="1128"/>
      <c r="C1391" s="1128"/>
      <c r="D1391" s="1128"/>
    </row>
    <row r="1392" spans="2:4" x14ac:dyDescent="0.25">
      <c r="B1392" s="1128"/>
      <c r="C1392" s="1128"/>
      <c r="D1392" s="1128"/>
    </row>
    <row r="1393" spans="2:4" x14ac:dyDescent="0.25">
      <c r="B1393" s="1128"/>
      <c r="C1393" s="1128"/>
      <c r="D1393" s="1128"/>
    </row>
    <row r="1394" spans="2:4" x14ac:dyDescent="0.25">
      <c r="B1394" s="1128"/>
      <c r="C1394" s="1128"/>
      <c r="D1394" s="1128"/>
    </row>
    <row r="1395" spans="2:4" x14ac:dyDescent="0.25">
      <c r="B1395" s="1128"/>
      <c r="C1395" s="1128"/>
      <c r="D1395" s="1128"/>
    </row>
    <row r="1396" spans="2:4" x14ac:dyDescent="0.25">
      <c r="B1396" s="1128"/>
      <c r="C1396" s="1128"/>
      <c r="D1396" s="1128"/>
    </row>
    <row r="1397" spans="2:4" x14ac:dyDescent="0.25">
      <c r="B1397" s="1128"/>
      <c r="C1397" s="1128"/>
      <c r="D1397" s="1128"/>
    </row>
    <row r="1398" spans="2:4" x14ac:dyDescent="0.25">
      <c r="B1398" s="1128"/>
      <c r="C1398" s="1128"/>
      <c r="D1398" s="1128"/>
    </row>
    <row r="1399" spans="2:4" x14ac:dyDescent="0.25">
      <c r="B1399" s="1128"/>
      <c r="C1399" s="1128"/>
      <c r="D1399" s="1128"/>
    </row>
    <row r="1400" spans="2:4" x14ac:dyDescent="0.25">
      <c r="B1400" s="1128"/>
      <c r="C1400" s="1128"/>
      <c r="D1400" s="1128"/>
    </row>
    <row r="1401" spans="2:4" x14ac:dyDescent="0.25">
      <c r="B1401" s="1128"/>
      <c r="C1401" s="1128"/>
      <c r="D1401" s="1128"/>
    </row>
    <row r="1402" spans="2:4" x14ac:dyDescent="0.25">
      <c r="B1402" s="1128"/>
      <c r="C1402" s="1128"/>
      <c r="D1402" s="1128"/>
    </row>
    <row r="1403" spans="2:4" x14ac:dyDescent="0.25">
      <c r="B1403" s="1128"/>
      <c r="C1403" s="1128"/>
      <c r="D1403" s="1128"/>
    </row>
    <row r="1404" spans="2:4" x14ac:dyDescent="0.25">
      <c r="B1404" s="1128"/>
      <c r="C1404" s="1128"/>
      <c r="D1404" s="1128"/>
    </row>
    <row r="1405" spans="2:4" x14ac:dyDescent="0.25">
      <c r="B1405" s="1128"/>
      <c r="C1405" s="1128"/>
      <c r="D1405" s="1128"/>
    </row>
    <row r="1406" spans="2:4" x14ac:dyDescent="0.25">
      <c r="B1406" s="1128"/>
      <c r="C1406" s="1128"/>
      <c r="D1406" s="1128"/>
    </row>
    <row r="1407" spans="2:4" x14ac:dyDescent="0.25">
      <c r="B1407" s="1128"/>
      <c r="C1407" s="1128"/>
      <c r="D1407" s="1128"/>
    </row>
    <row r="1408" spans="2:4" x14ac:dyDescent="0.25">
      <c r="B1408" s="1128"/>
      <c r="C1408" s="1128"/>
      <c r="D1408" s="1128"/>
    </row>
    <row r="1409" spans="2:4" x14ac:dyDescent="0.25">
      <c r="B1409" s="1128"/>
      <c r="C1409" s="1128"/>
      <c r="D1409" s="1128"/>
    </row>
    <row r="1410" spans="2:4" x14ac:dyDescent="0.25">
      <c r="B1410" s="1128"/>
      <c r="C1410" s="1128"/>
      <c r="D1410" s="1128"/>
    </row>
    <row r="1411" spans="2:4" x14ac:dyDescent="0.25">
      <c r="B1411" s="1128"/>
      <c r="C1411" s="1128"/>
      <c r="D1411" s="1128"/>
    </row>
    <row r="1412" spans="2:4" x14ac:dyDescent="0.25">
      <c r="B1412" s="1128"/>
      <c r="C1412" s="1128"/>
      <c r="D1412" s="1128"/>
    </row>
    <row r="1413" spans="2:4" x14ac:dyDescent="0.25">
      <c r="B1413" s="1128"/>
      <c r="C1413" s="1128"/>
      <c r="D1413" s="1128"/>
    </row>
    <row r="1414" spans="2:4" x14ac:dyDescent="0.25">
      <c r="B1414" s="1128"/>
      <c r="C1414" s="1128"/>
      <c r="D1414" s="1128"/>
    </row>
    <row r="1415" spans="2:4" x14ac:dyDescent="0.25">
      <c r="B1415" s="1128"/>
      <c r="C1415" s="1128"/>
      <c r="D1415" s="1128"/>
    </row>
    <row r="1416" spans="2:4" x14ac:dyDescent="0.25">
      <c r="B1416" s="1128"/>
      <c r="C1416" s="1128"/>
      <c r="D1416" s="1128"/>
    </row>
    <row r="1417" spans="2:4" x14ac:dyDescent="0.25">
      <c r="B1417" s="1128"/>
      <c r="C1417" s="1128"/>
      <c r="D1417" s="1128"/>
    </row>
    <row r="1418" spans="2:4" x14ac:dyDescent="0.25">
      <c r="B1418" s="1128"/>
      <c r="C1418" s="1128"/>
      <c r="D1418" s="1128"/>
    </row>
    <row r="1419" spans="2:4" x14ac:dyDescent="0.25">
      <c r="B1419" s="1128"/>
      <c r="C1419" s="1128"/>
      <c r="D1419" s="1128"/>
    </row>
    <row r="1420" spans="2:4" x14ac:dyDescent="0.25">
      <c r="B1420" s="1128"/>
      <c r="C1420" s="1128"/>
      <c r="D1420" s="1128"/>
    </row>
    <row r="1421" spans="2:4" x14ac:dyDescent="0.25">
      <c r="B1421" s="1128"/>
      <c r="C1421" s="1128"/>
      <c r="D1421" s="1128"/>
    </row>
    <row r="1422" spans="2:4" x14ac:dyDescent="0.25">
      <c r="B1422" s="1128"/>
      <c r="C1422" s="1128"/>
      <c r="D1422" s="1128"/>
    </row>
    <row r="1423" spans="2:4" x14ac:dyDescent="0.25">
      <c r="B1423" s="1128"/>
      <c r="C1423" s="1128"/>
      <c r="D1423" s="1128"/>
    </row>
    <row r="1424" spans="2:4" x14ac:dyDescent="0.25">
      <c r="B1424" s="1128"/>
      <c r="C1424" s="1128"/>
      <c r="D1424" s="1128"/>
    </row>
    <row r="1425" spans="2:4" x14ac:dyDescent="0.25">
      <c r="B1425" s="1128"/>
      <c r="C1425" s="1128"/>
      <c r="D1425" s="1128"/>
    </row>
    <row r="1426" spans="2:4" x14ac:dyDescent="0.25">
      <c r="B1426" s="1128"/>
      <c r="C1426" s="1128"/>
      <c r="D1426" s="1128"/>
    </row>
    <row r="1427" spans="2:4" x14ac:dyDescent="0.25">
      <c r="B1427" s="1128"/>
      <c r="C1427" s="1128"/>
      <c r="D1427" s="1128"/>
    </row>
    <row r="1428" spans="2:4" x14ac:dyDescent="0.25">
      <c r="B1428" s="1128"/>
      <c r="C1428" s="1128"/>
      <c r="D1428" s="1128"/>
    </row>
    <row r="1429" spans="2:4" x14ac:dyDescent="0.25">
      <c r="B1429" s="1128"/>
      <c r="C1429" s="1128"/>
      <c r="D1429" s="1128"/>
    </row>
    <row r="1430" spans="2:4" x14ac:dyDescent="0.25">
      <c r="B1430" s="1128"/>
      <c r="C1430" s="1128"/>
      <c r="D1430" s="1128"/>
    </row>
    <row r="1431" spans="2:4" x14ac:dyDescent="0.25">
      <c r="B1431" s="1128"/>
      <c r="C1431" s="1128"/>
      <c r="D1431" s="1128"/>
    </row>
    <row r="1432" spans="2:4" x14ac:dyDescent="0.25">
      <c r="B1432" s="1128"/>
      <c r="C1432" s="1128"/>
      <c r="D1432" s="1128"/>
    </row>
    <row r="1433" spans="2:4" x14ac:dyDescent="0.25">
      <c r="B1433" s="1128"/>
      <c r="C1433" s="1128"/>
      <c r="D1433" s="1128"/>
    </row>
    <row r="1434" spans="2:4" x14ac:dyDescent="0.25">
      <c r="B1434" s="1128"/>
      <c r="C1434" s="1128"/>
      <c r="D1434" s="1128"/>
    </row>
    <row r="1435" spans="2:4" x14ac:dyDescent="0.25">
      <c r="B1435" s="1128"/>
      <c r="C1435" s="1128"/>
      <c r="D1435" s="1128"/>
    </row>
    <row r="1436" spans="2:4" x14ac:dyDescent="0.25">
      <c r="B1436" s="1128"/>
      <c r="C1436" s="1128"/>
      <c r="D1436" s="1128"/>
    </row>
    <row r="1437" spans="2:4" x14ac:dyDescent="0.25">
      <c r="B1437" s="1128"/>
      <c r="C1437" s="1128"/>
      <c r="D1437" s="1128"/>
    </row>
    <row r="1438" spans="2:4" x14ac:dyDescent="0.25">
      <c r="B1438" s="1128"/>
      <c r="C1438" s="1128"/>
      <c r="D1438" s="1128"/>
    </row>
    <row r="1439" spans="2:4" x14ac:dyDescent="0.25">
      <c r="B1439" s="1128"/>
      <c r="C1439" s="1128"/>
      <c r="D1439" s="1128"/>
    </row>
    <row r="1440" spans="2:4" x14ac:dyDescent="0.25">
      <c r="B1440" s="1128"/>
      <c r="C1440" s="1128"/>
      <c r="D1440" s="1128"/>
    </row>
    <row r="1441" spans="2:4" x14ac:dyDescent="0.25">
      <c r="B1441" s="1128"/>
      <c r="C1441" s="1128"/>
      <c r="D1441" s="1128"/>
    </row>
    <row r="1442" spans="2:4" x14ac:dyDescent="0.25">
      <c r="B1442" s="1128"/>
      <c r="C1442" s="1128"/>
      <c r="D1442" s="1128"/>
    </row>
    <row r="1443" spans="2:4" x14ac:dyDescent="0.25">
      <c r="B1443" s="1128"/>
      <c r="C1443" s="1128"/>
      <c r="D1443" s="1128"/>
    </row>
    <row r="1444" spans="2:4" x14ac:dyDescent="0.25">
      <c r="B1444" s="1128"/>
      <c r="C1444" s="1128"/>
      <c r="D1444" s="1128"/>
    </row>
  </sheetData>
  <sheetProtection algorithmName="SHA-512" hashValue="XJz+VBzg42IkNkAorzRrtGGtMtM65/SD0LBd4Dvvuj9SoGzlyQ+M6CXWvG1hcVmuRlfB8+5UZvWMiV3qsVxCJQ==" saltValue="p/PLrq2Wc2rXZVmeQCnguw==" spinCount="100000" sheet="1" autoFilter="0"/>
  <customSheetViews>
    <customSheetView guid="{B08879A4-635B-4C39-9937-AC7883D562FC}" showPageBreaks="1" showGridLines="0" fitToPage="1" printArea="1" hiddenColumns="1">
      <pane ySplit="4" topLeftCell="A5" activePane="bottomLeft" state="frozen"/>
      <selection pane="bottomLeft" sqref="A1:O1"/>
      <pageMargins left="0.6" right="0.6" top="0.5" bottom="0.5" header="0.3" footer="0.3"/>
      <pageSetup scale="68" fitToHeight="2" orientation="portrait" r:id="rId1"/>
    </customSheetView>
    <customSheetView guid="{1250FD07-FF56-4A9D-AF9E-C27124A7EBE9}" showGridLines="0" fitToPage="1" hiddenRows="1" showRuler="0">
      <selection sqref="A1:J1"/>
      <pageMargins left="0.75" right="0.5" top="0.5" bottom="0.5" header="0.5" footer="0.5"/>
      <pageSetup scale="80" fitToHeight="2" orientation="portrait" r:id="rId2"/>
      <headerFooter alignWithMargins="0"/>
    </customSheetView>
    <customSheetView guid="{BEA4BE86-04D1-4C96-9358-7A260B9D2B2D}" showGridLines="0" fitToPage="1" hiddenRows="1" showRuler="0">
      <selection sqref="A1:J1"/>
      <pageMargins left="0.75" right="0.5" top="0.5" bottom="0.5" header="0.5" footer="0.5"/>
      <pageSetup scale="80" fitToHeight="2" orientation="portrait" r:id="rId3"/>
      <headerFooter alignWithMargins="0"/>
    </customSheetView>
    <customSheetView guid="{9FCFC836-1CA5-48BF-958D-24D2EA94B219}" showGridLines="0" fitToPage="1" hiddenColumns="1">
      <pane ySplit="4" topLeftCell="A5" activePane="bottomLeft" state="frozen"/>
      <selection pane="bottomLeft" sqref="A1:O1"/>
      <pageMargins left="0.6" right="0.6" top="0.5" bottom="0.5" header="0.3" footer="0.3"/>
      <pageSetup scale="69" fitToHeight="2" orientation="portrait" r:id="rId4"/>
    </customSheetView>
  </customSheetViews>
  <mergeCells count="120">
    <mergeCell ref="E111:O111"/>
    <mergeCell ref="E113:O113"/>
    <mergeCell ref="E107:O107"/>
    <mergeCell ref="E104:O104"/>
    <mergeCell ref="E20:O20"/>
    <mergeCell ref="E44:O44"/>
    <mergeCell ref="E42:O42"/>
    <mergeCell ref="E33:O33"/>
    <mergeCell ref="E41:O41"/>
    <mergeCell ref="E32:O32"/>
    <mergeCell ref="E53:O53"/>
    <mergeCell ref="E40:O40"/>
    <mergeCell ref="E43:O43"/>
    <mergeCell ref="E34:O34"/>
    <mergeCell ref="E39:O39"/>
    <mergeCell ref="E88:O88"/>
    <mergeCell ref="E66:O66"/>
    <mergeCell ref="E47:O47"/>
    <mergeCell ref="E37:O37"/>
    <mergeCell ref="E36:O36"/>
    <mergeCell ref="E38:O38"/>
    <mergeCell ref="E84:O84"/>
    <mergeCell ref="E110:O110"/>
    <mergeCell ref="E112:O112"/>
    <mergeCell ref="E67:O67"/>
    <mergeCell ref="E76:O76"/>
    <mergeCell ref="A122:P122"/>
    <mergeCell ref="A121:P121"/>
    <mergeCell ref="E109:O109"/>
    <mergeCell ref="E117:O117"/>
    <mergeCell ref="E116:O116"/>
    <mergeCell ref="E102:O102"/>
    <mergeCell ref="E77:O77"/>
    <mergeCell ref="I120:O120"/>
    <mergeCell ref="E114:O114"/>
    <mergeCell ref="E118:O118"/>
    <mergeCell ref="E119:O119"/>
    <mergeCell ref="E101:O101"/>
    <mergeCell ref="E96:O96"/>
    <mergeCell ref="E83:O83"/>
    <mergeCell ref="E81:O81"/>
    <mergeCell ref="E90:O90"/>
    <mergeCell ref="E85:O85"/>
    <mergeCell ref="E91:O91"/>
    <mergeCell ref="E95:O95"/>
    <mergeCell ref="E79:O79"/>
    <mergeCell ref="E80:O80"/>
    <mergeCell ref="E94:O94"/>
    <mergeCell ref="E57:O57"/>
    <mergeCell ref="E64:O64"/>
    <mergeCell ref="E65:O65"/>
    <mergeCell ref="E61:O61"/>
    <mergeCell ref="E62:O62"/>
    <mergeCell ref="E56:O56"/>
    <mergeCell ref="E54:O54"/>
    <mergeCell ref="E58:O58"/>
    <mergeCell ref="E59:O59"/>
    <mergeCell ref="E63:O63"/>
    <mergeCell ref="K11:N11"/>
    <mergeCell ref="E13:I13"/>
    <mergeCell ref="B12:D12"/>
    <mergeCell ref="E12:I12"/>
    <mergeCell ref="B11:D11"/>
    <mergeCell ref="B14:D14"/>
    <mergeCell ref="E11:I11"/>
    <mergeCell ref="E14:I14"/>
    <mergeCell ref="E55:O55"/>
    <mergeCell ref="E18:O18"/>
    <mergeCell ref="E23:O23"/>
    <mergeCell ref="E22:O22"/>
    <mergeCell ref="E29:O29"/>
    <mergeCell ref="E31:O31"/>
    <mergeCell ref="E35:O35"/>
    <mergeCell ref="E50:O50"/>
    <mergeCell ref="E51:O51"/>
    <mergeCell ref="E108:O108"/>
    <mergeCell ref="E103:O103"/>
    <mergeCell ref="A1:O1"/>
    <mergeCell ref="A2:O2"/>
    <mergeCell ref="A3:O3"/>
    <mergeCell ref="B10:D10"/>
    <mergeCell ref="E6:J6"/>
    <mergeCell ref="E10:I10"/>
    <mergeCell ref="L4:O4"/>
    <mergeCell ref="E45:O45"/>
    <mergeCell ref="E52:O52"/>
    <mergeCell ref="E48:O48"/>
    <mergeCell ref="E46:O46"/>
    <mergeCell ref="E49:O49"/>
    <mergeCell ref="E16:O16"/>
    <mergeCell ref="E21:O21"/>
    <mergeCell ref="E27:O27"/>
    <mergeCell ref="E26:O26"/>
    <mergeCell ref="E24:O24"/>
    <mergeCell ref="E28:O28"/>
    <mergeCell ref="E30:O30"/>
    <mergeCell ref="E19:O19"/>
    <mergeCell ref="E25:O25"/>
    <mergeCell ref="E17:O17"/>
    <mergeCell ref="E106:O106"/>
    <mergeCell ref="E87:O87"/>
    <mergeCell ref="E89:O89"/>
    <mergeCell ref="E69:O69"/>
    <mergeCell ref="E70:O70"/>
    <mergeCell ref="E68:O68"/>
    <mergeCell ref="E100:O100"/>
    <mergeCell ref="E97:O97"/>
    <mergeCell ref="E82:O82"/>
    <mergeCell ref="E71:O71"/>
    <mergeCell ref="E72:O72"/>
    <mergeCell ref="E73:O73"/>
    <mergeCell ref="E74:O74"/>
    <mergeCell ref="E75:O75"/>
    <mergeCell ref="E86:O86"/>
    <mergeCell ref="E98:O98"/>
    <mergeCell ref="E105:O105"/>
    <mergeCell ref="E99:O99"/>
    <mergeCell ref="E93:O93"/>
    <mergeCell ref="E92:O92"/>
    <mergeCell ref="E78:O78"/>
  </mergeCells>
  <phoneticPr fontId="15" type="noConversion"/>
  <conditionalFormatting sqref="E12:E14 F12:I12 F14:I14">
    <cfRule type="expression" dxfId="272" priority="1" stopIfTrue="1">
      <formula>ISBLANK(E12)</formula>
    </cfRule>
  </conditionalFormatting>
  <dataValidations count="5">
    <dataValidation type="textLength" operator="equal" allowBlank="1" showInputMessage="1" showErrorMessage="1" errorTitle="Input Error!" error="Leave blank or enter NA." prompt="Leave blank or enter NA." sqref="B103:B113 C103:C119 B97:B101 B58:B95 B45 C39:C40 C34:C35 C31 C27:C29 C25 C22:C23 C19:C20 B40:B43 B38:C38 B30:C30 C43:C48 B18 B22:B28 B32:B36 B21:C21 C52:C101 B48:B56" xr:uid="{00000000-0002-0000-0200-000000000000}">
      <formula1>2</formula1>
    </dataValidation>
    <dataValidation type="list" allowBlank="1" showInputMessage="1" showErrorMessage="1" sqref="F7:J7 E6:J6" xr:uid="{00000000-0002-0000-0200-000001000000}">
      <formula1>ConcNum</formula1>
    </dataValidation>
    <dataValidation type="textLength" operator="equal" allowBlank="1" showInputMessage="1" showErrorMessage="1" errorTitle="Input Error!" error="Leave blank or enter NA." prompt="Leave blank or enter NA._x000a_" sqref="C41:C42" xr:uid="{FC4B8B0B-5495-4CE5-AE64-968550E81B3C}">
      <formula1>2</formula1>
    </dataValidation>
    <dataValidation type="textLength" operator="equal" allowBlank="1" showInputMessage="1" showErrorMessage="1" errorTitle="Input Error" error="Leave blank or enter NA." prompt="Leave blank or enter NA." sqref="C37" xr:uid="{43CF070E-E170-4313-9461-8F2560C11FEB}">
      <formula1>2</formula1>
    </dataValidation>
    <dataValidation operator="equal" allowBlank="1" showErrorMessage="1" sqref="B96 C49:C51" xr:uid="{86C8FC96-CF18-406A-AC01-5DA3D3D785EF}"/>
  </dataValidations>
  <hyperlinks>
    <hyperlink ref="A24" location="'210'!A1" display="'210'!A1" xr:uid="{00000000-0004-0000-0200-000000000000}"/>
    <hyperlink ref="A17" location="'101'!A1" display="'101'!A1" xr:uid="{00000000-0004-0000-0200-000001000000}"/>
    <hyperlink ref="A28" location="'305'!A1" display="'305'!A1" xr:uid="{00000000-0004-0000-0200-000002000000}"/>
    <hyperlink ref="A56" location="'420'!A1" display="'420'!A1" xr:uid="{00000000-0004-0000-0200-000003000000}"/>
    <hyperlink ref="A88" location="'710'!A1" display="'710'!A1" xr:uid="{00000000-0004-0000-0200-000004000000}"/>
    <hyperlink ref="A89" location="'715'!A1" display="'715'!A1" xr:uid="{00000000-0004-0000-0200-000005000000}"/>
    <hyperlink ref="A90" location="'720'!A1" display="'720'!A1" xr:uid="{00000000-0004-0000-0200-000006000000}"/>
    <hyperlink ref="A41" location="'340'!A1" display="'340'!A1" xr:uid="{00000000-0004-0000-0200-000007000000}"/>
    <hyperlink ref="A57" location="'425'!A1" display="'425'!A1" xr:uid="{00000000-0004-0000-0200-000008000000}"/>
    <hyperlink ref="A44" location="'345'!A1" display="'345'!A1" xr:uid="{00000000-0004-0000-0200-000009000000}"/>
    <hyperlink ref="A45" location="'350'!A1" display="'350'!A1" xr:uid="{00000000-0004-0000-0200-00000A000000}"/>
    <hyperlink ref="A46" location="'355'!A1" display="'355'!A1" xr:uid="{00000000-0004-0000-0200-00000B000000}"/>
    <hyperlink ref="A36" location="'325'!A1" display="'325'!A1" xr:uid="{00000000-0004-0000-0200-00000C000000}"/>
    <hyperlink ref="A38" location="'330'!A1" display="'330'!A1" xr:uid="{00000000-0004-0000-0200-00000D000000}"/>
    <hyperlink ref="A64" location="'505'!A1" display="'505'!A1" xr:uid="{00000000-0004-0000-0200-00000E000000}"/>
    <hyperlink ref="A65" location="'510'!A1" display="'510'!A1" xr:uid="{00000000-0004-0000-0200-00000F000000}"/>
    <hyperlink ref="A66" location="'515'!A1" display="'515'!A1" xr:uid="{00000000-0004-0000-0200-000010000000}"/>
    <hyperlink ref="A67" location="'520'!A1" display="'520'!A1" xr:uid="{00000000-0004-0000-0200-000011000000}"/>
    <hyperlink ref="A68" location="'525'!A1" display="'525'!A1" xr:uid="{00000000-0004-0000-0200-000012000000}"/>
    <hyperlink ref="A69" location="'530'!A1" display="'530'!A1" xr:uid="{00000000-0004-0000-0200-000013000000}"/>
    <hyperlink ref="A84" location="'625'!A1" display="'625'!A1" xr:uid="{00000000-0004-0000-0200-000014000000}"/>
    <hyperlink ref="E17:L17" location="'101'!A1" display="Summary of Significant Accounting Policies" xr:uid="{00000000-0004-0000-0200-000015000000}"/>
    <hyperlink ref="E57:L57" location="'425'!A1" display="Net Assets/Fund Balance Deficit" xr:uid="{00000000-0004-0000-0200-000016000000}"/>
    <hyperlink ref="E21:L21" location="'201'!A1" display="Changes in Capital Assets" xr:uid="{00000000-0004-0000-0200-000017000000}"/>
    <hyperlink ref="E24:L24" location="'210'!A1" display="Accumulated Depreciation" xr:uid="{00000000-0004-0000-0200-000018000000}"/>
    <hyperlink ref="E27:L27" location="'301'!A1" display="Leases - Operating and Capital" xr:uid="{00000000-0004-0000-0200-000019000000}"/>
    <hyperlink ref="E28:L28" location="'305'!A1" display="Changes in Long-Term Liabilities and Short-Term Debt (Governmental)" xr:uid="{00000000-0004-0000-0200-00001A000000}"/>
    <hyperlink ref="A52" location="'401'!A1" display="'401'!A1" xr:uid="{00000000-0004-0000-0200-00001B000000}"/>
    <hyperlink ref="E52:L52" location="'401'!A1" display="General Fund" xr:uid="{00000000-0004-0000-0200-00001C000000}"/>
    <hyperlink ref="A53" location="'405'!A1" display="'405'!A1" xr:uid="{00000000-0004-0000-0200-00001D000000}"/>
    <hyperlink ref="E53:L53" location="'405'!A1" display="Special Revenue Fund" xr:uid="{00000000-0004-0000-0200-00001E000000}"/>
    <hyperlink ref="A54" location="'410'!A1" display="'410'!A1" xr:uid="{00000000-0004-0000-0200-00001F000000}"/>
    <hyperlink ref="E54:L54" location="'410'!A1" display="Capital Projects" xr:uid="{00000000-0004-0000-0200-000020000000}"/>
    <hyperlink ref="A55" location="'415'!A1" display="'415'!A1" xr:uid="{00000000-0004-0000-0200-000021000000}"/>
    <hyperlink ref="E55:L55" location="'415'!A1" display="Permanent Funds" xr:uid="{00000000-0004-0000-0200-000022000000}"/>
    <hyperlink ref="E56:L56" location="'420'!A1" display="Restricted and Unrestricted Net Assets - Business Type Activities" xr:uid="{00000000-0004-0000-0200-000023000000}"/>
    <hyperlink ref="E58:L58" location="'430'!A1" display="Fund Equity Restatement (Part 1 of 2)" xr:uid="{00000000-0004-0000-0200-000024000000}"/>
    <hyperlink ref="E44:L44" location="'345'!A1" display="Contingencies" xr:uid="{00000000-0004-0000-0200-000025000000}"/>
    <hyperlink ref="E45:L45" location="'350'!A1" display="Construction and Other Significant Commitments" xr:uid="{00000000-0004-0000-0200-000026000000}"/>
    <hyperlink ref="E46:L46" location="'355'!A1" display="Subsequent Events/Other Items" xr:uid="{00000000-0004-0000-0200-000027000000}"/>
    <hyperlink ref="E36:L36" location="'325'!A1" display="Revenue Bond Coverage" xr:uid="{00000000-0004-0000-0200-000028000000}"/>
    <hyperlink ref="E38:L38" location="'330'!A1" display="Debt Defeasances" xr:uid="{00000000-0004-0000-0200-000029000000}"/>
    <hyperlink ref="A79" location="'605'!A1" display="'605'!A1" xr:uid="{00000000-0004-0000-0200-00002A000000}"/>
    <hyperlink ref="E79:L79" location="'605'!A1" display="University Optional Retirement Program" xr:uid="{00000000-0004-0000-0200-00002B000000}"/>
    <hyperlink ref="A85" location="'635'!A1" display="'635'!A1" xr:uid="{00000000-0004-0000-0200-00002C000000}"/>
    <hyperlink ref="E85:L85" location="'635'!A1" display="Segments" xr:uid="{00000000-0004-0000-0200-00002D000000}"/>
    <hyperlink ref="A80" location="'610'!A1" display="'610'!A1" xr:uid="{00000000-0004-0000-0200-00002E000000}"/>
    <hyperlink ref="E80:L80" location="'610'!A1" display="Significant Transactions Between Component Units and Analysis of Federal Grants" xr:uid="{00000000-0004-0000-0200-00002F000000}"/>
    <hyperlink ref="E32:L32" location="'315'!A1" display="Annual Debt Svc Reqmts - Bonds, COPs, Notes Payable - Without Interest Rate Swaps" xr:uid="{00000000-0004-0000-0200-000030000000}"/>
    <hyperlink ref="A32" location="'315'!A1" display="'315'!A1" xr:uid="{00000000-0004-0000-0200-000031000000}"/>
    <hyperlink ref="E87:L87" location="'705'!A1" display="Cash and Cash Equivalents in Banks Outside the State Treasurer - Method of Collateralization" xr:uid="{00000000-0004-0000-0200-000032000000}"/>
    <hyperlink ref="E41:L41" location="'340'!A1" display="Derivatives Outstanding Not Reported at Fair Value" xr:uid="{00000000-0004-0000-0200-000033000000}"/>
    <hyperlink ref="A63" location="'501'!A1" display="'501'!A1" xr:uid="{00000000-0004-0000-0200-000034000000}"/>
    <hyperlink ref="E63:L63" location="'501'!A1" display="Schedule of Intra-Agency Receivables" xr:uid="{00000000-0004-0000-0200-000035000000}"/>
    <hyperlink ref="E64:L64" location="'505'!A1" display="Schedule of Inter-Agency Receivables" xr:uid="{00000000-0004-0000-0200-000036000000}"/>
    <hyperlink ref="E65:L65" location="'510'!A1" display="Schedule of Inter-Agency Payables" xr:uid="{00000000-0004-0000-0200-000037000000}"/>
    <hyperlink ref="E66:L66" location="'515'!A1" display="Schedule of Due From / Restricted Due From Primary Government" xr:uid="{00000000-0004-0000-0200-000038000000}"/>
    <hyperlink ref="E67:L67" location="'520'!A1" display="Schedule of Due To Primary Government" xr:uid="{00000000-0004-0000-0200-000039000000}"/>
    <hyperlink ref="E68:L68" location="'525'!A1" display="Schedule of Due from State of NC Component Units" xr:uid="{00000000-0004-0000-0200-00003A000000}"/>
    <hyperlink ref="E69:L69" location="'530'!A1" display="Schedule of Due to State of NC Component Units" xr:uid="{00000000-0004-0000-0200-00003B000000}"/>
    <hyperlink ref="A83" location="'620'!A1" display="'620'!A1" xr:uid="{00000000-0004-0000-0200-00003C000000}"/>
    <hyperlink ref="E83:L83" location="'620'!A1" display="Analysis of Deferred Revenues" xr:uid="{00000000-0004-0000-0200-00003D000000}"/>
    <hyperlink ref="E84:L84" location="'625'!A1" display="Management Discussion and Analysis Schedule" xr:uid="{00000000-0004-0000-0200-00003E000000}"/>
    <hyperlink ref="A76" location="'565'!A1" display="'565'!A1" xr:uid="{00000000-0004-0000-0200-00003F000000}"/>
    <hyperlink ref="A81" location="'615'!A1" display="'615'!A1" xr:uid="{00000000-0004-0000-0200-000040000000}"/>
    <hyperlink ref="E76:L76" location="'565'!A1" display="Schedule of Interinstitutional Transfers" xr:uid="{00000000-0004-0000-0200-000041000000}"/>
    <hyperlink ref="E81:L81" location="'615'!A1" display="Foundations Survey" xr:uid="{00000000-0004-0000-0200-000042000000}"/>
    <hyperlink ref="A27" location="'301'!A1" display="'301'!A1" xr:uid="{00000000-0004-0000-0200-000043000000}"/>
    <hyperlink ref="E77" location="a3p25!a1" display="a3p25!a1" xr:uid="{00000000-0004-0000-0200-000044000000}"/>
    <hyperlink ref="A77" location="'570'!A1" display="'570'!A1" xr:uid="{00000000-0004-0000-0200-000045000000}"/>
    <hyperlink ref="A70" location="'535'!A1" display="'535'!A1" xr:uid="{00000000-0004-0000-0200-000046000000}"/>
    <hyperlink ref="E70:L70" location="'535'!A1" display="Schedule of Advances" xr:uid="{00000000-0004-0000-0200-000047000000}"/>
    <hyperlink ref="A61" location="'431G'!A1" display="431G" xr:uid="{00000000-0004-0000-0200-000048000000}"/>
    <hyperlink ref="E61:L61" location="'431'!A1" display="Fund Equity Restatement (Part 2 of 2)" xr:uid="{00000000-0004-0000-0200-000049000000}"/>
    <hyperlink ref="A30" location="'310'!A1" display="'310'!A1" xr:uid="{00000000-0004-0000-0200-00004A000000}"/>
    <hyperlink ref="E30:L30" location="'310'!A1" display="Changes in Long-Term Liabilities and Short-Term Debt (Business-Type)" xr:uid="{00000000-0004-0000-0200-00004B000000}"/>
    <hyperlink ref="E77:L77" location="'570'!A1" display="Receivables" xr:uid="{00000000-0004-0000-0200-00004C000000}"/>
    <hyperlink ref="A113" location="Comments!A1" display="Comm" xr:uid="{00000000-0004-0000-0200-00004D000000}"/>
    <hyperlink ref="E113:L113" location="End!A1" display="Your Comments and Suggestions" xr:uid="{00000000-0004-0000-0200-00004E000000}"/>
    <hyperlink ref="E88:L88" location="'710'!A1" display="Investments Held Outside the State Treasurer - Custodial Credit Risk" xr:uid="{00000000-0004-0000-0200-00004F000000}"/>
    <hyperlink ref="E89:L89" location="'715'!A1" display="Investments Held Outside the State Treasurer - Custodial Credit Risk" xr:uid="{00000000-0004-0000-0200-000050000000}"/>
    <hyperlink ref="E90:L90" location="'720'!A1" display="Investments Held Outside the State Treasurer - Interest Rate Risk" xr:uid="{00000000-0004-0000-0200-000051000000}"/>
    <hyperlink ref="E91:L91" location="'725'!A1" display="Investments Held Outside the State Treasurer - Credit Risk (Part 1 of 2)" xr:uid="{00000000-0004-0000-0200-000052000000}"/>
    <hyperlink ref="E92:L92" location="'730'!A1" display="Investments Held Outside the State Treasurer - Additional Level of Detail" xr:uid="{00000000-0004-0000-0200-000053000000}"/>
    <hyperlink ref="A91" location="'725'!A1" display="'725'!A1" xr:uid="{00000000-0004-0000-0200-000054000000}"/>
    <hyperlink ref="A92" location="'730'!A1" display="'730'!A1" xr:uid="{00000000-0004-0000-0200-000055000000}"/>
    <hyperlink ref="A93" location="'735'!A1" display="'735'!A1" xr:uid="{00000000-0004-0000-0200-000056000000}"/>
    <hyperlink ref="A94" location="'740'!A1" display="'740'!A1" xr:uid="{00000000-0004-0000-0200-000057000000}"/>
    <hyperlink ref="A95" location="'745'!A1" display="'745'!A1" xr:uid="{00000000-0004-0000-0200-000058000000}"/>
    <hyperlink ref="E93:L93" location="'735'!A1" display="Investments Held Outside the State Treasurer - Concentration of Credit Risk" xr:uid="{00000000-0004-0000-0200-000059000000}"/>
    <hyperlink ref="E94:L94" location="'740'!A1" display="Investments Held Outside the State Treasurer - Foreign Currency Risk" xr:uid="{00000000-0004-0000-0200-00005A000000}"/>
    <hyperlink ref="E95:L95" location="'745'!A1" display="Investments Held Outside the State Treasurer - Investment Policies" xr:uid="{00000000-0004-0000-0200-00005B000000}"/>
    <hyperlink ref="A87" location="'705'!A1" display="'705'!A1" xr:uid="{00000000-0004-0000-0200-00005C000000}"/>
    <hyperlink ref="E112:O112" location="Explanations!A1" display="Worksheet Explanations" xr:uid="{00000000-0004-0000-0200-00005D000000}"/>
    <hyperlink ref="A112" location="Explanations!A1" display="Exp" xr:uid="{00000000-0004-0000-0200-00005E000000}"/>
    <hyperlink ref="A18" location="'105'!A1" display="'105'!A1" xr:uid="{00000000-0004-0000-0200-00005F000000}"/>
    <hyperlink ref="A25" location="'215'!A1" display="'215'!A1" xr:uid="{00000000-0004-0000-0200-000060000000}"/>
    <hyperlink ref="A26" location="'220'!A1" display="'220'!A1" xr:uid="{00000000-0004-0000-0200-000061000000}"/>
    <hyperlink ref="E25:O25" location="'215'!A1" display="Capital Asset Impairments *** Hyperlink, etc ***" xr:uid="{00000000-0004-0000-0200-000062000000}"/>
    <hyperlink ref="E26:O26" location="'220'!A1" display="Capital Asset Statistics ****NEW****" xr:uid="{00000000-0004-0000-0200-000063000000}"/>
    <hyperlink ref="A101" location="'905'!A1" display="'905'!A1" xr:uid="{00000000-0004-0000-0200-000064000000}"/>
    <hyperlink ref="A104" location="'906-6B'!A1" display="906-6B" xr:uid="{00000000-0004-0000-0200-000065000000}"/>
    <hyperlink ref="A107" location="'907'!A1" display="'907'!A1" xr:uid="{00000000-0004-0000-0200-000066000000}"/>
    <hyperlink ref="A108" location="'910'!A1" display="'910'!A1" xr:uid="{00000000-0004-0000-0200-000067000000}"/>
    <hyperlink ref="A110" location="'911-6B'!A1" display="911-6B" xr:uid="{00000000-0004-0000-0200-000068000000}"/>
    <hyperlink ref="E110:O110" location="'911-6B'!A1" display="Offline Fiduciary Analytical Review  - 6B -  Deferred Comp - Computed Variances" xr:uid="{00000000-0004-0000-0200-000069000000}"/>
    <hyperlink ref="E47:O47" location="'360'!A1" display="Related Party Transactions" xr:uid="{00000000-0004-0000-0200-00006A000000}"/>
    <hyperlink ref="E18:O18" location="'105'!A1" display="Operating Indicators By Function" xr:uid="{00000000-0004-0000-0200-00006B000000}"/>
    <hyperlink ref="E114:O114" location="'All Agencies'!C1" display="List of Agency Names and Numbers " xr:uid="{00000000-0004-0000-0200-00006C000000}"/>
    <hyperlink ref="A114" location="'All Agencies'!C1" display="Agencies" xr:uid="{00000000-0004-0000-0200-00006D000000}"/>
    <hyperlink ref="E113:O113" location="Comments!A1" display="Your Comments and Suggestions" xr:uid="{00000000-0004-0000-0200-00006E000000}"/>
    <hyperlink ref="A116" location="Functional!A1" display="Functional" xr:uid="{00000000-0004-0000-0200-00006F000000}"/>
    <hyperlink ref="E116:O116" location="Functional!A1" display="Functional Table to be used for worksheets 401, 405, and 415" xr:uid="{00000000-0004-0000-0200-000070000000}"/>
    <hyperlink ref="A48" location="'365'!A1" display="'365'!A1" xr:uid="{00000000-0004-0000-0200-000071000000}"/>
    <hyperlink ref="E48:O48" location="'365'!A1" display="Restricted Assets  (new for 2009)" xr:uid="{00000000-0004-0000-0200-000072000000}"/>
    <hyperlink ref="A34" location="'322'!A1" display="'322'!A1" xr:uid="{00000000-0004-0000-0200-000073000000}"/>
    <hyperlink ref="E34:O34" location="'322'!A1" display="Pollution Remediation Obligations (new for 2009)" xr:uid="{00000000-0004-0000-0200-000074000000}"/>
    <hyperlink ref="E33:L33" location="'320'!A1" display="Annual Debt Svc Reqmts - Bonds and COPs Payable - With Interest Rate Swaps" xr:uid="{00000000-0004-0000-0200-000075000000}"/>
    <hyperlink ref="A33" location="'320'!A1" display="'320'!A1" xr:uid="{00000000-0004-0000-0200-000076000000}"/>
    <hyperlink ref="A49" location="'370'!A1" display="'370'!A1" xr:uid="{00000000-0004-0000-0200-000077000000}"/>
    <hyperlink ref="E49:O49" location="'370'!A1" display="Government Wide - Special Indebtedness (new for 2009)" xr:uid="{00000000-0004-0000-0200-000078000000}"/>
    <hyperlink ref="A42" location="'341'!A1" display="'341'!A1" xr:uid="{00000000-0004-0000-0200-000079000000}"/>
    <hyperlink ref="E42:L42" location="'340'!A1" display="Derivatives Outstanding Not Reported at Fair Value" xr:uid="{00000000-0004-0000-0200-00007A000000}"/>
    <hyperlink ref="E42:O42" location="'341'!A1" display="Derivative Disclosures" xr:uid="{00000000-0004-0000-0200-00007B000000}"/>
    <hyperlink ref="A43" location="'342'!A1" display="'342'!A1" xr:uid="{00000000-0004-0000-0200-00007C000000}"/>
    <hyperlink ref="E43:L43" location="'340'!A1" display="Derivatives Outstanding Not Reported at Fair Value" xr:uid="{00000000-0004-0000-0200-00007D000000}"/>
    <hyperlink ref="E43:O43" location="'342'!A1" display="Investment Derivative Instruments Credit Risk" xr:uid="{00000000-0004-0000-0200-00007E000000}"/>
    <hyperlink ref="A103" location="'905Hosp'!A1" display="905Hosp" xr:uid="{00000000-0004-0000-0200-00007F000000}"/>
    <hyperlink ref="A117" location="NetPosition!A1" display="NetPosition" xr:uid="{00000000-0004-0000-0200-000080000000}"/>
    <hyperlink ref="E117:O117" location="NetPosition!A1" display="NetPosition and GASB Table for worksheets 905 &amp; 906" xr:uid="{00000000-0004-0000-0200-000081000000}"/>
    <hyperlink ref="A102" location="'For 905-NCAS Acct Roll-up'!A1" display="For 905-NCAS Acct Roll-up " xr:uid="{00000000-0004-0000-0200-000082000000}"/>
    <hyperlink ref="A109" location="'910Hosp'!A1" display="910Hosp" xr:uid="{00000000-0004-0000-0200-000083000000}"/>
    <hyperlink ref="E109:O109" location="'910Hosp'!A1" display="Offline Proprietary Analytical Review for UNC Health Care Reporting Unit Combined Pkg- Computed Variances" xr:uid="{00000000-0004-0000-0200-000084000000}"/>
    <hyperlink ref="A118" location="PriorYr905!A1" display="PriorYr905" xr:uid="{00000000-0004-0000-0200-000085000000}"/>
    <hyperlink ref="E118:O118" location="PriorYr905!A1" display="Prior Year Propietary Proforma - SNA &amp; SRECNA for Computed Variances 910 worksheet" xr:uid="{00000000-0004-0000-0200-000086000000}"/>
    <hyperlink ref="A119" location="PriorYr906!A1" display="PriorYr906" xr:uid="{00000000-0004-0000-0200-000087000000}"/>
    <hyperlink ref="E119:O119" location="PriorYr906!A1" display="Prior Year Fiduciary Proforma - SNA &amp; SRECNA for Computed Variances 911 worksheet" xr:uid="{00000000-0004-0000-0200-000088000000}"/>
    <hyperlink ref="A105" location="'906-6C'!A1" display="906-6C" xr:uid="{00000000-0004-0000-0200-000089000000}"/>
    <hyperlink ref="A106" location="'906-6BC'!A1" display="906-6B&amp;6C" xr:uid="{00000000-0004-0000-0200-00008A000000}"/>
    <hyperlink ref="A111" location="'911-6C'!A1" display="911-6C" xr:uid="{00000000-0004-0000-0200-00008B000000}"/>
    <hyperlink ref="E111:O111" location="'911-6C'!A1" display="Offline Fiduciary Analytical Review - 6C - 401(k) Computed Variances" xr:uid="{00000000-0004-0000-0200-00008C000000}"/>
    <hyperlink ref="A21" location="'201'!A1" display="'201'!A1" xr:uid="{00000000-0004-0000-0200-00008D000000}"/>
    <hyperlink ref="E19:L19" location="'201'!A1" display="Changes in Capital Assets" xr:uid="{00000000-0004-0000-0200-00008E000000}"/>
    <hyperlink ref="A19" location="'110'!A1" display="'110'!A1" xr:uid="{00000000-0004-0000-0200-00008F000000}"/>
    <hyperlink ref="E19:O19" location="'110'!A1" display="Service Concession Arrangements" xr:uid="{00000000-0004-0000-0200-000090000000}"/>
    <hyperlink ref="A40" location="'338'!A1" display="'338'!A1" xr:uid="{00000000-0004-0000-0200-000091000000}"/>
    <hyperlink ref="E40:L40" location="'340'!A1" display="Derivatives Outstanding Not Reported at Fair Value" xr:uid="{00000000-0004-0000-0200-000092000000}"/>
    <hyperlink ref="E40:O40" location="'338'!A1" display="Nonexchange Financial Guarantees" xr:uid="{00000000-0004-0000-0200-000093000000}"/>
    <hyperlink ref="A59" location="'430BTA'!A1" display="430BTA" xr:uid="{00000000-0004-0000-0200-000094000000}"/>
    <hyperlink ref="E59:L59" location="'430'!A1" display="Fund Equity Restatement (Part 1 of 2)" xr:uid="{00000000-0004-0000-0200-000095000000}"/>
    <hyperlink ref="A58" location="'430G'!A1" display="430G" xr:uid="{00000000-0004-0000-0200-000096000000}"/>
    <hyperlink ref="E58:O58" location="'430G'!A1" display="Fund Equity Restatement Governmental Funds (Part 1 of 2)" xr:uid="{00000000-0004-0000-0200-000097000000}"/>
    <hyperlink ref="E59:O59" location="'430BTA'!A1" display="Fund Equity Restatement Business Type Activities (Part 1 of 2)" xr:uid="{00000000-0004-0000-0200-000098000000}"/>
    <hyperlink ref="A20" location="'120'!A1" display="'120'!A1" xr:uid="{00000000-0004-0000-0200-000099000000}"/>
    <hyperlink ref="E20:O20" location="'120'!A1" display="Government Combinations and Disposals of Government Operations" xr:uid="{00000000-0004-0000-0200-00009A000000}"/>
    <hyperlink ref="A62" location="'431BTA'!A1" display="431BTA" xr:uid="{00000000-0004-0000-0200-00009B000000}"/>
    <hyperlink ref="E62:L62" location="'431'!A1" display="Fund Equity Restatement (Part 2 of 2)" xr:uid="{00000000-0004-0000-0200-00009C000000}"/>
    <hyperlink ref="E61:O61" location="'431G'!A1" display="Restatements Governmental Funds (Part 2 of 2)" xr:uid="{00000000-0004-0000-0200-00009D000000}"/>
    <hyperlink ref="E62:O62" location="'431BTA'!A1" display="Restatements Business Type Activities (Part 2 of 2)" xr:uid="{00000000-0004-0000-0200-00009E000000}"/>
    <hyperlink ref="A97" location="'755'!A1" display="'755'!A1" xr:uid="{00000000-0004-0000-0200-00009F000000}"/>
    <hyperlink ref="E97:O97" location="'755'!A1" display="Investments Held Outside the State Treasurer And Derivatives - Fair Value Measurements" xr:uid="{00000000-0004-0000-0200-0000A0000000}"/>
    <hyperlink ref="A99" location="'760'!A1" display="'760'!A1" xr:uid="{00000000-0004-0000-0200-0000A1000000}"/>
    <hyperlink ref="A100" location="'765'!A1" display="'765'!A1" xr:uid="{00000000-0004-0000-0200-0000A2000000}"/>
    <hyperlink ref="E79:O79" location="'605'!A1" display="University Optional Retirement Program " xr:uid="{00000000-0004-0000-0200-0000A3000000}"/>
    <hyperlink ref="A86" location="'640'!A1" display="'640'!A1" xr:uid="{00000000-0004-0000-0200-0000A4000000}"/>
    <hyperlink ref="E86" location="'640'!A1" display="Tax Abatement" xr:uid="{00000000-0004-0000-0200-0000A5000000}"/>
    <hyperlink ref="A82" location="'616'!A1" display="'616'!A1" xr:uid="{00000000-0004-0000-0200-0000A6000000}"/>
    <hyperlink ref="E82:L82" location="'620'!A1" display="Analysis of Deferred Revenues" xr:uid="{00000000-0004-0000-0200-0000A7000000}"/>
    <hyperlink ref="E82:O82" location="'616'!A1" display="Schedule of Due from / Due to University Component Units   NEW FY 2017" xr:uid="{00000000-0004-0000-0200-0000A8000000}"/>
    <hyperlink ref="A71" location="'540'!A1" display="'540'!A1" xr:uid="{00000000-0004-0000-0200-0000A9000000}"/>
    <hyperlink ref="A72" location="'545'!A1" display="'545'!A1" xr:uid="{00000000-0004-0000-0200-0000AA000000}"/>
    <hyperlink ref="A73" location="'550'!A1" display="'550'!A1" xr:uid="{00000000-0004-0000-0200-0000AB000000}"/>
    <hyperlink ref="A74" location="'555'!A1" display="'555'!A1" xr:uid="{00000000-0004-0000-0200-0000AC000000}"/>
    <hyperlink ref="A75" location="'560'!A1" display="'560'!A1" xr:uid="{00000000-0004-0000-0200-0000AD000000}"/>
    <hyperlink ref="E71" location="'540'!A1" display="Schedule of Intra-Agency Operating Transfers  NEW FY 2017" xr:uid="{00000000-0004-0000-0200-0000AE000000}"/>
    <hyperlink ref="E72:O72" location="'545'!A1" display="Schedule of Agency Inter-Company Operating Transfers to be Eliminated at CAFR Level  NEW FY 2017" xr:uid="{00000000-0004-0000-0200-0000AF000000}"/>
    <hyperlink ref="E73:O73" location="'550'!A1" display="Schedule of Inter-Agency Operating Transfers In  NEW FY 2017" xr:uid="{00000000-0004-0000-0200-0000B0000000}"/>
    <hyperlink ref="E74:O74" location="'555'!A1" display="Schedule of Inter-Agency Operating Transfers Out  NEW FY 2017" xr:uid="{00000000-0004-0000-0200-0000B1000000}"/>
    <hyperlink ref="E75:O75" location="'560'!A1" display="Schedule of Agency Nonroutine Transfers  NEW FY 2017" xr:uid="{00000000-0004-0000-0200-0000B2000000}"/>
    <hyperlink ref="E98:L98" location="'710'!A1" display="Investments Held Outside the State Treasurer - Custodial Credit Risk" xr:uid="{00000000-0004-0000-0200-0000B3000000}"/>
    <hyperlink ref="E98:O98" location="'756'!A1" display="Investments Held Outside the State Treasurer - Valuation of Investments " xr:uid="{00000000-0004-0000-0200-0000B4000000}"/>
    <hyperlink ref="E100" location="'765'!A1" display="Investments Held Outside the State Treasurer - External Investment Pools and Pool Participants" xr:uid="{00000000-0004-0000-0200-0000B5000000}"/>
    <hyperlink ref="E99" location="'760'!A1" display="Investments Held Outside the State Treasurer - Investments Measured at NAV" xr:uid="{00000000-0004-0000-0200-0000B6000000}"/>
    <hyperlink ref="E106:O106" location="'906-6BC'!A1" display="Offline Fiduciary - Stmt of Net Position &amp; Stmt of Chgs in Net position-Combined DefComp&amp;401(k)(new for 2013)" xr:uid="{00000000-0004-0000-0200-0000B7000000}"/>
    <hyperlink ref="E105:O105" location="'906-6C'!A1" display="Offline Fiduciary - Stmt of Net Position &amp; Stmt of Chgs in Net position NC 401(k)-6C (changes for 2013)" xr:uid="{00000000-0004-0000-0200-0000B8000000}"/>
    <hyperlink ref="E102:O102" location="'For 905-NCAS Acct Roll-up'!A1" display="Roll-up tables for the CAFR 11P Stmnt of Net assets &amp; CAFR 53P Stmnt of Rev, Exp and Changes in Net Assets showing NCAS  accts making  up each caption" xr:uid="{00000000-0004-0000-0200-0000B9000000}"/>
    <hyperlink ref="E103:O103" location="'905Hosp'!A1" display="'905Hosp'!A1" xr:uid="{00000000-0004-0000-0200-0000BA000000}"/>
    <hyperlink ref="E108:O108" location="'910'!A1" display="Offline Proprietary MD&amp;A - Computed Variances" xr:uid="{00000000-0004-0000-0200-0000BB000000}"/>
    <hyperlink ref="E107:O107" location="'907'!A1" display="Offline Agency Funds Proforma - Stmt of Chnages in Assets and Liabilities" xr:uid="{00000000-0004-0000-0200-0000BC000000}"/>
    <hyperlink ref="E104:O104" location="'906-6B'!A1" display="Offline Fiduciary - Stmt of Net Position &amp; Stmt of Chgs in Net position Deferred Comp-6B (changes for 2013)" xr:uid="{00000000-0004-0000-0200-0000BD000000}"/>
    <hyperlink ref="E101:O101" location="'905'!A1" display="Offline Proprietary Proforma - Stmt of Net Assets &amp; Stmt of Revs, Exps and Chgs in Net Assets and Certification of Data file for universities using 905 template (new for 2011)" xr:uid="{00000000-0004-0000-0200-0000BE000000}"/>
    <hyperlink ref="A98" location="'756'!A1" display="'756'!A1" xr:uid="{00000000-0004-0000-0200-0000BF000000}"/>
    <hyperlink ref="A115" location="'OSC Analysts'!A1" display="OSC Analysts" xr:uid="{00000000-0004-0000-0200-0000C0000000}"/>
    <hyperlink ref="E115" location="'OSC Analysts'!A1" display="List of OSC Statewide Accounting Financial Reporting Analyst Names and Numbers" xr:uid="{00000000-0004-0000-0200-0000C1000000}"/>
    <hyperlink ref="E23" location="'202'!A1" display="Governmental Fund Capital Assets" xr:uid="{6412FCA9-5AA5-48AA-90DA-17B6E4616697}"/>
    <hyperlink ref="E22" location="'202'!A1" display="Governmental Fund Capital Assets" xr:uid="{1C13EEC7-68B3-48C6-87DB-338DF7E3283F}"/>
    <hyperlink ref="A22" location="'202'!A1" display="'202'!A1" xr:uid="{FCE26A03-8923-4534-B3E3-493F70E792F1}"/>
    <hyperlink ref="A23" location="'203'!A1" display="'203'!A1" xr:uid="{DF04F2A4-861F-44FF-8947-1CA29D35EEAF}"/>
    <hyperlink ref="E32:O32" location="'315'!A1" display="Annual Debt Svc Reqmts - Bonds, Special Indebtedness, Notes Payable, Notes from Direct Borrowings &amp; Direct Placements - Without Interest Rate Swaps" xr:uid="{18034629-C2BA-4388-BDB3-3CC929647F2F}"/>
    <hyperlink ref="E33:O33" location="'320'!A1" display="Annual Debt Svc Reqmts - Bonds, Special Indebtedness, Notes Payable, Notes from Direct Borrowings &amp; Direct Placements - With Interest Rate Swaps" xr:uid="{41A45703-D09E-4BF4-9586-16FD88CA1170}"/>
    <hyperlink ref="A78" location="'602'!A1" display="'602'!A1" xr:uid="{F9552FBD-07BD-496F-A177-6321A98E298A}"/>
    <hyperlink ref="E78:O78" location="'602'!A1" display="Employer Contribution Amounts for TSERS and OPEB (New FY 2020 for Universities only)" xr:uid="{9FD2A0FA-EBD2-4D4E-83C4-345F7D0E133E}"/>
    <hyperlink ref="A35" location="'323'!A1" display="'323'!A1" xr:uid="{685A4699-5EAD-4116-92F2-D417D3DF4242}"/>
    <hyperlink ref="E35:O35" location="'323'!A1" display="Certain Asset Retirement Obligations" xr:uid="{99737A01-9111-4F4F-A3D7-1AB7647F715E}"/>
    <hyperlink ref="A50" location="'375-A'!A1" display="375-A" xr:uid="{65A527AF-815E-4ECF-B1AF-5A6D407B85AF}"/>
    <hyperlink ref="E50:O50" location="'375-A'!A1" display="Financial Reporting for Federal Coronavirus (COVID-19) Funds " xr:uid="{F100CA2B-2755-413A-9C52-0F8D91DDA760}"/>
    <hyperlink ref="E60" location="'430F'!A1" display="Restatements Fiduciary Activities (Part 1 of 2) (NEW for Fiscal Year 2021)" xr:uid="{27D27304-2A4E-4DA5-9348-E9AC0C0481E1}"/>
    <hyperlink ref="A60" location="'430F'!A1" display="430F" xr:uid="{D1298303-12F2-4E06-B257-5CF8A1C51A97}"/>
    <hyperlink ref="A51" location="'375-B'!A1" display="375-B" xr:uid="{4F400107-57EA-45FE-A61D-4743DCD7105D}"/>
    <hyperlink ref="E51:O51" location="'375-B'!A1" display="Budget Reporting for Federal Coronavirus (COVID-19) Funds " xr:uid="{06F749E1-5A07-48C9-A6C8-D85E58CD841D}"/>
  </hyperlinks>
  <pageMargins left="0.6" right="0.6" top="0.5" bottom="0.5" header="0.3" footer="0.3"/>
  <pageSetup scale="74" fitToHeight="0" orientation="portrait" r:id="rId5"/>
  <headerFooter>
    <oddFooter>&amp;L&amp;D &amp;T&amp;R&amp;A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M104"/>
  <sheetViews>
    <sheetView showGridLines="0" topLeftCell="B1" zoomScaleNormal="100" workbookViewId="0">
      <selection activeCell="B31" sqref="B31"/>
    </sheetView>
  </sheetViews>
  <sheetFormatPr defaultColWidth="9.42578125" defaultRowHeight="12.75" x14ac:dyDescent="0.2"/>
  <cols>
    <col min="1" max="1" width="9.42578125" hidden="1" customWidth="1"/>
    <col min="3" max="3" width="8.42578125" customWidth="1"/>
    <col min="6" max="7" width="3.5703125" customWidth="1"/>
    <col min="8" max="8" width="1.5703125" customWidth="1"/>
    <col min="9" max="9" width="13.42578125" customWidth="1"/>
    <col min="10" max="10" width="12.5703125" customWidth="1"/>
    <col min="12" max="12" width="9.5703125" customWidth="1"/>
    <col min="13" max="13" width="4.5703125" customWidth="1"/>
  </cols>
  <sheetData>
    <row r="1" spans="2:13" s="130" customFormat="1" ht="15" customHeight="1" x14ac:dyDescent="0.25">
      <c r="B1" s="2449" t="str">
        <f>+Index!$A$1</f>
        <v xml:space="preserve">                                                               Office of the State Controller                                                                </v>
      </c>
      <c r="C1" s="2449"/>
      <c r="D1" s="2449"/>
      <c r="E1" s="2449"/>
      <c r="F1" s="2449"/>
      <c r="G1" s="2449"/>
      <c r="H1" s="2449"/>
      <c r="I1" s="2449"/>
      <c r="J1" s="2449"/>
      <c r="K1" s="2449"/>
      <c r="L1" s="2449"/>
      <c r="M1" s="2450" t="str">
        <f>IF(Index!$B$46="na","NA","")</f>
        <v/>
      </c>
    </row>
    <row r="2" spans="2:13" s="130" customFormat="1" ht="15" customHeight="1" x14ac:dyDescent="0.25">
      <c r="B2" s="2431" t="str">
        <f>+Index!$A$2</f>
        <v>2022 ACFR Worksheets</v>
      </c>
      <c r="C2" s="2624"/>
      <c r="D2" s="2624"/>
      <c r="E2" s="2624"/>
      <c r="F2" s="2624"/>
      <c r="G2" s="2624"/>
      <c r="H2" s="2624"/>
      <c r="I2" s="2624"/>
      <c r="J2" s="2624"/>
      <c r="K2" s="2624"/>
      <c r="L2" s="2624"/>
      <c r="M2" s="2450"/>
    </row>
    <row r="3" spans="2:13" s="130" customFormat="1" ht="15" customHeight="1" x14ac:dyDescent="0.25">
      <c r="B3" s="2431" t="s">
        <v>3564</v>
      </c>
      <c r="C3" s="2624"/>
      <c r="D3" s="2624"/>
      <c r="E3" s="2624"/>
      <c r="F3" s="2624"/>
      <c r="G3" s="2624"/>
      <c r="H3" s="2624"/>
      <c r="I3" s="2624"/>
      <c r="J3" s="2624"/>
      <c r="K3" s="2624"/>
      <c r="L3" s="2624"/>
      <c r="M3" s="2450"/>
    </row>
    <row r="4" spans="2:13" s="14" customFormat="1" ht="15" customHeight="1" x14ac:dyDescent="0.2">
      <c r="J4" s="2" t="s">
        <v>973</v>
      </c>
    </row>
    <row r="5" spans="2:13" s="14" customFormat="1" ht="15" customHeight="1" x14ac:dyDescent="0.2">
      <c r="B5" s="5"/>
      <c r="C5" s="121"/>
      <c r="D5" s="2611"/>
      <c r="E5" s="2611"/>
      <c r="F5" s="520"/>
      <c r="G5" s="520"/>
      <c r="I5" s="6" t="s">
        <v>327</v>
      </c>
      <c r="J5" s="2488" t="str">
        <f>+Index!$E$10</f>
        <v>01</v>
      </c>
      <c r="K5" s="2488"/>
      <c r="L5" s="2488"/>
    </row>
    <row r="6" spans="2:13" s="14" customFormat="1" ht="15" customHeight="1" x14ac:dyDescent="0.2">
      <c r="I6" s="6" t="s">
        <v>1154</v>
      </c>
      <c r="J6" s="2512" t="str">
        <f>+Index!$E$11</f>
        <v>North Carolina General Assembly</v>
      </c>
      <c r="K6" s="2512"/>
      <c r="L6" s="2512"/>
    </row>
    <row r="7" spans="2:13" s="14" customFormat="1" ht="15" customHeight="1" x14ac:dyDescent="0.2">
      <c r="B7" s="5" t="s">
        <v>477</v>
      </c>
      <c r="C7" s="121"/>
      <c r="D7" s="2609" t="s">
        <v>971</v>
      </c>
      <c r="E7" s="2609"/>
      <c r="F7" s="5"/>
      <c r="G7" s="5"/>
      <c r="I7" s="6" t="s">
        <v>972</v>
      </c>
      <c r="J7" s="2513" t="str">
        <f>CONCATENATE(Index!$E$12," ",Index!$E$14)</f>
        <v xml:space="preserve"> </v>
      </c>
      <c r="K7" s="2513"/>
      <c r="L7" s="2513"/>
    </row>
    <row r="8" spans="2:13" s="14" customFormat="1" ht="15" customHeight="1" x14ac:dyDescent="0.2">
      <c r="B8" s="5"/>
      <c r="C8" s="121"/>
      <c r="D8" s="520"/>
      <c r="E8" s="520"/>
      <c r="F8" s="5"/>
      <c r="G8" s="5"/>
      <c r="I8" s="6" t="s">
        <v>348</v>
      </c>
      <c r="J8" s="2513">
        <f>+Index!$E$13</f>
        <v>0</v>
      </c>
      <c r="K8" s="2513"/>
      <c r="L8" s="2513"/>
    </row>
    <row r="9" spans="2:13" s="14" customFormat="1" ht="6.75" customHeight="1" thickBot="1" x14ac:dyDescent="0.25">
      <c r="B9" s="521"/>
      <c r="C9" s="521"/>
      <c r="D9" s="521"/>
      <c r="E9" s="521"/>
      <c r="F9" s="521"/>
      <c r="G9" s="521"/>
      <c r="H9" s="522"/>
      <c r="I9" s="521"/>
      <c r="J9" s="521"/>
      <c r="K9" s="521"/>
      <c r="L9" s="521"/>
    </row>
    <row r="10" spans="2:13" s="14" customFormat="1" ht="12" customHeight="1" x14ac:dyDescent="0.2">
      <c r="B10" s="121"/>
      <c r="C10" s="121"/>
      <c r="D10" s="121"/>
      <c r="E10" s="121"/>
      <c r="F10" s="121"/>
      <c r="G10" s="121"/>
      <c r="I10" s="121"/>
      <c r="J10" s="121"/>
      <c r="K10" s="121"/>
      <c r="L10" s="121"/>
    </row>
    <row r="11" spans="2:13" s="14" customFormat="1" ht="15" customHeight="1" x14ac:dyDescent="0.25">
      <c r="B11" s="756" t="s">
        <v>563</v>
      </c>
    </row>
    <row r="12" spans="2:13" s="14" customFormat="1" ht="15" customHeight="1" x14ac:dyDescent="0.2">
      <c r="B12" s="272" t="s">
        <v>4243</v>
      </c>
    </row>
    <row r="13" spans="2:13" s="14" customFormat="1" ht="15" customHeight="1" x14ac:dyDescent="0.2">
      <c r="B13" s="272" t="s">
        <v>5383</v>
      </c>
    </row>
    <row r="14" spans="2:13" s="14" customFormat="1" ht="12" customHeight="1" x14ac:dyDescent="0.2"/>
    <row r="15" spans="2:13" s="14" customFormat="1" ht="15" customHeight="1" x14ac:dyDescent="0.2">
      <c r="B15" s="15" t="s">
        <v>5385</v>
      </c>
    </row>
    <row r="16" spans="2:13" s="14" customFormat="1" ht="15" customHeight="1" x14ac:dyDescent="0.2">
      <c r="B16" s="15" t="s">
        <v>4887</v>
      </c>
    </row>
    <row r="17" spans="2:9" s="14" customFormat="1" ht="15" customHeight="1" x14ac:dyDescent="0.2">
      <c r="B17" s="15" t="s">
        <v>4568</v>
      </c>
    </row>
    <row r="18" spans="2:9" s="14" customFormat="1" ht="12" customHeight="1" x14ac:dyDescent="0.2">
      <c r="B18" s="15"/>
    </row>
    <row r="19" spans="2:9" s="14" customFormat="1" ht="15" customHeight="1" x14ac:dyDescent="0.2">
      <c r="B19" s="14" t="s">
        <v>660</v>
      </c>
    </row>
    <row r="20" spans="2:9" s="14" customFormat="1" ht="15" customHeight="1" x14ac:dyDescent="0.2">
      <c r="B20" s="14" t="s">
        <v>209</v>
      </c>
    </row>
    <row r="21" spans="2:9" s="14" customFormat="1" ht="12" customHeight="1" x14ac:dyDescent="0.2"/>
    <row r="22" spans="2:9" s="14" customFormat="1" ht="15" customHeight="1" x14ac:dyDescent="0.2">
      <c r="B22" s="272" t="s">
        <v>4244</v>
      </c>
    </row>
    <row r="23" spans="2:9" s="14" customFormat="1" ht="15" customHeight="1" x14ac:dyDescent="0.2">
      <c r="B23" s="2" t="s">
        <v>4245</v>
      </c>
    </row>
    <row r="24" spans="2:9" s="14" customFormat="1" ht="12" customHeight="1" x14ac:dyDescent="0.2">
      <c r="B24" s="2"/>
    </row>
    <row r="25" spans="2:9" s="14" customFormat="1" ht="15" customHeight="1" x14ac:dyDescent="0.2">
      <c r="B25" s="2" t="s">
        <v>811</v>
      </c>
    </row>
    <row r="26" spans="2:9" s="14" customFormat="1" ht="15" customHeight="1" x14ac:dyDescent="0.2">
      <c r="B26" s="14" t="s">
        <v>1032</v>
      </c>
    </row>
    <row r="27" spans="2:9" s="14" customFormat="1" ht="15" customHeight="1" x14ac:dyDescent="0.2">
      <c r="B27" s="272" t="s">
        <v>4888</v>
      </c>
    </row>
    <row r="28" spans="2:9" s="14" customFormat="1" ht="12" customHeight="1" x14ac:dyDescent="0.2"/>
    <row r="29" spans="2:9" s="14" customFormat="1" ht="15" customHeight="1" x14ac:dyDescent="0.2">
      <c r="B29" s="94" t="s">
        <v>85</v>
      </c>
      <c r="C29" s="1403"/>
      <c r="D29" s="94" t="s">
        <v>86</v>
      </c>
      <c r="E29" s="1403"/>
      <c r="G29" s="2444" t="str">
        <f>IF(AND(ISBLANK(C29),ISBLANK(E29))=TRUE,"Answer Missing"," ")</f>
        <v>Answer Missing</v>
      </c>
      <c r="H29" s="2378"/>
      <c r="I29" s="2378"/>
    </row>
    <row r="30" spans="2:9" s="14" customFormat="1" ht="12" customHeight="1" x14ac:dyDescent="0.2"/>
    <row r="31" spans="2:9" s="14" customFormat="1" ht="15" customHeight="1" x14ac:dyDescent="0.2">
      <c r="B31" s="2" t="s">
        <v>5384</v>
      </c>
      <c r="C31" s="2"/>
    </row>
    <row r="32" spans="2:9" s="14" customFormat="1" ht="15" customHeight="1" x14ac:dyDescent="0.2">
      <c r="B32" s="14" t="s">
        <v>1042</v>
      </c>
    </row>
    <row r="33" spans="2:12" s="14" customFormat="1" ht="15" customHeight="1" x14ac:dyDescent="0.2"/>
    <row r="34" spans="2:12" s="14" customFormat="1" ht="15" customHeight="1" x14ac:dyDescent="0.2"/>
    <row r="35" spans="2:12" s="14" customFormat="1" ht="15" customHeight="1" x14ac:dyDescent="0.25">
      <c r="B35" s="756" t="s">
        <v>1033</v>
      </c>
    </row>
    <row r="36" spans="2:12" s="14" customFormat="1" ht="15" customHeight="1" x14ac:dyDescent="0.2">
      <c r="B36" s="14" t="s">
        <v>97</v>
      </c>
    </row>
    <row r="37" spans="2:12" s="14" customFormat="1" ht="15" customHeight="1" x14ac:dyDescent="0.2">
      <c r="B37" s="3" t="s">
        <v>1006</v>
      </c>
    </row>
    <row r="38" spans="2:12" s="14" customFormat="1" ht="15" customHeight="1" x14ac:dyDescent="0.2">
      <c r="B38" s="14" t="s">
        <v>1034</v>
      </c>
    </row>
    <row r="39" spans="2:12" s="14" customFormat="1" ht="15" customHeight="1" x14ac:dyDescent="0.2">
      <c r="B39" s="14" t="s">
        <v>1035</v>
      </c>
    </row>
    <row r="40" spans="2:12" s="14" customFormat="1" ht="15" customHeight="1" x14ac:dyDescent="0.2">
      <c r="B40" s="272" t="s">
        <v>4674</v>
      </c>
    </row>
    <row r="41" spans="2:12" s="14" customFormat="1" ht="15" customHeight="1" x14ac:dyDescent="0.2"/>
    <row r="42" spans="2:12" s="14" customFormat="1" ht="15" customHeight="1" x14ac:dyDescent="0.2">
      <c r="B42" s="2" t="s">
        <v>811</v>
      </c>
    </row>
    <row r="43" spans="2:12" s="14" customFormat="1" ht="15" customHeight="1" x14ac:dyDescent="0.2">
      <c r="B43" s="14" t="s">
        <v>96</v>
      </c>
      <c r="I43" s="94" t="s">
        <v>85</v>
      </c>
      <c r="J43" s="1403"/>
      <c r="K43" s="94" t="s">
        <v>86</v>
      </c>
      <c r="L43" s="1403"/>
    </row>
    <row r="44" spans="2:12" s="14" customFormat="1" ht="15" customHeight="1" x14ac:dyDescent="0.2">
      <c r="K44" s="2444" t="str">
        <f>IF(AND(ISBLANK(J43),ISBLANK(L43))=TRUE,"Answer Missing"," ")</f>
        <v>Answer Missing</v>
      </c>
      <c r="L44" s="2623"/>
    </row>
    <row r="45" spans="2:12" s="14" customFormat="1" ht="15" customHeight="1" x14ac:dyDescent="0.2">
      <c r="B45" s="2" t="s">
        <v>5384</v>
      </c>
      <c r="C45" s="2"/>
    </row>
    <row r="46" spans="2:12" s="14" customFormat="1" ht="15" customHeight="1" x14ac:dyDescent="0.2">
      <c r="B46" s="14" t="s">
        <v>1042</v>
      </c>
    </row>
    <row r="47" spans="2:12" s="14" customFormat="1" ht="15" customHeight="1" x14ac:dyDescent="0.2">
      <c r="B47" s="2556"/>
      <c r="C47" s="2556"/>
      <c r="D47" s="2556"/>
      <c r="E47" s="2556"/>
      <c r="F47" s="2556"/>
      <c r="G47" s="2556"/>
      <c r="H47" s="2556"/>
      <c r="I47" s="2556"/>
      <c r="J47" s="2556"/>
      <c r="K47" s="2556"/>
      <c r="L47" s="2556"/>
    </row>
    <row r="48" spans="2:12" s="14" customFormat="1" ht="15" customHeight="1" x14ac:dyDescent="0.2"/>
    <row r="49" spans="1:12" s="14" customFormat="1" ht="15" customHeight="1" x14ac:dyDescent="0.2"/>
    <row r="50" spans="1:12" s="14" customFormat="1" ht="15" customHeight="1" x14ac:dyDescent="0.2"/>
    <row r="51" spans="1:12" s="14" customFormat="1" ht="15" customHeight="1" x14ac:dyDescent="0.2">
      <c r="A51" s="440" t="str">
        <f ca="1">MID(CELL("filename",A1),FIND("]",CELL("filename",A1))+1,256)</f>
        <v>355</v>
      </c>
      <c r="B51" s="443" t="s">
        <v>449</v>
      </c>
      <c r="C51" s="440"/>
    </row>
    <row r="52" spans="1:12" s="14" customFormat="1" ht="15" customHeight="1" x14ac:dyDescent="0.2">
      <c r="A52" s="440" t="s">
        <v>446</v>
      </c>
      <c r="B52" s="443" t="str">
        <f ca="1">IF(ISNA(INDEX(ErrorTable,MATCH($A$51&amp;$A52&amp;FALSE,ErrorKey,0),6)),"",INDEX(ErrorTable,MATCH($A$51&amp;$A52&amp;FALSE,ErrorKey,0),6))</f>
        <v>All questions have not been answered.</v>
      </c>
      <c r="C52" s="440"/>
    </row>
    <row r="53" spans="1:12" s="14" customFormat="1" ht="15" customHeight="1" x14ac:dyDescent="0.2">
      <c r="A53" s="440" t="s">
        <v>447</v>
      </c>
      <c r="B53" s="443" t="str">
        <f t="shared" ref="B53:B61" ca="1" si="0">IF(ISNA(INDEX(ErrorTable,MATCH($A$51&amp;$A53&amp;FALSE,ErrorKey,0),6)),"",INDEX(ErrorTable,MATCH($A$51&amp;$A53&amp;FALSE,ErrorKey,0),6))</f>
        <v/>
      </c>
      <c r="C53" s="440"/>
    </row>
    <row r="54" spans="1:12" s="14" customFormat="1" ht="15" customHeight="1" x14ac:dyDescent="0.2">
      <c r="A54" s="440" t="s">
        <v>448</v>
      </c>
      <c r="B54" s="443" t="str">
        <f t="shared" ca="1" si="0"/>
        <v/>
      </c>
      <c r="C54" s="440"/>
    </row>
    <row r="55" spans="1:12" s="14" customFormat="1" ht="15" customHeight="1" x14ac:dyDescent="0.2">
      <c r="A55" s="440" t="s">
        <v>450</v>
      </c>
      <c r="B55" s="443" t="str">
        <f t="shared" ca="1" si="0"/>
        <v/>
      </c>
      <c r="C55" s="440"/>
    </row>
    <row r="56" spans="1:12" s="14" customFormat="1" ht="15" customHeight="1" x14ac:dyDescent="0.2">
      <c r="A56" s="440" t="s">
        <v>451</v>
      </c>
      <c r="B56" s="443" t="str">
        <f t="shared" ca="1" si="0"/>
        <v/>
      </c>
      <c r="C56" s="440"/>
    </row>
    <row r="57" spans="1:12" s="14" customFormat="1" ht="15" customHeight="1" x14ac:dyDescent="0.2">
      <c r="A57" s="440" t="s">
        <v>452</v>
      </c>
      <c r="B57" s="443" t="str">
        <f t="shared" ca="1" si="0"/>
        <v/>
      </c>
      <c r="C57" s="440"/>
    </row>
    <row r="58" spans="1:12" s="14" customFormat="1" ht="15" customHeight="1" x14ac:dyDescent="0.2">
      <c r="A58" s="440" t="s">
        <v>453</v>
      </c>
      <c r="B58" s="443" t="str">
        <f t="shared" ca="1" si="0"/>
        <v/>
      </c>
      <c r="C58" s="440"/>
    </row>
    <row r="59" spans="1:12" s="14" customFormat="1" ht="15" customHeight="1" x14ac:dyDescent="0.2">
      <c r="A59" s="440" t="s">
        <v>454</v>
      </c>
      <c r="B59" s="443" t="str">
        <f t="shared" ca="1" si="0"/>
        <v/>
      </c>
      <c r="C59" s="440"/>
    </row>
    <row r="60" spans="1:12" s="14" customFormat="1" ht="15" customHeight="1" x14ac:dyDescent="0.2">
      <c r="A60" s="440" t="s">
        <v>455</v>
      </c>
      <c r="B60" s="443" t="str">
        <f t="shared" ca="1" si="0"/>
        <v/>
      </c>
      <c r="C60" s="440"/>
    </row>
    <row r="61" spans="1:12" s="14" customFormat="1" ht="15" customHeight="1" x14ac:dyDescent="0.2">
      <c r="A61" s="440" t="s">
        <v>456</v>
      </c>
      <c r="B61" s="443" t="str">
        <f t="shared" ca="1" si="0"/>
        <v/>
      </c>
      <c r="C61" s="440"/>
      <c r="D61"/>
      <c r="E61"/>
      <c r="F61"/>
      <c r="G61"/>
      <c r="H61"/>
      <c r="I61"/>
      <c r="J61"/>
      <c r="K61"/>
      <c r="L61"/>
    </row>
    <row r="62" spans="1:12" s="14" customFormat="1" ht="15" customHeight="1" x14ac:dyDescent="0.2">
      <c r="A62"/>
      <c r="B62"/>
      <c r="C62"/>
      <c r="D62"/>
      <c r="E62"/>
      <c r="F62"/>
      <c r="G62"/>
      <c r="H62"/>
      <c r="I62"/>
      <c r="J62"/>
      <c r="K62"/>
      <c r="L62"/>
    </row>
    <row r="63" spans="1:12" s="14" customFormat="1" ht="15" customHeight="1" x14ac:dyDescent="0.2">
      <c r="A63"/>
      <c r="B63"/>
      <c r="C63"/>
      <c r="D63"/>
      <c r="E63"/>
      <c r="F63"/>
      <c r="G63"/>
      <c r="H63"/>
      <c r="I63"/>
      <c r="J63"/>
      <c r="K63"/>
      <c r="L63"/>
    </row>
    <row r="64" spans="1:12" s="14" customFormat="1" ht="15" customHeight="1" x14ac:dyDescent="0.2">
      <c r="A64"/>
      <c r="B64"/>
      <c r="C64"/>
      <c r="D64"/>
      <c r="E64"/>
      <c r="F64"/>
      <c r="G64"/>
      <c r="H64"/>
      <c r="I64"/>
      <c r="J64"/>
      <c r="K64"/>
      <c r="L64"/>
    </row>
    <row r="65" spans="1:12" s="14" customFormat="1" ht="15" customHeight="1" x14ac:dyDescent="0.2">
      <c r="A65"/>
      <c r="B65"/>
      <c r="C65"/>
      <c r="D65"/>
      <c r="E65"/>
      <c r="F65"/>
      <c r="G65"/>
      <c r="H65"/>
      <c r="I65"/>
      <c r="J65"/>
      <c r="K65"/>
      <c r="L65"/>
    </row>
    <row r="66" spans="1:12" ht="16.350000000000001" customHeight="1" x14ac:dyDescent="0.2"/>
    <row r="67" spans="1:12" ht="6" customHeight="1" x14ac:dyDescent="0.2"/>
    <row r="69" spans="1:12" ht="10.35" customHeight="1" x14ac:dyDescent="0.2"/>
    <row r="72" spans="1:12" ht="6" customHeight="1" x14ac:dyDescent="0.2"/>
    <row r="73" spans="1:12" ht="12.75" customHeight="1" x14ac:dyDescent="0.2"/>
    <row r="77" spans="1:12" ht="10.35" customHeight="1" x14ac:dyDescent="0.2"/>
    <row r="78" spans="1:12" ht="12.75" customHeight="1" x14ac:dyDescent="0.2"/>
    <row r="80" spans="1:12" ht="16.350000000000001" customHeight="1" x14ac:dyDescent="0.2"/>
    <row r="81" ht="6" customHeight="1" x14ac:dyDescent="0.2"/>
    <row r="83" ht="6" customHeight="1" x14ac:dyDescent="0.2"/>
    <row r="84" ht="10.35" customHeight="1" x14ac:dyDescent="0.2"/>
    <row r="85" ht="10.35" customHeight="1" x14ac:dyDescent="0.2"/>
    <row r="86" ht="10.35" customHeight="1" x14ac:dyDescent="0.2"/>
    <row r="87" ht="10.35" customHeight="1" x14ac:dyDescent="0.2"/>
    <row r="88" ht="10.35" customHeight="1" x14ac:dyDescent="0.2"/>
    <row r="89" ht="10.35" customHeight="1" x14ac:dyDescent="0.2"/>
    <row r="90" ht="10.35" customHeight="1" x14ac:dyDescent="0.2"/>
    <row r="91" ht="10.35" customHeight="1" x14ac:dyDescent="0.2"/>
    <row r="92" ht="10.35" customHeight="1" x14ac:dyDescent="0.2"/>
    <row r="93" ht="6" customHeight="1" x14ac:dyDescent="0.2"/>
    <row r="94" ht="10.35" customHeight="1" x14ac:dyDescent="0.2"/>
    <row r="95" ht="10.35" customHeight="1" x14ac:dyDescent="0.2"/>
    <row r="96" ht="10.35" customHeight="1" x14ac:dyDescent="0.2"/>
    <row r="97" ht="10.35" customHeight="1" x14ac:dyDescent="0.2"/>
    <row r="98" ht="10.35" customHeight="1" x14ac:dyDescent="0.2"/>
    <row r="99" ht="6" customHeight="1" x14ac:dyDescent="0.2"/>
    <row r="100" ht="10.35" customHeight="1" x14ac:dyDescent="0.2"/>
    <row r="101" ht="6" customHeight="1" x14ac:dyDescent="0.2"/>
    <row r="104" ht="10.35" customHeight="1" x14ac:dyDescent="0.2"/>
  </sheetData>
  <sheetProtection algorithmName="SHA-512" hashValue="pCXn0sKHI6RUYIJcAOCPs1TlZys5nRpPBvE7JwoFQc9T5e+W2UYPEGvtMdcUMfJsxqECQUbvyYgT1BfLq+yGvg==" saltValue="M6zfDFDkf1IPnw/nOSdylg==" spinCount="100000" sheet="1" objects="1" scenarios="1" autoFilter="0"/>
  <customSheetViews>
    <customSheetView guid="{B08879A4-635B-4C39-9937-AC7883D562FC}" showGridLines="0" fitToPage="1" hiddenColumns="1" topLeftCell="B1">
      <selection activeCell="B12" sqref="B12"/>
      <rowBreaks count="1" manualBreakCount="1">
        <brk id="47" max="16383" man="1"/>
      </rowBreaks>
      <pageMargins left="0.75" right="0.5" top="0.5" bottom="0.5" header="0.5" footer="0.5"/>
      <pageSetup orientation="portrait" r:id="rId1"/>
      <headerFooter alignWithMargins="0">
        <oddFooter>&amp;R&amp;A</oddFooter>
      </headerFooter>
    </customSheetView>
    <customSheetView guid="{1250FD07-FF56-4A9D-AF9E-C27124A7EBE9}" showGridLines="0" fitToPage="1" showRuler="0">
      <selection sqref="A1:K1"/>
      <rowBreaks count="1" manualBreakCount="1">
        <brk id="46" max="16383" man="1"/>
      </rowBreaks>
      <pageMargins left="0.75" right="0.5" top="0.5" bottom="0.5" header="0.5" footer="0.5"/>
      <pageSetup orientation="portrait" r:id="rId2"/>
      <headerFooter alignWithMargins="0">
        <oddFooter>&amp;R&amp;A</oddFooter>
      </headerFooter>
    </customSheetView>
    <customSheetView guid="{BEA4BE86-04D1-4C96-9358-7A260B9D2B2D}" showGridLines="0" fitToPage="1" showRuler="0">
      <selection sqref="A1:K1"/>
      <rowBreaks count="1" manualBreakCount="1">
        <brk id="46" max="16383" man="1"/>
      </rowBreaks>
      <pageMargins left="0.75" right="0.5" top="0.5" bottom="0.5" header="0.5" footer="0.5"/>
      <pageSetup orientation="portrait" r:id="rId3"/>
      <headerFooter alignWithMargins="0">
        <oddFooter>&amp;R&amp;A</oddFooter>
      </headerFooter>
    </customSheetView>
    <customSheetView guid="{9FCFC836-1CA5-48BF-958D-24D2EA94B219}" showGridLines="0" fitToPage="1" hiddenColumns="1" topLeftCell="B1">
      <selection activeCell="B12" sqref="B12"/>
      <rowBreaks count="1" manualBreakCount="1">
        <brk id="47" max="16383" man="1"/>
      </rowBreaks>
      <pageMargins left="0.75" right="0.5" top="0.5" bottom="0.5" header="0.5" footer="0.5"/>
      <pageSetup orientation="portrait" r:id="rId4"/>
      <headerFooter alignWithMargins="0">
        <oddFooter>&amp;R&amp;A</oddFooter>
      </headerFooter>
    </customSheetView>
  </customSheetViews>
  <mergeCells count="13">
    <mergeCell ref="M1:M3"/>
    <mergeCell ref="G29:I29"/>
    <mergeCell ref="K44:L44"/>
    <mergeCell ref="B47:L47"/>
    <mergeCell ref="B1:L1"/>
    <mergeCell ref="B2:L2"/>
    <mergeCell ref="B3:L3"/>
    <mergeCell ref="J5:L5"/>
    <mergeCell ref="J6:L6"/>
    <mergeCell ref="J7:L7"/>
    <mergeCell ref="D5:E5"/>
    <mergeCell ref="D7:E7"/>
    <mergeCell ref="J8:L8"/>
  </mergeCells>
  <phoneticPr fontId="15" type="noConversion"/>
  <conditionalFormatting sqref="M1:M3">
    <cfRule type="cellIs" dxfId="117" priority="3" stopIfTrue="1" operator="equal">
      <formula>"na"</formula>
    </cfRule>
  </conditionalFormatting>
  <conditionalFormatting sqref="K44:L44">
    <cfRule type="containsText" dxfId="116" priority="2" stopIfTrue="1" operator="containsText" text="Answer Missing">
      <formula>NOT(ISERROR(SEARCH("Answer Missing",K44)))</formula>
    </cfRule>
  </conditionalFormatting>
  <conditionalFormatting sqref="G29:I29">
    <cfRule type="containsText" dxfId="115" priority="1" stopIfTrue="1" operator="containsText" text="Answer Missing">
      <formula>NOT(ISERROR(SEARCH("Answer Missing",G29)))</formula>
    </cfRule>
  </conditionalFormatting>
  <hyperlinks>
    <hyperlink ref="B1:L1" location="Index!A1" display="Index!A1" xr:uid="{00000000-0004-0000-1900-000000000000}"/>
  </hyperlinks>
  <pageMargins left="0.75" right="0.5" top="0.5" bottom="0.5" header="0.5" footer="0.5"/>
  <pageSetup scale="97" orientation="portrait" r:id="rId5"/>
  <headerFooter alignWithMargins="0">
    <oddFooter>&amp;R&amp;A</oddFooter>
  </headerFooter>
  <rowBreaks count="1" manualBreakCount="1">
    <brk id="48"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dimension ref="A1:L39"/>
  <sheetViews>
    <sheetView showGridLines="0" zoomScaleNormal="100" workbookViewId="0">
      <selection activeCell="F34" sqref="F34"/>
    </sheetView>
  </sheetViews>
  <sheetFormatPr defaultRowHeight="12.75" x14ac:dyDescent="0.2"/>
  <cols>
    <col min="1" max="1" width="9.42578125" customWidth="1"/>
    <col min="2" max="2" width="6.42578125" customWidth="1"/>
    <col min="3" max="3" width="10.5703125" customWidth="1"/>
    <col min="4" max="4" width="8" customWidth="1"/>
    <col min="5" max="5" width="6.5703125" customWidth="1"/>
    <col min="6" max="6" width="22.5703125" customWidth="1"/>
    <col min="7" max="7" width="2.42578125" customWidth="1"/>
    <col min="8" max="8" width="20" customWidth="1"/>
    <col min="9" max="9" width="2.42578125" customWidth="1"/>
    <col min="10" max="10" width="16.5703125" customWidth="1"/>
    <col min="11" max="11" width="2.42578125" customWidth="1"/>
    <col min="12" max="12" width="22.5703125" customWidth="1"/>
  </cols>
  <sheetData>
    <row r="1" spans="1:12" ht="15.75" x14ac:dyDescent="0.25">
      <c r="A1" s="2449" t="str">
        <f>+Index!$A$1</f>
        <v xml:space="preserve">                                                               Office of the State Controller                                                                </v>
      </c>
      <c r="B1" s="2449"/>
      <c r="C1" s="2449"/>
      <c r="D1" s="2449"/>
      <c r="E1" s="2449"/>
      <c r="F1" s="2449"/>
      <c r="G1" s="2449"/>
      <c r="H1" s="2449"/>
      <c r="I1" s="2449"/>
      <c r="J1" s="2449"/>
      <c r="K1" s="2449"/>
      <c r="L1" s="2450" t="str">
        <f>IF(Index!$B$48="na","NA","")</f>
        <v/>
      </c>
    </row>
    <row r="2" spans="1:12" ht="15.75" x14ac:dyDescent="0.25">
      <c r="A2" s="2431" t="str">
        <f>+Index!$A$2</f>
        <v>2022 ACFR Worksheets</v>
      </c>
      <c r="B2" s="2378"/>
      <c r="C2" s="2378"/>
      <c r="D2" s="2378"/>
      <c r="E2" s="2378"/>
      <c r="F2" s="2378"/>
      <c r="G2" s="2378"/>
      <c r="H2" s="2378"/>
      <c r="I2" s="2378"/>
      <c r="J2" s="2378"/>
      <c r="K2" s="2378"/>
      <c r="L2" s="2450"/>
    </row>
    <row r="3" spans="1:12" ht="15.75" x14ac:dyDescent="0.25">
      <c r="A3" s="2431" t="s">
        <v>3554</v>
      </c>
      <c r="B3" s="2378"/>
      <c r="C3" s="2378"/>
      <c r="D3" s="2378"/>
      <c r="E3" s="2378"/>
      <c r="F3" s="2378"/>
      <c r="G3" s="2378"/>
      <c r="H3" s="2378"/>
      <c r="I3" s="2378"/>
      <c r="J3" s="2378"/>
      <c r="K3" s="2378"/>
      <c r="L3" s="2450"/>
    </row>
    <row r="4" spans="1:12" x14ac:dyDescent="0.2">
      <c r="A4" s="14"/>
      <c r="B4" s="14"/>
      <c r="C4" s="14"/>
      <c r="D4" s="14"/>
      <c r="E4" s="14"/>
      <c r="F4" s="14"/>
      <c r="G4" s="14"/>
      <c r="H4" s="14"/>
      <c r="I4" s="2629" t="s">
        <v>1281</v>
      </c>
      <c r="J4" s="2516"/>
      <c r="K4" s="2516"/>
      <c r="L4" s="2516"/>
    </row>
    <row r="5" spans="1:12" x14ac:dyDescent="0.2">
      <c r="A5" s="5"/>
      <c r="B5" s="121"/>
      <c r="C5" s="2611"/>
      <c r="D5" s="2611"/>
      <c r="E5" s="520"/>
      <c r="F5" s="520"/>
      <c r="G5" s="14"/>
      <c r="H5" s="6" t="s">
        <v>327</v>
      </c>
      <c r="J5" s="2609" t="str">
        <f>+Index!$E$10</f>
        <v>01</v>
      </c>
      <c r="K5" s="2548"/>
      <c r="L5" s="2548"/>
    </row>
    <row r="6" spans="1:12" x14ac:dyDescent="0.2">
      <c r="A6" s="14"/>
      <c r="B6" s="14"/>
      <c r="C6" s="14"/>
      <c r="D6" s="14"/>
      <c r="E6" s="14"/>
      <c r="F6" s="14"/>
      <c r="G6" s="14"/>
      <c r="H6" s="6" t="s">
        <v>1154</v>
      </c>
      <c r="J6" s="2625" t="str">
        <f>+Index!$E$11</f>
        <v>North Carolina General Assembly</v>
      </c>
      <c r="K6" s="2498"/>
      <c r="L6" s="2498"/>
    </row>
    <row r="7" spans="1:12" x14ac:dyDescent="0.2">
      <c r="A7" s="5" t="s">
        <v>477</v>
      </c>
      <c r="B7" s="121"/>
      <c r="C7" s="2626"/>
      <c r="D7" s="2626"/>
      <c r="E7" s="5"/>
      <c r="F7" s="5"/>
      <c r="G7" s="14"/>
      <c r="H7" s="6" t="s">
        <v>972</v>
      </c>
      <c r="J7" s="2627" t="str">
        <f>CONCATENATE(Index!$E$12, " ", Index!$E$14)</f>
        <v xml:space="preserve"> </v>
      </c>
      <c r="K7" s="2498"/>
      <c r="L7" s="2498"/>
    </row>
    <row r="8" spans="1:12" x14ac:dyDescent="0.2">
      <c r="A8" s="5"/>
      <c r="B8" s="121"/>
      <c r="C8" s="520"/>
      <c r="D8" s="520"/>
      <c r="E8" s="5"/>
      <c r="F8" s="5"/>
      <c r="G8" s="14"/>
      <c r="H8" s="6" t="s">
        <v>348</v>
      </c>
      <c r="J8" s="2628">
        <f>+Index!$E$13</f>
        <v>0</v>
      </c>
      <c r="K8" s="2548"/>
      <c r="L8" s="2548"/>
    </row>
    <row r="9" spans="1:12" ht="13.5" thickBot="1" x14ac:dyDescent="0.25">
      <c r="A9" s="521"/>
      <c r="B9" s="521"/>
      <c r="C9" s="521"/>
      <c r="D9" s="521"/>
      <c r="E9" s="521"/>
      <c r="F9" s="521"/>
      <c r="G9" s="522"/>
      <c r="H9" s="521"/>
      <c r="I9" s="521"/>
      <c r="J9" s="521"/>
      <c r="K9" s="521"/>
      <c r="L9" s="521"/>
    </row>
    <row r="10" spans="1:12" ht="6" customHeight="1" x14ac:dyDescent="0.2">
      <c r="A10" s="121"/>
      <c r="B10" s="121"/>
      <c r="C10" s="121"/>
      <c r="D10" s="121"/>
      <c r="E10" s="121"/>
      <c r="F10" s="121"/>
      <c r="G10" s="14"/>
      <c r="H10" s="121"/>
      <c r="I10" s="121"/>
      <c r="J10" s="121"/>
      <c r="K10" s="121"/>
      <c r="L10" s="14"/>
    </row>
    <row r="11" spans="1:12" ht="14.1" customHeight="1" x14ac:dyDescent="0.2">
      <c r="A11" s="14" t="s">
        <v>1283</v>
      </c>
    </row>
    <row r="12" spans="1:12" ht="14.1" customHeight="1" x14ac:dyDescent="0.2">
      <c r="A12" s="14" t="s">
        <v>1278</v>
      </c>
    </row>
    <row r="13" spans="1:12" ht="14.1" customHeight="1" x14ac:dyDescent="0.2">
      <c r="A13" s="14" t="s">
        <v>1279</v>
      </c>
    </row>
    <row r="14" spans="1:12" ht="14.1" customHeight="1" x14ac:dyDescent="0.2">
      <c r="A14" s="14" t="s">
        <v>1280</v>
      </c>
    </row>
    <row r="15" spans="1:12" ht="10.35" customHeight="1" x14ac:dyDescent="0.2"/>
    <row r="16" spans="1:12" ht="14.1" customHeight="1" x14ac:dyDescent="0.2">
      <c r="A16" t="str">
        <f>"-    Resources restricted or designated for the acquisition/construction of the government's own capital assets"</f>
        <v>-    Resources restricted or designated for the acquisition/construction of the government's own capital assets</v>
      </c>
    </row>
    <row r="17" spans="1:12" ht="14.1" customHeight="1" x14ac:dyDescent="0.2">
      <c r="A17" t="str">
        <f>"-    Resources legally segregated for the payment of principal and interest only (as required by debt covenants) and"</f>
        <v>-    Resources legally segregated for the payment of principal and interest only (as required by debt covenants) and</v>
      </c>
    </row>
    <row r="18" spans="1:12" ht="14.1" customHeight="1" x14ac:dyDescent="0.2">
      <c r="A18" s="14" t="s">
        <v>1274</v>
      </c>
    </row>
    <row r="19" spans="1:12" ht="14.1" customHeight="1" x14ac:dyDescent="0.2">
      <c r="A19" t="str">
        <f>"-    Temporarily  invested debt proceeds"</f>
        <v>-    Temporarily  invested debt proceeds</v>
      </c>
      <c r="J19" s="1161"/>
    </row>
    <row r="20" spans="1:12" ht="14.1" customHeight="1" x14ac:dyDescent="0.2">
      <c r="A20" t="str">
        <f>"-    Nonexpendable resources of permanent funds"</f>
        <v>-    Nonexpendable resources of permanent funds</v>
      </c>
    </row>
    <row r="21" spans="1:12" ht="10.35" customHeight="1" x14ac:dyDescent="0.2"/>
    <row r="22" spans="1:12" ht="14.1" customHeight="1" x14ac:dyDescent="0.2">
      <c r="A22" s="15" t="s">
        <v>1282</v>
      </c>
      <c r="H22" s="942" t="s">
        <v>4240</v>
      </c>
      <c r="J22" s="1161" t="s">
        <v>4241</v>
      </c>
    </row>
    <row r="23" spans="1:12" ht="6" customHeight="1" thickBot="1" x14ac:dyDescent="0.25">
      <c r="A23" s="837"/>
      <c r="B23" s="838"/>
      <c r="C23" s="838"/>
      <c r="D23" s="838"/>
      <c r="E23" s="838"/>
      <c r="F23" s="838"/>
      <c r="G23" s="838"/>
      <c r="H23" s="838"/>
      <c r="I23" s="838"/>
      <c r="J23" s="838"/>
      <c r="K23" s="838"/>
      <c r="L23" s="838"/>
    </row>
    <row r="24" spans="1:12" ht="8.1" customHeight="1" x14ac:dyDescent="0.2"/>
    <row r="25" spans="1:12" ht="15" customHeight="1" x14ac:dyDescent="0.2">
      <c r="A25" s="665" t="s">
        <v>3565</v>
      </c>
      <c r="B25" s="330"/>
      <c r="C25" s="330"/>
      <c r="D25" s="330"/>
      <c r="E25" s="330"/>
      <c r="F25" s="330"/>
      <c r="G25" s="330"/>
      <c r="H25" s="330"/>
      <c r="I25" s="330"/>
      <c r="J25" s="330"/>
      <c r="K25" s="330"/>
      <c r="L25" s="330"/>
    </row>
    <row r="26" spans="1:12" ht="15" customHeight="1" x14ac:dyDescent="0.2">
      <c r="A26" s="665" t="s">
        <v>4880</v>
      </c>
      <c r="B26" s="330"/>
      <c r="C26" s="330"/>
      <c r="D26" s="330"/>
      <c r="E26" s="330"/>
      <c r="F26" s="330"/>
      <c r="G26" s="330"/>
      <c r="H26" s="330"/>
      <c r="I26" s="330"/>
      <c r="J26" s="330"/>
      <c r="K26" s="330"/>
      <c r="L26" s="330"/>
    </row>
    <row r="27" spans="1:12" ht="12.75" customHeight="1" x14ac:dyDescent="0.2">
      <c r="A27" s="1865" t="s">
        <v>4396</v>
      </c>
      <c r="B27" s="1866"/>
      <c r="C27" s="1866"/>
      <c r="D27" s="1866"/>
      <c r="E27" s="1866"/>
      <c r="F27" s="1866"/>
      <c r="G27" s="1866"/>
      <c r="H27" s="1866"/>
      <c r="I27" s="1866"/>
      <c r="J27" s="1866"/>
    </row>
    <row r="28" spans="1:12" ht="15" customHeight="1" x14ac:dyDescent="0.2">
      <c r="A28" s="889" t="s">
        <v>1305</v>
      </c>
    </row>
    <row r="29" spans="1:12" ht="8.1" customHeight="1" x14ac:dyDescent="0.2">
      <c r="A29" s="839"/>
    </row>
    <row r="30" spans="1:12" ht="15" customHeight="1" x14ac:dyDescent="0.2">
      <c r="A30" s="839" t="s">
        <v>4669</v>
      </c>
    </row>
    <row r="31" spans="1:12" ht="8.1" customHeight="1" x14ac:dyDescent="0.2">
      <c r="A31" s="839"/>
    </row>
    <row r="32" spans="1:12" ht="39" customHeight="1" x14ac:dyDescent="0.2">
      <c r="F32" s="638" t="s">
        <v>1270</v>
      </c>
      <c r="H32" s="638" t="s">
        <v>1271</v>
      </c>
      <c r="J32" s="638" t="s">
        <v>1272</v>
      </c>
      <c r="L32" s="638" t="s">
        <v>1273</v>
      </c>
    </row>
    <row r="33" spans="1:12" ht="18" customHeight="1" x14ac:dyDescent="0.2">
      <c r="A33" s="2" t="s">
        <v>557</v>
      </c>
      <c r="F33" s="861"/>
      <c r="H33" s="861"/>
      <c r="J33" s="861"/>
      <c r="L33" s="861"/>
    </row>
    <row r="34" spans="1:12" ht="18" customHeight="1" x14ac:dyDescent="0.2">
      <c r="A34" s="2" t="s">
        <v>270</v>
      </c>
      <c r="F34" s="861"/>
      <c r="H34" s="861"/>
      <c r="J34" s="861"/>
      <c r="L34" s="861"/>
    </row>
    <row r="35" spans="1:12" ht="18" customHeight="1" x14ac:dyDescent="0.2">
      <c r="A35" s="2" t="s">
        <v>548</v>
      </c>
      <c r="F35" s="861"/>
      <c r="H35" s="861"/>
      <c r="J35" s="861"/>
      <c r="L35" s="861"/>
    </row>
    <row r="36" spans="1:12" ht="18" customHeight="1" x14ac:dyDescent="0.2">
      <c r="A36" s="2" t="s">
        <v>1276</v>
      </c>
      <c r="F36" s="861"/>
      <c r="H36" s="861"/>
      <c r="J36" s="861"/>
      <c r="L36" s="861"/>
    </row>
    <row r="37" spans="1:12" ht="18" customHeight="1" x14ac:dyDescent="0.2">
      <c r="A37" s="2" t="s">
        <v>1455</v>
      </c>
      <c r="F37" s="861"/>
      <c r="H37" s="861"/>
      <c r="J37" s="861"/>
      <c r="L37" s="861"/>
    </row>
    <row r="38" spans="1:12" ht="18" customHeight="1" x14ac:dyDescent="0.2">
      <c r="A38" s="2" t="s">
        <v>1277</v>
      </c>
    </row>
    <row r="39" spans="1:12" ht="15" customHeight="1" x14ac:dyDescent="0.2">
      <c r="A39" s="435"/>
      <c r="B39" s="862"/>
      <c r="C39" s="862"/>
      <c r="D39" s="862"/>
      <c r="F39" s="861"/>
      <c r="H39" s="861"/>
      <c r="J39" s="861"/>
      <c r="L39" s="861"/>
    </row>
  </sheetData>
  <sheetProtection algorithmName="SHA-512" hashValue="RBNuBu2qenqJxNXDSsOuQgiy25yYMuOfnVK0KPuCeJAMksWUHLAGGlCn6UOIX7nu3CgpKdKwsQsOG9z70A7OLg==" saltValue="kFnSoiiaVbe6r8IwTqT9nA==" spinCount="100000" sheet="1" objects="1" scenarios="1" autoFilter="0"/>
  <customSheetViews>
    <customSheetView guid="{B08879A4-635B-4C39-9937-AC7883D562FC}" showGridLines="0">
      <selection sqref="A1:K1"/>
      <pageMargins left="0.5" right="0.5" top="0.5" bottom="0.5" header="0.3" footer="0.3"/>
      <pageSetup orientation="landscape" r:id="rId1"/>
      <headerFooter>
        <oddFooter>&amp;R&amp;A</oddFooter>
      </headerFooter>
    </customSheetView>
    <customSheetView guid="{9FCFC836-1CA5-48BF-958D-24D2EA94B219}" showGridLines="0">
      <selection sqref="A1:K1"/>
      <pageMargins left="0.5" right="0.5" top="0.5" bottom="0.5" header="0.3" footer="0.3"/>
      <pageSetup orientation="landscape" r:id="rId2"/>
      <headerFooter>
        <oddFooter>&amp;R&amp;A</oddFooter>
      </headerFooter>
    </customSheetView>
  </customSheetViews>
  <mergeCells count="11">
    <mergeCell ref="A1:K1"/>
    <mergeCell ref="L1:L3"/>
    <mergeCell ref="A2:K2"/>
    <mergeCell ref="A3:K3"/>
    <mergeCell ref="I4:L4"/>
    <mergeCell ref="J5:L5"/>
    <mergeCell ref="J6:L6"/>
    <mergeCell ref="C7:D7"/>
    <mergeCell ref="J7:L7"/>
    <mergeCell ref="J8:L8"/>
    <mergeCell ref="C5:D5"/>
  </mergeCells>
  <conditionalFormatting sqref="L1:L3">
    <cfRule type="cellIs" dxfId="114" priority="3" stopIfTrue="1" operator="equal">
      <formula>"na"</formula>
    </cfRule>
  </conditionalFormatting>
  <hyperlinks>
    <hyperlink ref="A1:K1" location="Index!A1" display="Index!A1" xr:uid="{00000000-0004-0000-1A00-000000000000}"/>
    <hyperlink ref="J22" r:id="rId3" xr:uid="{00000000-0004-0000-1A00-000001000000}"/>
  </hyperlinks>
  <pageMargins left="0.5" right="0.5" top="0.5" bottom="0.5" header="0.3" footer="0.3"/>
  <pageSetup orientation="landscape" r:id="rId4"/>
  <headerFooter>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pageSetUpPr fitToPage="1"/>
  </sheetPr>
  <dimension ref="A1:O21"/>
  <sheetViews>
    <sheetView showGridLines="0" zoomScaleNormal="100" workbookViewId="0">
      <selection activeCell="T32" sqref="T32"/>
    </sheetView>
  </sheetViews>
  <sheetFormatPr defaultColWidth="9.42578125" defaultRowHeight="10.5" x14ac:dyDescent="0.15"/>
  <cols>
    <col min="1" max="1" width="21.42578125" style="21" customWidth="1"/>
    <col min="2" max="2" width="1.42578125" style="21" customWidth="1"/>
    <col min="3" max="3" width="19.5703125" style="21" bestFit="1" customWidth="1"/>
    <col min="4" max="4" width="1.5703125" style="21" customWidth="1"/>
    <col min="5" max="5" width="19.5703125" style="21" customWidth="1"/>
    <col min="6" max="6" width="1.5703125" style="21" customWidth="1"/>
    <col min="7" max="7" width="20" style="21" customWidth="1"/>
    <col min="8" max="8" width="4" style="21" customWidth="1"/>
    <col min="9" max="9" width="17.5703125" style="21" customWidth="1"/>
    <col min="10" max="10" width="4.5703125" style="21" customWidth="1"/>
    <col min="11" max="11" width="3.42578125" style="21" customWidth="1"/>
    <col min="12" max="14" width="1.5703125" style="21" customWidth="1"/>
    <col min="15" max="15" width="4.5703125" style="21" customWidth="1"/>
    <col min="16" max="17" width="1.5703125" style="21" customWidth="1"/>
    <col min="18" max="16384" width="9.42578125" style="21"/>
  </cols>
  <sheetData>
    <row r="1" spans="1:15" s="20" customFormat="1" ht="25.15" customHeight="1" x14ac:dyDescent="0.25">
      <c r="A1" s="2449" t="str">
        <f>+Index!$A$1</f>
        <v xml:space="preserve">                                                               Office of the State Controller                                                                </v>
      </c>
      <c r="B1" s="2449"/>
      <c r="C1" s="2449"/>
      <c r="D1" s="2449"/>
      <c r="E1" s="2449"/>
      <c r="F1" s="2449"/>
      <c r="G1" s="2449"/>
      <c r="H1" s="2449"/>
      <c r="I1" s="2449"/>
      <c r="J1" s="1424" t="str">
        <f>IF(Index!$B$49="na","NA","")</f>
        <v/>
      </c>
    </row>
    <row r="2" spans="1:15" s="20" customFormat="1" ht="15" customHeight="1" x14ac:dyDescent="0.25">
      <c r="A2" s="2631" t="str">
        <f>+Index!$A$2</f>
        <v>2022 ACFR Worksheets</v>
      </c>
      <c r="B2" s="2631"/>
      <c r="C2" s="2631"/>
      <c r="D2" s="2631"/>
      <c r="E2" s="2631"/>
      <c r="F2" s="2631"/>
      <c r="G2" s="2631"/>
      <c r="H2" s="2631"/>
      <c r="I2" s="2631"/>
      <c r="J2" s="1424"/>
    </row>
    <row r="3" spans="1:15" s="20" customFormat="1" ht="15" customHeight="1" x14ac:dyDescent="0.25">
      <c r="A3" s="2632" t="s">
        <v>3592</v>
      </c>
      <c r="B3" s="2632"/>
      <c r="C3" s="2632"/>
      <c r="D3" s="2632"/>
      <c r="E3" s="2632"/>
      <c r="F3" s="2632"/>
      <c r="G3" s="2632"/>
      <c r="H3" s="2632"/>
      <c r="I3" s="2632"/>
      <c r="J3" s="1424"/>
    </row>
    <row r="4" spans="1:15" s="22" customFormat="1" ht="15" customHeight="1" x14ac:dyDescent="0.2">
      <c r="E4" s="795" t="s">
        <v>3730</v>
      </c>
      <c r="G4" s="795"/>
      <c r="H4" s="795"/>
    </row>
    <row r="5" spans="1:15" s="22" customFormat="1" ht="6" customHeight="1" x14ac:dyDescent="0.2">
      <c r="D5" s="253"/>
      <c r="E5" s="253"/>
      <c r="G5" s="2633"/>
      <c r="H5" s="2633"/>
      <c r="I5" s="2633"/>
    </row>
    <row r="6" spans="1:15" s="22" customFormat="1" ht="15" customHeight="1" x14ac:dyDescent="0.2">
      <c r="A6" s="796" t="s">
        <v>327</v>
      </c>
      <c r="B6" s="796"/>
      <c r="C6" s="797" t="str">
        <f>Index!$E$10</f>
        <v>01</v>
      </c>
      <c r="D6" s="253"/>
      <c r="E6" s="253"/>
      <c r="F6" s="23" t="s">
        <v>1154</v>
      </c>
      <c r="G6" s="2634" t="str">
        <f>+Index!$E$11</f>
        <v>North Carolina General Assembly</v>
      </c>
      <c r="H6" s="2634"/>
      <c r="I6" s="2634"/>
    </row>
    <row r="7" spans="1:15" s="22" customFormat="1" ht="15" customHeight="1" x14ac:dyDescent="0.2">
      <c r="D7" s="253"/>
      <c r="E7" s="253"/>
      <c r="F7" s="23" t="s">
        <v>972</v>
      </c>
      <c r="G7" s="2630" t="str">
        <f>CONCATENATE(Index!$E$12," ",Index!$E$14)</f>
        <v xml:space="preserve"> </v>
      </c>
      <c r="H7" s="2630"/>
      <c r="I7" s="2630"/>
    </row>
    <row r="8" spans="1:15" s="22" customFormat="1" ht="15" customHeight="1" x14ac:dyDescent="0.2">
      <c r="C8" s="793"/>
      <c r="D8" s="253"/>
      <c r="E8" s="253"/>
      <c r="F8" s="23" t="s">
        <v>348</v>
      </c>
      <c r="G8" s="2630">
        <f>+Index!$E$13</f>
        <v>0</v>
      </c>
      <c r="H8" s="2630"/>
      <c r="I8" s="2630"/>
    </row>
    <row r="9" spans="1:15" s="22" customFormat="1" ht="6" customHeight="1" thickBot="1" x14ac:dyDescent="0.25">
      <c r="A9" s="120"/>
      <c r="B9" s="120"/>
      <c r="C9" s="120"/>
      <c r="D9" s="120"/>
      <c r="E9" s="120"/>
      <c r="F9" s="120"/>
      <c r="G9" s="120"/>
      <c r="H9" s="120"/>
      <c r="I9" s="120"/>
    </row>
    <row r="10" spans="1:15" s="22" customFormat="1" ht="5.25" customHeight="1" x14ac:dyDescent="0.2"/>
    <row r="11" spans="1:15" s="22" customFormat="1" ht="15.75" customHeight="1" x14ac:dyDescent="0.2">
      <c r="A11" s="868" t="s">
        <v>4853</v>
      </c>
      <c r="B11" s="868"/>
      <c r="C11" s="869"/>
      <c r="D11" s="869"/>
      <c r="E11" s="869"/>
      <c r="F11" s="489"/>
      <c r="G11" s="489"/>
      <c r="H11" s="489"/>
      <c r="I11" s="870"/>
      <c r="J11" s="489"/>
      <c r="K11" s="489"/>
      <c r="L11" s="489"/>
      <c r="M11" s="489"/>
      <c r="N11" s="489"/>
      <c r="O11" s="489"/>
    </row>
    <row r="12" spans="1:15" s="22" customFormat="1" ht="15.75" customHeight="1" x14ac:dyDescent="0.2">
      <c r="A12" s="871"/>
      <c r="B12" s="871"/>
      <c r="C12" s="871"/>
      <c r="D12" s="871"/>
      <c r="E12" s="872" t="s">
        <v>409</v>
      </c>
      <c r="F12" s="873"/>
      <c r="G12" s="872" t="s">
        <v>410</v>
      </c>
      <c r="H12" s="874"/>
      <c r="I12" s="872" t="s">
        <v>84</v>
      </c>
      <c r="J12" s="874"/>
      <c r="K12" s="874"/>
      <c r="L12" s="874"/>
      <c r="M12" s="874"/>
      <c r="N12" s="874"/>
      <c r="O12" s="874"/>
    </row>
    <row r="13" spans="1:15" s="22" customFormat="1" ht="15.75" customHeight="1" x14ac:dyDescent="0.2">
      <c r="A13" s="871"/>
      <c r="B13" s="871"/>
      <c r="C13" s="871"/>
      <c r="D13" s="871"/>
      <c r="E13" s="870"/>
      <c r="F13" s="873"/>
      <c r="G13" s="870"/>
      <c r="H13" s="874"/>
      <c r="I13" s="874"/>
      <c r="J13" s="874"/>
      <c r="K13" s="874"/>
      <c r="L13" s="874"/>
      <c r="M13" s="874"/>
      <c r="N13" s="874"/>
      <c r="O13" s="874"/>
    </row>
    <row r="14" spans="1:15" s="22" customFormat="1" ht="15.75" customHeight="1" x14ac:dyDescent="0.2">
      <c r="A14" s="871" t="s">
        <v>1300</v>
      </c>
      <c r="B14" s="871"/>
      <c r="C14" s="871"/>
      <c r="D14" s="871"/>
      <c r="E14" s="875"/>
      <c r="F14" s="874"/>
      <c r="G14" s="875"/>
      <c r="H14" s="874"/>
      <c r="I14" s="876">
        <f>E14+G14</f>
        <v>0</v>
      </c>
      <c r="J14" s="251" t="s">
        <v>1299</v>
      </c>
    </row>
    <row r="15" spans="1:15" s="22" customFormat="1" ht="15.75" customHeight="1" x14ac:dyDescent="0.2">
      <c r="A15" s="871" t="s">
        <v>411</v>
      </c>
      <c r="B15" s="871"/>
      <c r="C15" s="871"/>
      <c r="D15" s="871"/>
      <c r="E15" s="877"/>
      <c r="F15" s="874"/>
      <c r="G15" s="877"/>
      <c r="H15" s="874"/>
      <c r="I15" s="885">
        <f>E15+G15</f>
        <v>0</v>
      </c>
      <c r="J15" s="874"/>
      <c r="K15" s="874"/>
      <c r="L15" s="874"/>
      <c r="M15" s="874"/>
      <c r="N15" s="874"/>
      <c r="O15" s="874"/>
    </row>
    <row r="16" spans="1:15" s="22" customFormat="1" ht="15.75" customHeight="1" x14ac:dyDescent="0.2">
      <c r="A16" s="871"/>
      <c r="B16" s="871"/>
      <c r="C16" s="871"/>
      <c r="D16" s="871"/>
      <c r="E16" s="878"/>
      <c r="F16" s="874"/>
      <c r="G16" s="878"/>
      <c r="H16" s="874"/>
      <c r="I16" s="874"/>
      <c r="J16" s="874"/>
      <c r="K16" s="874"/>
      <c r="L16" s="874"/>
      <c r="M16" s="874"/>
      <c r="N16" s="874"/>
      <c r="O16" s="874"/>
    </row>
    <row r="17" spans="1:12" s="22" customFormat="1" ht="15.75" customHeight="1" x14ac:dyDescent="0.2">
      <c r="A17" s="880" t="s">
        <v>4912</v>
      </c>
      <c r="B17" s="879"/>
      <c r="C17" s="880"/>
      <c r="D17" s="881"/>
      <c r="E17" s="880"/>
      <c r="F17" s="880"/>
      <c r="L17" s="881"/>
    </row>
    <row r="18" spans="1:12" s="22" customFormat="1" ht="15.75" customHeight="1" x14ac:dyDescent="0.2">
      <c r="A18" s="2030" t="s">
        <v>4854</v>
      </c>
      <c r="B18" s="879"/>
      <c r="C18" s="880"/>
      <c r="D18" s="881"/>
      <c r="E18" s="880"/>
      <c r="F18" s="880"/>
      <c r="G18" s="882" t="s">
        <v>969</v>
      </c>
      <c r="H18" s="883"/>
      <c r="I18" s="882" t="s">
        <v>970</v>
      </c>
      <c r="J18" s="883"/>
      <c r="L18" s="881"/>
    </row>
    <row r="19" spans="1:12" s="22" customFormat="1" ht="15.75" customHeight="1" x14ac:dyDescent="0.25">
      <c r="A19" s="866"/>
      <c r="B19" s="866"/>
      <c r="C19" s="736"/>
      <c r="D19" s="736"/>
      <c r="E19" s="736"/>
      <c r="F19" s="736"/>
      <c r="G19" s="867"/>
    </row>
    <row r="20" spans="1:12" s="22" customFormat="1" ht="15.75" customHeight="1" x14ac:dyDescent="0.2">
      <c r="A20" s="884" t="s">
        <v>1298</v>
      </c>
      <c r="B20" s="884"/>
      <c r="D20" s="874"/>
      <c r="E20" s="874"/>
      <c r="F20" s="874"/>
      <c r="G20" s="882" t="s">
        <v>969</v>
      </c>
      <c r="H20" s="883"/>
      <c r="I20" s="882" t="s">
        <v>970</v>
      </c>
      <c r="J20" s="883"/>
      <c r="L20" s="881"/>
    </row>
    <row r="21" spans="1:12" s="22" customFormat="1" ht="15.75" customHeight="1" x14ac:dyDescent="0.25">
      <c r="A21" s="866"/>
      <c r="B21" s="866"/>
      <c r="C21" s="736"/>
      <c r="D21" s="736"/>
      <c r="E21" s="736"/>
      <c r="F21" s="736"/>
      <c r="G21" s="736"/>
      <c r="H21" s="260"/>
      <c r="I21" s="867"/>
    </row>
  </sheetData>
  <sheetProtection algorithmName="SHA-512" hashValue="kqzcfGC8CQzPwZ6KwBpzKWCs48SBGdGXfM/vEj5QeautQy5fZMJWD+fJiJPKvSPORf3NsbsvksI7/92QirubiA==" saltValue="/KJ96psu0s0kyGc/SBWvrg==" spinCount="100000" sheet="1" objects="1" scenarios="1" autoFilter="0"/>
  <customSheetViews>
    <customSheetView guid="{B08879A4-635B-4C39-9937-AC7883D562FC}" showGridLines="0" fitToPage="1">
      <selection sqref="A1:I1"/>
      <pageMargins left="0.7" right="0.7" top="0.75" bottom="0.75" header="0.3" footer="0.3"/>
      <pageSetup orientation="landscape" r:id="rId1"/>
      <headerFooter>
        <oddFooter>&amp;R&amp;A</oddFooter>
      </headerFooter>
    </customSheetView>
    <customSheetView guid="{9FCFC836-1CA5-48BF-958D-24D2EA94B219}" showGridLines="0" fitToPage="1">
      <selection sqref="A1:I1"/>
      <pageMargins left="0.7" right="0.7" top="0.75" bottom="0.75" header="0.3" footer="0.3"/>
      <pageSetup orientation="landscape" r:id="rId2"/>
      <headerFooter>
        <oddFooter>&amp;R&amp;A</oddFooter>
      </headerFooter>
    </customSheetView>
  </customSheetViews>
  <mergeCells count="7">
    <mergeCell ref="G7:I7"/>
    <mergeCell ref="G8:I8"/>
    <mergeCell ref="A1:I1"/>
    <mergeCell ref="A2:I2"/>
    <mergeCell ref="A3:I3"/>
    <mergeCell ref="G5:I5"/>
    <mergeCell ref="G6:I6"/>
  </mergeCells>
  <conditionalFormatting sqref="J1:J3">
    <cfRule type="cellIs" dxfId="113" priority="1" stopIfTrue="1" operator="equal">
      <formula>"na"</formula>
    </cfRule>
  </conditionalFormatting>
  <hyperlinks>
    <hyperlink ref="A1:I1" location="Index!A1" display="Index!A1" xr:uid="{00000000-0004-0000-1B00-000000000000}"/>
  </hyperlinks>
  <pageMargins left="0.7" right="0.7" top="0.75" bottom="0.75" header="0.3" footer="0.3"/>
  <pageSetup orientation="landscape" r:id="rId3"/>
  <headerFoot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1519-2F49-4692-BDF8-801FBFE1A3F7}">
  <sheetPr codeName="Sheet97">
    <pageSetUpPr fitToPage="1"/>
  </sheetPr>
  <dimension ref="A1:P61"/>
  <sheetViews>
    <sheetView showGridLines="0" zoomScaleNormal="100" workbookViewId="0">
      <selection activeCell="L1" sqref="L1"/>
    </sheetView>
  </sheetViews>
  <sheetFormatPr defaultColWidth="9.140625" defaultRowHeight="10.5" x14ac:dyDescent="0.15"/>
  <cols>
    <col min="1" max="1" width="15.42578125" style="21" customWidth="1"/>
    <col min="2" max="2" width="1.140625" style="21" customWidth="1"/>
    <col min="3" max="3" width="17.5703125" style="21" customWidth="1"/>
    <col min="4" max="4" width="1.5703125" style="21" customWidth="1"/>
    <col min="5" max="5" width="22.5703125" style="21" customWidth="1"/>
    <col min="6" max="6" width="1.5703125" style="21" customWidth="1"/>
    <col min="7" max="7" width="24.5703125" style="21" bestFit="1" customWidth="1"/>
    <col min="8" max="8" width="1.5703125" style="21" customWidth="1"/>
    <col min="9" max="9" width="22.5703125" style="21" customWidth="1"/>
    <col min="10" max="10" width="1.5703125" style="21" customWidth="1"/>
    <col min="11" max="11" width="24.42578125" style="21" customWidth="1"/>
    <col min="12" max="12" width="7.5703125" style="21" customWidth="1"/>
    <col min="13" max="15" width="1.5703125" style="21" customWidth="1"/>
    <col min="16" max="16" width="4.85546875" style="21" customWidth="1"/>
    <col min="17" max="18" width="1.5703125" style="21" customWidth="1"/>
    <col min="19" max="257" width="9.140625" style="21"/>
    <col min="258" max="258" width="17.85546875" style="21" customWidth="1"/>
    <col min="259" max="259" width="1.140625" style="21" customWidth="1"/>
    <col min="260" max="260" width="30.140625" style="21" customWidth="1"/>
    <col min="261" max="261" width="1.5703125" style="21" customWidth="1"/>
    <col min="262" max="262" width="21.140625" style="21" customWidth="1"/>
    <col min="263" max="263" width="1.5703125" style="21" customWidth="1"/>
    <col min="264" max="264" width="22.140625" style="21" customWidth="1"/>
    <col min="265" max="265" width="5.85546875" style="21" customWidth="1"/>
    <col min="266" max="266" width="27.42578125" style="21" customWidth="1"/>
    <col min="267" max="267" width="4.5703125" style="21" customWidth="1"/>
    <col min="268" max="268" width="3.140625" style="21" customWidth="1"/>
    <col min="269" max="271" width="1.5703125" style="21" customWidth="1"/>
    <col min="272" max="272" width="4.85546875" style="21" customWidth="1"/>
    <col min="273" max="274" width="1.5703125" style="21" customWidth="1"/>
    <col min="275" max="513" width="9.140625" style="21"/>
    <col min="514" max="514" width="17.85546875" style="21" customWidth="1"/>
    <col min="515" max="515" width="1.140625" style="21" customWidth="1"/>
    <col min="516" max="516" width="30.140625" style="21" customWidth="1"/>
    <col min="517" max="517" width="1.5703125" style="21" customWidth="1"/>
    <col min="518" max="518" width="21.140625" style="21" customWidth="1"/>
    <col min="519" max="519" width="1.5703125" style="21" customWidth="1"/>
    <col min="520" max="520" width="22.140625" style="21" customWidth="1"/>
    <col min="521" max="521" width="5.85546875" style="21" customWidth="1"/>
    <col min="522" max="522" width="27.42578125" style="21" customWidth="1"/>
    <col min="523" max="523" width="4.5703125" style="21" customWidth="1"/>
    <col min="524" max="524" width="3.140625" style="21" customWidth="1"/>
    <col min="525" max="527" width="1.5703125" style="21" customWidth="1"/>
    <col min="528" max="528" width="4.85546875" style="21" customWidth="1"/>
    <col min="529" max="530" width="1.5703125" style="21" customWidth="1"/>
    <col min="531" max="769" width="9.140625" style="21"/>
    <col min="770" max="770" width="17.85546875" style="21" customWidth="1"/>
    <col min="771" max="771" width="1.140625" style="21" customWidth="1"/>
    <col min="772" max="772" width="30.140625" style="21" customWidth="1"/>
    <col min="773" max="773" width="1.5703125" style="21" customWidth="1"/>
    <col min="774" max="774" width="21.140625" style="21" customWidth="1"/>
    <col min="775" max="775" width="1.5703125" style="21" customWidth="1"/>
    <col min="776" max="776" width="22.140625" style="21" customWidth="1"/>
    <col min="777" max="777" width="5.85546875" style="21" customWidth="1"/>
    <col min="778" max="778" width="27.42578125" style="21" customWidth="1"/>
    <col min="779" max="779" width="4.5703125" style="21" customWidth="1"/>
    <col min="780" max="780" width="3.140625" style="21" customWidth="1"/>
    <col min="781" max="783" width="1.5703125" style="21" customWidth="1"/>
    <col min="784" max="784" width="4.85546875" style="21" customWidth="1"/>
    <col min="785" max="786" width="1.5703125" style="21" customWidth="1"/>
    <col min="787" max="1025" width="9.140625" style="21"/>
    <col min="1026" max="1026" width="17.85546875" style="21" customWidth="1"/>
    <col min="1027" max="1027" width="1.140625" style="21" customWidth="1"/>
    <col min="1028" max="1028" width="30.140625" style="21" customWidth="1"/>
    <col min="1029" max="1029" width="1.5703125" style="21" customWidth="1"/>
    <col min="1030" max="1030" width="21.140625" style="21" customWidth="1"/>
    <col min="1031" max="1031" width="1.5703125" style="21" customWidth="1"/>
    <col min="1032" max="1032" width="22.140625" style="21" customWidth="1"/>
    <col min="1033" max="1033" width="5.85546875" style="21" customWidth="1"/>
    <col min="1034" max="1034" width="27.42578125" style="21" customWidth="1"/>
    <col min="1035" max="1035" width="4.5703125" style="21" customWidth="1"/>
    <col min="1036" max="1036" width="3.140625" style="21" customWidth="1"/>
    <col min="1037" max="1039" width="1.5703125" style="21" customWidth="1"/>
    <col min="1040" max="1040" width="4.85546875" style="21" customWidth="1"/>
    <col min="1041" max="1042" width="1.5703125" style="21" customWidth="1"/>
    <col min="1043" max="1281" width="9.140625" style="21"/>
    <col min="1282" max="1282" width="17.85546875" style="21" customWidth="1"/>
    <col min="1283" max="1283" width="1.140625" style="21" customWidth="1"/>
    <col min="1284" max="1284" width="30.140625" style="21" customWidth="1"/>
    <col min="1285" max="1285" width="1.5703125" style="21" customWidth="1"/>
    <col min="1286" max="1286" width="21.140625" style="21" customWidth="1"/>
    <col min="1287" max="1287" width="1.5703125" style="21" customWidth="1"/>
    <col min="1288" max="1288" width="22.140625" style="21" customWidth="1"/>
    <col min="1289" max="1289" width="5.85546875" style="21" customWidth="1"/>
    <col min="1290" max="1290" width="27.42578125" style="21" customWidth="1"/>
    <col min="1291" max="1291" width="4.5703125" style="21" customWidth="1"/>
    <col min="1292" max="1292" width="3.140625" style="21" customWidth="1"/>
    <col min="1293" max="1295" width="1.5703125" style="21" customWidth="1"/>
    <col min="1296" max="1296" width="4.85546875" style="21" customWidth="1"/>
    <col min="1297" max="1298" width="1.5703125" style="21" customWidth="1"/>
    <col min="1299" max="1537" width="9.140625" style="21"/>
    <col min="1538" max="1538" width="17.85546875" style="21" customWidth="1"/>
    <col min="1539" max="1539" width="1.140625" style="21" customWidth="1"/>
    <col min="1540" max="1540" width="30.140625" style="21" customWidth="1"/>
    <col min="1541" max="1541" width="1.5703125" style="21" customWidth="1"/>
    <col min="1542" max="1542" width="21.140625" style="21" customWidth="1"/>
    <col min="1543" max="1543" width="1.5703125" style="21" customWidth="1"/>
    <col min="1544" max="1544" width="22.140625" style="21" customWidth="1"/>
    <col min="1545" max="1545" width="5.85546875" style="21" customWidth="1"/>
    <col min="1546" max="1546" width="27.42578125" style="21" customWidth="1"/>
    <col min="1547" max="1547" width="4.5703125" style="21" customWidth="1"/>
    <col min="1548" max="1548" width="3.140625" style="21" customWidth="1"/>
    <col min="1549" max="1551" width="1.5703125" style="21" customWidth="1"/>
    <col min="1552" max="1552" width="4.85546875" style="21" customWidth="1"/>
    <col min="1553" max="1554" width="1.5703125" style="21" customWidth="1"/>
    <col min="1555" max="1793" width="9.140625" style="21"/>
    <col min="1794" max="1794" width="17.85546875" style="21" customWidth="1"/>
    <col min="1795" max="1795" width="1.140625" style="21" customWidth="1"/>
    <col min="1796" max="1796" width="30.140625" style="21" customWidth="1"/>
    <col min="1797" max="1797" width="1.5703125" style="21" customWidth="1"/>
    <col min="1798" max="1798" width="21.140625" style="21" customWidth="1"/>
    <col min="1799" max="1799" width="1.5703125" style="21" customWidth="1"/>
    <col min="1800" max="1800" width="22.140625" style="21" customWidth="1"/>
    <col min="1801" max="1801" width="5.85546875" style="21" customWidth="1"/>
    <col min="1802" max="1802" width="27.42578125" style="21" customWidth="1"/>
    <col min="1803" max="1803" width="4.5703125" style="21" customWidth="1"/>
    <col min="1804" max="1804" width="3.140625" style="21" customWidth="1"/>
    <col min="1805" max="1807" width="1.5703125" style="21" customWidth="1"/>
    <col min="1808" max="1808" width="4.85546875" style="21" customWidth="1"/>
    <col min="1809" max="1810" width="1.5703125" style="21" customWidth="1"/>
    <col min="1811" max="2049" width="9.140625" style="21"/>
    <col min="2050" max="2050" width="17.85546875" style="21" customWidth="1"/>
    <col min="2051" max="2051" width="1.140625" style="21" customWidth="1"/>
    <col min="2052" max="2052" width="30.140625" style="21" customWidth="1"/>
    <col min="2053" max="2053" width="1.5703125" style="21" customWidth="1"/>
    <col min="2054" max="2054" width="21.140625" style="21" customWidth="1"/>
    <col min="2055" max="2055" width="1.5703125" style="21" customWidth="1"/>
    <col min="2056" max="2056" width="22.140625" style="21" customWidth="1"/>
    <col min="2057" max="2057" width="5.85546875" style="21" customWidth="1"/>
    <col min="2058" max="2058" width="27.42578125" style="21" customWidth="1"/>
    <col min="2059" max="2059" width="4.5703125" style="21" customWidth="1"/>
    <col min="2060" max="2060" width="3.140625" style="21" customWidth="1"/>
    <col min="2061" max="2063" width="1.5703125" style="21" customWidth="1"/>
    <col min="2064" max="2064" width="4.85546875" style="21" customWidth="1"/>
    <col min="2065" max="2066" width="1.5703125" style="21" customWidth="1"/>
    <col min="2067" max="2305" width="9.140625" style="21"/>
    <col min="2306" max="2306" width="17.85546875" style="21" customWidth="1"/>
    <col min="2307" max="2307" width="1.140625" style="21" customWidth="1"/>
    <col min="2308" max="2308" width="30.140625" style="21" customWidth="1"/>
    <col min="2309" max="2309" width="1.5703125" style="21" customWidth="1"/>
    <col min="2310" max="2310" width="21.140625" style="21" customWidth="1"/>
    <col min="2311" max="2311" width="1.5703125" style="21" customWidth="1"/>
    <col min="2312" max="2312" width="22.140625" style="21" customWidth="1"/>
    <col min="2313" max="2313" width="5.85546875" style="21" customWidth="1"/>
    <col min="2314" max="2314" width="27.42578125" style="21" customWidth="1"/>
    <col min="2315" max="2315" width="4.5703125" style="21" customWidth="1"/>
    <col min="2316" max="2316" width="3.140625" style="21" customWidth="1"/>
    <col min="2317" max="2319" width="1.5703125" style="21" customWidth="1"/>
    <col min="2320" max="2320" width="4.85546875" style="21" customWidth="1"/>
    <col min="2321" max="2322" width="1.5703125" style="21" customWidth="1"/>
    <col min="2323" max="2561" width="9.140625" style="21"/>
    <col min="2562" max="2562" width="17.85546875" style="21" customWidth="1"/>
    <col min="2563" max="2563" width="1.140625" style="21" customWidth="1"/>
    <col min="2564" max="2564" width="30.140625" style="21" customWidth="1"/>
    <col min="2565" max="2565" width="1.5703125" style="21" customWidth="1"/>
    <col min="2566" max="2566" width="21.140625" style="21" customWidth="1"/>
    <col min="2567" max="2567" width="1.5703125" style="21" customWidth="1"/>
    <col min="2568" max="2568" width="22.140625" style="21" customWidth="1"/>
    <col min="2569" max="2569" width="5.85546875" style="21" customWidth="1"/>
    <col min="2570" max="2570" width="27.42578125" style="21" customWidth="1"/>
    <col min="2571" max="2571" width="4.5703125" style="21" customWidth="1"/>
    <col min="2572" max="2572" width="3.140625" style="21" customWidth="1"/>
    <col min="2573" max="2575" width="1.5703125" style="21" customWidth="1"/>
    <col min="2576" max="2576" width="4.85546875" style="21" customWidth="1"/>
    <col min="2577" max="2578" width="1.5703125" style="21" customWidth="1"/>
    <col min="2579" max="2817" width="9.140625" style="21"/>
    <col min="2818" max="2818" width="17.85546875" style="21" customWidth="1"/>
    <col min="2819" max="2819" width="1.140625" style="21" customWidth="1"/>
    <col min="2820" max="2820" width="30.140625" style="21" customWidth="1"/>
    <col min="2821" max="2821" width="1.5703125" style="21" customWidth="1"/>
    <col min="2822" max="2822" width="21.140625" style="21" customWidth="1"/>
    <col min="2823" max="2823" width="1.5703125" style="21" customWidth="1"/>
    <col min="2824" max="2824" width="22.140625" style="21" customWidth="1"/>
    <col min="2825" max="2825" width="5.85546875" style="21" customWidth="1"/>
    <col min="2826" max="2826" width="27.42578125" style="21" customWidth="1"/>
    <col min="2827" max="2827" width="4.5703125" style="21" customWidth="1"/>
    <col min="2828" max="2828" width="3.140625" style="21" customWidth="1"/>
    <col min="2829" max="2831" width="1.5703125" style="21" customWidth="1"/>
    <col min="2832" max="2832" width="4.85546875" style="21" customWidth="1"/>
    <col min="2833" max="2834" width="1.5703125" style="21" customWidth="1"/>
    <col min="2835" max="3073" width="9.140625" style="21"/>
    <col min="3074" max="3074" width="17.85546875" style="21" customWidth="1"/>
    <col min="3075" max="3075" width="1.140625" style="21" customWidth="1"/>
    <col min="3076" max="3076" width="30.140625" style="21" customWidth="1"/>
    <col min="3077" max="3077" width="1.5703125" style="21" customWidth="1"/>
    <col min="3078" max="3078" width="21.140625" style="21" customWidth="1"/>
    <col min="3079" max="3079" width="1.5703125" style="21" customWidth="1"/>
    <col min="3080" max="3080" width="22.140625" style="21" customWidth="1"/>
    <col min="3081" max="3081" width="5.85546875" style="21" customWidth="1"/>
    <col min="3082" max="3082" width="27.42578125" style="21" customWidth="1"/>
    <col min="3083" max="3083" width="4.5703125" style="21" customWidth="1"/>
    <col min="3084" max="3084" width="3.140625" style="21" customWidth="1"/>
    <col min="3085" max="3087" width="1.5703125" style="21" customWidth="1"/>
    <col min="3088" max="3088" width="4.85546875" style="21" customWidth="1"/>
    <col min="3089" max="3090" width="1.5703125" style="21" customWidth="1"/>
    <col min="3091" max="3329" width="9.140625" style="21"/>
    <col min="3330" max="3330" width="17.85546875" style="21" customWidth="1"/>
    <col min="3331" max="3331" width="1.140625" style="21" customWidth="1"/>
    <col min="3332" max="3332" width="30.140625" style="21" customWidth="1"/>
    <col min="3333" max="3333" width="1.5703125" style="21" customWidth="1"/>
    <col min="3334" max="3334" width="21.140625" style="21" customWidth="1"/>
    <col min="3335" max="3335" width="1.5703125" style="21" customWidth="1"/>
    <col min="3336" max="3336" width="22.140625" style="21" customWidth="1"/>
    <col min="3337" max="3337" width="5.85546875" style="21" customWidth="1"/>
    <col min="3338" max="3338" width="27.42578125" style="21" customWidth="1"/>
    <col min="3339" max="3339" width="4.5703125" style="21" customWidth="1"/>
    <col min="3340" max="3340" width="3.140625" style="21" customWidth="1"/>
    <col min="3341" max="3343" width="1.5703125" style="21" customWidth="1"/>
    <col min="3344" max="3344" width="4.85546875" style="21" customWidth="1"/>
    <col min="3345" max="3346" width="1.5703125" style="21" customWidth="1"/>
    <col min="3347" max="3585" width="9.140625" style="21"/>
    <col min="3586" max="3586" width="17.85546875" style="21" customWidth="1"/>
    <col min="3587" max="3587" width="1.140625" style="21" customWidth="1"/>
    <col min="3588" max="3588" width="30.140625" style="21" customWidth="1"/>
    <col min="3589" max="3589" width="1.5703125" style="21" customWidth="1"/>
    <col min="3590" max="3590" width="21.140625" style="21" customWidth="1"/>
    <col min="3591" max="3591" width="1.5703125" style="21" customWidth="1"/>
    <col min="3592" max="3592" width="22.140625" style="21" customWidth="1"/>
    <col min="3593" max="3593" width="5.85546875" style="21" customWidth="1"/>
    <col min="3594" max="3594" width="27.42578125" style="21" customWidth="1"/>
    <col min="3595" max="3595" width="4.5703125" style="21" customWidth="1"/>
    <col min="3596" max="3596" width="3.140625" style="21" customWidth="1"/>
    <col min="3597" max="3599" width="1.5703125" style="21" customWidth="1"/>
    <col min="3600" max="3600" width="4.85546875" style="21" customWidth="1"/>
    <col min="3601" max="3602" width="1.5703125" style="21" customWidth="1"/>
    <col min="3603" max="3841" width="9.140625" style="21"/>
    <col min="3842" max="3842" width="17.85546875" style="21" customWidth="1"/>
    <col min="3843" max="3843" width="1.140625" style="21" customWidth="1"/>
    <col min="3844" max="3844" width="30.140625" style="21" customWidth="1"/>
    <col min="3845" max="3845" width="1.5703125" style="21" customWidth="1"/>
    <col min="3846" max="3846" width="21.140625" style="21" customWidth="1"/>
    <col min="3847" max="3847" width="1.5703125" style="21" customWidth="1"/>
    <col min="3848" max="3848" width="22.140625" style="21" customWidth="1"/>
    <col min="3849" max="3849" width="5.85546875" style="21" customWidth="1"/>
    <col min="3850" max="3850" width="27.42578125" style="21" customWidth="1"/>
    <col min="3851" max="3851" width="4.5703125" style="21" customWidth="1"/>
    <col min="3852" max="3852" width="3.140625" style="21" customWidth="1"/>
    <col min="3853" max="3855" width="1.5703125" style="21" customWidth="1"/>
    <col min="3856" max="3856" width="4.85546875" style="21" customWidth="1"/>
    <col min="3857" max="3858" width="1.5703125" style="21" customWidth="1"/>
    <col min="3859" max="4097" width="9.140625" style="21"/>
    <col min="4098" max="4098" width="17.85546875" style="21" customWidth="1"/>
    <col min="4099" max="4099" width="1.140625" style="21" customWidth="1"/>
    <col min="4100" max="4100" width="30.140625" style="21" customWidth="1"/>
    <col min="4101" max="4101" width="1.5703125" style="21" customWidth="1"/>
    <col min="4102" max="4102" width="21.140625" style="21" customWidth="1"/>
    <col min="4103" max="4103" width="1.5703125" style="21" customWidth="1"/>
    <col min="4104" max="4104" width="22.140625" style="21" customWidth="1"/>
    <col min="4105" max="4105" width="5.85546875" style="21" customWidth="1"/>
    <col min="4106" max="4106" width="27.42578125" style="21" customWidth="1"/>
    <col min="4107" max="4107" width="4.5703125" style="21" customWidth="1"/>
    <col min="4108" max="4108" width="3.140625" style="21" customWidth="1"/>
    <col min="4109" max="4111" width="1.5703125" style="21" customWidth="1"/>
    <col min="4112" max="4112" width="4.85546875" style="21" customWidth="1"/>
    <col min="4113" max="4114" width="1.5703125" style="21" customWidth="1"/>
    <col min="4115" max="4353" width="9.140625" style="21"/>
    <col min="4354" max="4354" width="17.85546875" style="21" customWidth="1"/>
    <col min="4355" max="4355" width="1.140625" style="21" customWidth="1"/>
    <col min="4356" max="4356" width="30.140625" style="21" customWidth="1"/>
    <col min="4357" max="4357" width="1.5703125" style="21" customWidth="1"/>
    <col min="4358" max="4358" width="21.140625" style="21" customWidth="1"/>
    <col min="4359" max="4359" width="1.5703125" style="21" customWidth="1"/>
    <col min="4360" max="4360" width="22.140625" style="21" customWidth="1"/>
    <col min="4361" max="4361" width="5.85546875" style="21" customWidth="1"/>
    <col min="4362" max="4362" width="27.42578125" style="21" customWidth="1"/>
    <col min="4363" max="4363" width="4.5703125" style="21" customWidth="1"/>
    <col min="4364" max="4364" width="3.140625" style="21" customWidth="1"/>
    <col min="4365" max="4367" width="1.5703125" style="21" customWidth="1"/>
    <col min="4368" max="4368" width="4.85546875" style="21" customWidth="1"/>
    <col min="4369" max="4370" width="1.5703125" style="21" customWidth="1"/>
    <col min="4371" max="4609" width="9.140625" style="21"/>
    <col min="4610" max="4610" width="17.85546875" style="21" customWidth="1"/>
    <col min="4611" max="4611" width="1.140625" style="21" customWidth="1"/>
    <col min="4612" max="4612" width="30.140625" style="21" customWidth="1"/>
    <col min="4613" max="4613" width="1.5703125" style="21" customWidth="1"/>
    <col min="4614" max="4614" width="21.140625" style="21" customWidth="1"/>
    <col min="4615" max="4615" width="1.5703125" style="21" customWidth="1"/>
    <col min="4616" max="4616" width="22.140625" style="21" customWidth="1"/>
    <col min="4617" max="4617" width="5.85546875" style="21" customWidth="1"/>
    <col min="4618" max="4618" width="27.42578125" style="21" customWidth="1"/>
    <col min="4619" max="4619" width="4.5703125" style="21" customWidth="1"/>
    <col min="4620" max="4620" width="3.140625" style="21" customWidth="1"/>
    <col min="4621" max="4623" width="1.5703125" style="21" customWidth="1"/>
    <col min="4624" max="4624" width="4.85546875" style="21" customWidth="1"/>
    <col min="4625" max="4626" width="1.5703125" style="21" customWidth="1"/>
    <col min="4627" max="4865" width="9.140625" style="21"/>
    <col min="4866" max="4866" width="17.85546875" style="21" customWidth="1"/>
    <col min="4867" max="4867" width="1.140625" style="21" customWidth="1"/>
    <col min="4868" max="4868" width="30.140625" style="21" customWidth="1"/>
    <col min="4869" max="4869" width="1.5703125" style="21" customWidth="1"/>
    <col min="4870" max="4870" width="21.140625" style="21" customWidth="1"/>
    <col min="4871" max="4871" width="1.5703125" style="21" customWidth="1"/>
    <col min="4872" max="4872" width="22.140625" style="21" customWidth="1"/>
    <col min="4873" max="4873" width="5.85546875" style="21" customWidth="1"/>
    <col min="4874" max="4874" width="27.42578125" style="21" customWidth="1"/>
    <col min="4875" max="4875" width="4.5703125" style="21" customWidth="1"/>
    <col min="4876" max="4876" width="3.140625" style="21" customWidth="1"/>
    <col min="4877" max="4879" width="1.5703125" style="21" customWidth="1"/>
    <col min="4880" max="4880" width="4.85546875" style="21" customWidth="1"/>
    <col min="4881" max="4882" width="1.5703125" style="21" customWidth="1"/>
    <col min="4883" max="5121" width="9.140625" style="21"/>
    <col min="5122" max="5122" width="17.85546875" style="21" customWidth="1"/>
    <col min="5123" max="5123" width="1.140625" style="21" customWidth="1"/>
    <col min="5124" max="5124" width="30.140625" style="21" customWidth="1"/>
    <col min="5125" max="5125" width="1.5703125" style="21" customWidth="1"/>
    <col min="5126" max="5126" width="21.140625" style="21" customWidth="1"/>
    <col min="5127" max="5127" width="1.5703125" style="21" customWidth="1"/>
    <col min="5128" max="5128" width="22.140625" style="21" customWidth="1"/>
    <col min="5129" max="5129" width="5.85546875" style="21" customWidth="1"/>
    <col min="5130" max="5130" width="27.42578125" style="21" customWidth="1"/>
    <col min="5131" max="5131" width="4.5703125" style="21" customWidth="1"/>
    <col min="5132" max="5132" width="3.140625" style="21" customWidth="1"/>
    <col min="5133" max="5135" width="1.5703125" style="21" customWidth="1"/>
    <col min="5136" max="5136" width="4.85546875" style="21" customWidth="1"/>
    <col min="5137" max="5138" width="1.5703125" style="21" customWidth="1"/>
    <col min="5139" max="5377" width="9.140625" style="21"/>
    <col min="5378" max="5378" width="17.85546875" style="21" customWidth="1"/>
    <col min="5379" max="5379" width="1.140625" style="21" customWidth="1"/>
    <col min="5380" max="5380" width="30.140625" style="21" customWidth="1"/>
    <col min="5381" max="5381" width="1.5703125" style="21" customWidth="1"/>
    <col min="5382" max="5382" width="21.140625" style="21" customWidth="1"/>
    <col min="5383" max="5383" width="1.5703125" style="21" customWidth="1"/>
    <col min="5384" max="5384" width="22.140625" style="21" customWidth="1"/>
    <col min="5385" max="5385" width="5.85546875" style="21" customWidth="1"/>
    <col min="5386" max="5386" width="27.42578125" style="21" customWidth="1"/>
    <col min="5387" max="5387" width="4.5703125" style="21" customWidth="1"/>
    <col min="5388" max="5388" width="3.140625" style="21" customWidth="1"/>
    <col min="5389" max="5391" width="1.5703125" style="21" customWidth="1"/>
    <col min="5392" max="5392" width="4.85546875" style="21" customWidth="1"/>
    <col min="5393" max="5394" width="1.5703125" style="21" customWidth="1"/>
    <col min="5395" max="5633" width="9.140625" style="21"/>
    <col min="5634" max="5634" width="17.85546875" style="21" customWidth="1"/>
    <col min="5635" max="5635" width="1.140625" style="21" customWidth="1"/>
    <col min="5636" max="5636" width="30.140625" style="21" customWidth="1"/>
    <col min="5637" max="5637" width="1.5703125" style="21" customWidth="1"/>
    <col min="5638" max="5638" width="21.140625" style="21" customWidth="1"/>
    <col min="5639" max="5639" width="1.5703125" style="21" customWidth="1"/>
    <col min="5640" max="5640" width="22.140625" style="21" customWidth="1"/>
    <col min="5641" max="5641" width="5.85546875" style="21" customWidth="1"/>
    <col min="5642" max="5642" width="27.42578125" style="21" customWidth="1"/>
    <col min="5643" max="5643" width="4.5703125" style="21" customWidth="1"/>
    <col min="5644" max="5644" width="3.140625" style="21" customWidth="1"/>
    <col min="5645" max="5647" width="1.5703125" style="21" customWidth="1"/>
    <col min="5648" max="5648" width="4.85546875" style="21" customWidth="1"/>
    <col min="5649" max="5650" width="1.5703125" style="21" customWidth="1"/>
    <col min="5651" max="5889" width="9.140625" style="21"/>
    <col min="5890" max="5890" width="17.85546875" style="21" customWidth="1"/>
    <col min="5891" max="5891" width="1.140625" style="21" customWidth="1"/>
    <col min="5892" max="5892" width="30.140625" style="21" customWidth="1"/>
    <col min="5893" max="5893" width="1.5703125" style="21" customWidth="1"/>
    <col min="5894" max="5894" width="21.140625" style="21" customWidth="1"/>
    <col min="5895" max="5895" width="1.5703125" style="21" customWidth="1"/>
    <col min="5896" max="5896" width="22.140625" style="21" customWidth="1"/>
    <col min="5897" max="5897" width="5.85546875" style="21" customWidth="1"/>
    <col min="5898" max="5898" width="27.42578125" style="21" customWidth="1"/>
    <col min="5899" max="5899" width="4.5703125" style="21" customWidth="1"/>
    <col min="5900" max="5900" width="3.140625" style="21" customWidth="1"/>
    <col min="5901" max="5903" width="1.5703125" style="21" customWidth="1"/>
    <col min="5904" max="5904" width="4.85546875" style="21" customWidth="1"/>
    <col min="5905" max="5906" width="1.5703125" style="21" customWidth="1"/>
    <col min="5907" max="6145" width="9.140625" style="21"/>
    <col min="6146" max="6146" width="17.85546875" style="21" customWidth="1"/>
    <col min="6147" max="6147" width="1.140625" style="21" customWidth="1"/>
    <col min="6148" max="6148" width="30.140625" style="21" customWidth="1"/>
    <col min="6149" max="6149" width="1.5703125" style="21" customWidth="1"/>
    <col min="6150" max="6150" width="21.140625" style="21" customWidth="1"/>
    <col min="6151" max="6151" width="1.5703125" style="21" customWidth="1"/>
    <col min="6152" max="6152" width="22.140625" style="21" customWidth="1"/>
    <col min="6153" max="6153" width="5.85546875" style="21" customWidth="1"/>
    <col min="6154" max="6154" width="27.42578125" style="21" customWidth="1"/>
    <col min="6155" max="6155" width="4.5703125" style="21" customWidth="1"/>
    <col min="6156" max="6156" width="3.140625" style="21" customWidth="1"/>
    <col min="6157" max="6159" width="1.5703125" style="21" customWidth="1"/>
    <col min="6160" max="6160" width="4.85546875" style="21" customWidth="1"/>
    <col min="6161" max="6162" width="1.5703125" style="21" customWidth="1"/>
    <col min="6163" max="6401" width="9.140625" style="21"/>
    <col min="6402" max="6402" width="17.85546875" style="21" customWidth="1"/>
    <col min="6403" max="6403" width="1.140625" style="21" customWidth="1"/>
    <col min="6404" max="6404" width="30.140625" style="21" customWidth="1"/>
    <col min="6405" max="6405" width="1.5703125" style="21" customWidth="1"/>
    <col min="6406" max="6406" width="21.140625" style="21" customWidth="1"/>
    <col min="6407" max="6407" width="1.5703125" style="21" customWidth="1"/>
    <col min="6408" max="6408" width="22.140625" style="21" customWidth="1"/>
    <col min="6409" max="6409" width="5.85546875" style="21" customWidth="1"/>
    <col min="6410" max="6410" width="27.42578125" style="21" customWidth="1"/>
    <col min="6411" max="6411" width="4.5703125" style="21" customWidth="1"/>
    <col min="6412" max="6412" width="3.140625" style="21" customWidth="1"/>
    <col min="6413" max="6415" width="1.5703125" style="21" customWidth="1"/>
    <col min="6416" max="6416" width="4.85546875" style="21" customWidth="1"/>
    <col min="6417" max="6418" width="1.5703125" style="21" customWidth="1"/>
    <col min="6419" max="6657" width="9.140625" style="21"/>
    <col min="6658" max="6658" width="17.85546875" style="21" customWidth="1"/>
    <col min="6659" max="6659" width="1.140625" style="21" customWidth="1"/>
    <col min="6660" max="6660" width="30.140625" style="21" customWidth="1"/>
    <col min="6661" max="6661" width="1.5703125" style="21" customWidth="1"/>
    <col min="6662" max="6662" width="21.140625" style="21" customWidth="1"/>
    <col min="6663" max="6663" width="1.5703125" style="21" customWidth="1"/>
    <col min="6664" max="6664" width="22.140625" style="21" customWidth="1"/>
    <col min="6665" max="6665" width="5.85546875" style="21" customWidth="1"/>
    <col min="6666" max="6666" width="27.42578125" style="21" customWidth="1"/>
    <col min="6667" max="6667" width="4.5703125" style="21" customWidth="1"/>
    <col min="6668" max="6668" width="3.140625" style="21" customWidth="1"/>
    <col min="6669" max="6671" width="1.5703125" style="21" customWidth="1"/>
    <col min="6672" max="6672" width="4.85546875" style="21" customWidth="1"/>
    <col min="6673" max="6674" width="1.5703125" style="21" customWidth="1"/>
    <col min="6675" max="6913" width="9.140625" style="21"/>
    <col min="6914" max="6914" width="17.85546875" style="21" customWidth="1"/>
    <col min="6915" max="6915" width="1.140625" style="21" customWidth="1"/>
    <col min="6916" max="6916" width="30.140625" style="21" customWidth="1"/>
    <col min="6917" max="6917" width="1.5703125" style="21" customWidth="1"/>
    <col min="6918" max="6918" width="21.140625" style="21" customWidth="1"/>
    <col min="6919" max="6919" width="1.5703125" style="21" customWidth="1"/>
    <col min="6920" max="6920" width="22.140625" style="21" customWidth="1"/>
    <col min="6921" max="6921" width="5.85546875" style="21" customWidth="1"/>
    <col min="6922" max="6922" width="27.42578125" style="21" customWidth="1"/>
    <col min="6923" max="6923" width="4.5703125" style="21" customWidth="1"/>
    <col min="6924" max="6924" width="3.140625" style="21" customWidth="1"/>
    <col min="6925" max="6927" width="1.5703125" style="21" customWidth="1"/>
    <col min="6928" max="6928" width="4.85546875" style="21" customWidth="1"/>
    <col min="6929" max="6930" width="1.5703125" style="21" customWidth="1"/>
    <col min="6931" max="7169" width="9.140625" style="21"/>
    <col min="7170" max="7170" width="17.85546875" style="21" customWidth="1"/>
    <col min="7171" max="7171" width="1.140625" style="21" customWidth="1"/>
    <col min="7172" max="7172" width="30.140625" style="21" customWidth="1"/>
    <col min="7173" max="7173" width="1.5703125" style="21" customWidth="1"/>
    <col min="7174" max="7174" width="21.140625" style="21" customWidth="1"/>
    <col min="7175" max="7175" width="1.5703125" style="21" customWidth="1"/>
    <col min="7176" max="7176" width="22.140625" style="21" customWidth="1"/>
    <col min="7177" max="7177" width="5.85546875" style="21" customWidth="1"/>
    <col min="7178" max="7178" width="27.42578125" style="21" customWidth="1"/>
    <col min="7179" max="7179" width="4.5703125" style="21" customWidth="1"/>
    <col min="7180" max="7180" width="3.140625" style="21" customWidth="1"/>
    <col min="7181" max="7183" width="1.5703125" style="21" customWidth="1"/>
    <col min="7184" max="7184" width="4.85546875" style="21" customWidth="1"/>
    <col min="7185" max="7186" width="1.5703125" style="21" customWidth="1"/>
    <col min="7187" max="7425" width="9.140625" style="21"/>
    <col min="7426" max="7426" width="17.85546875" style="21" customWidth="1"/>
    <col min="7427" max="7427" width="1.140625" style="21" customWidth="1"/>
    <col min="7428" max="7428" width="30.140625" style="21" customWidth="1"/>
    <col min="7429" max="7429" width="1.5703125" style="21" customWidth="1"/>
    <col min="7430" max="7430" width="21.140625" style="21" customWidth="1"/>
    <col min="7431" max="7431" width="1.5703125" style="21" customWidth="1"/>
    <col min="7432" max="7432" width="22.140625" style="21" customWidth="1"/>
    <col min="7433" max="7433" width="5.85546875" style="21" customWidth="1"/>
    <col min="7434" max="7434" width="27.42578125" style="21" customWidth="1"/>
    <col min="7435" max="7435" width="4.5703125" style="21" customWidth="1"/>
    <col min="7436" max="7436" width="3.140625" style="21" customWidth="1"/>
    <col min="7437" max="7439" width="1.5703125" style="21" customWidth="1"/>
    <col min="7440" max="7440" width="4.85546875" style="21" customWidth="1"/>
    <col min="7441" max="7442" width="1.5703125" style="21" customWidth="1"/>
    <col min="7443" max="7681" width="9.140625" style="21"/>
    <col min="7682" max="7682" width="17.85546875" style="21" customWidth="1"/>
    <col min="7683" max="7683" width="1.140625" style="21" customWidth="1"/>
    <col min="7684" max="7684" width="30.140625" style="21" customWidth="1"/>
    <col min="7685" max="7685" width="1.5703125" style="21" customWidth="1"/>
    <col min="7686" max="7686" width="21.140625" style="21" customWidth="1"/>
    <col min="7687" max="7687" width="1.5703125" style="21" customWidth="1"/>
    <col min="7688" max="7688" width="22.140625" style="21" customWidth="1"/>
    <col min="7689" max="7689" width="5.85546875" style="21" customWidth="1"/>
    <col min="7690" max="7690" width="27.42578125" style="21" customWidth="1"/>
    <col min="7691" max="7691" width="4.5703125" style="21" customWidth="1"/>
    <col min="7692" max="7692" width="3.140625" style="21" customWidth="1"/>
    <col min="7693" max="7695" width="1.5703125" style="21" customWidth="1"/>
    <col min="7696" max="7696" width="4.85546875" style="21" customWidth="1"/>
    <col min="7697" max="7698" width="1.5703125" style="21" customWidth="1"/>
    <col min="7699" max="7937" width="9.140625" style="21"/>
    <col min="7938" max="7938" width="17.85546875" style="21" customWidth="1"/>
    <col min="7939" max="7939" width="1.140625" style="21" customWidth="1"/>
    <col min="7940" max="7940" width="30.140625" style="21" customWidth="1"/>
    <col min="7941" max="7941" width="1.5703125" style="21" customWidth="1"/>
    <col min="7942" max="7942" width="21.140625" style="21" customWidth="1"/>
    <col min="7943" max="7943" width="1.5703125" style="21" customWidth="1"/>
    <col min="7944" max="7944" width="22.140625" style="21" customWidth="1"/>
    <col min="7945" max="7945" width="5.85546875" style="21" customWidth="1"/>
    <col min="7946" max="7946" width="27.42578125" style="21" customWidth="1"/>
    <col min="7947" max="7947" width="4.5703125" style="21" customWidth="1"/>
    <col min="7948" max="7948" width="3.140625" style="21" customWidth="1"/>
    <col min="7949" max="7951" width="1.5703125" style="21" customWidth="1"/>
    <col min="7952" max="7952" width="4.85546875" style="21" customWidth="1"/>
    <col min="7953" max="7954" width="1.5703125" style="21" customWidth="1"/>
    <col min="7955" max="8193" width="9.140625" style="21"/>
    <col min="8194" max="8194" width="17.85546875" style="21" customWidth="1"/>
    <col min="8195" max="8195" width="1.140625" style="21" customWidth="1"/>
    <col min="8196" max="8196" width="30.140625" style="21" customWidth="1"/>
    <col min="8197" max="8197" width="1.5703125" style="21" customWidth="1"/>
    <col min="8198" max="8198" width="21.140625" style="21" customWidth="1"/>
    <col min="8199" max="8199" width="1.5703125" style="21" customWidth="1"/>
    <col min="8200" max="8200" width="22.140625" style="21" customWidth="1"/>
    <col min="8201" max="8201" width="5.85546875" style="21" customWidth="1"/>
    <col min="8202" max="8202" width="27.42578125" style="21" customWidth="1"/>
    <col min="8203" max="8203" width="4.5703125" style="21" customWidth="1"/>
    <col min="8204" max="8204" width="3.140625" style="21" customWidth="1"/>
    <col min="8205" max="8207" width="1.5703125" style="21" customWidth="1"/>
    <col min="8208" max="8208" width="4.85546875" style="21" customWidth="1"/>
    <col min="8209" max="8210" width="1.5703125" style="21" customWidth="1"/>
    <col min="8211" max="8449" width="9.140625" style="21"/>
    <col min="8450" max="8450" width="17.85546875" style="21" customWidth="1"/>
    <col min="8451" max="8451" width="1.140625" style="21" customWidth="1"/>
    <col min="8452" max="8452" width="30.140625" style="21" customWidth="1"/>
    <col min="8453" max="8453" width="1.5703125" style="21" customWidth="1"/>
    <col min="8454" max="8454" width="21.140625" style="21" customWidth="1"/>
    <col min="8455" max="8455" width="1.5703125" style="21" customWidth="1"/>
    <col min="8456" max="8456" width="22.140625" style="21" customWidth="1"/>
    <col min="8457" max="8457" width="5.85546875" style="21" customWidth="1"/>
    <col min="8458" max="8458" width="27.42578125" style="21" customWidth="1"/>
    <col min="8459" max="8459" width="4.5703125" style="21" customWidth="1"/>
    <col min="8460" max="8460" width="3.140625" style="21" customWidth="1"/>
    <col min="8461" max="8463" width="1.5703125" style="21" customWidth="1"/>
    <col min="8464" max="8464" width="4.85546875" style="21" customWidth="1"/>
    <col min="8465" max="8466" width="1.5703125" style="21" customWidth="1"/>
    <col min="8467" max="8705" width="9.140625" style="21"/>
    <col min="8706" max="8706" width="17.85546875" style="21" customWidth="1"/>
    <col min="8707" max="8707" width="1.140625" style="21" customWidth="1"/>
    <col min="8708" max="8708" width="30.140625" style="21" customWidth="1"/>
    <col min="8709" max="8709" width="1.5703125" style="21" customWidth="1"/>
    <col min="8710" max="8710" width="21.140625" style="21" customWidth="1"/>
    <col min="8711" max="8711" width="1.5703125" style="21" customWidth="1"/>
    <col min="8712" max="8712" width="22.140625" style="21" customWidth="1"/>
    <col min="8713" max="8713" width="5.85546875" style="21" customWidth="1"/>
    <col min="8714" max="8714" width="27.42578125" style="21" customWidth="1"/>
    <col min="8715" max="8715" width="4.5703125" style="21" customWidth="1"/>
    <col min="8716" max="8716" width="3.140625" style="21" customWidth="1"/>
    <col min="8717" max="8719" width="1.5703125" style="21" customWidth="1"/>
    <col min="8720" max="8720" width="4.85546875" style="21" customWidth="1"/>
    <col min="8721" max="8722" width="1.5703125" style="21" customWidth="1"/>
    <col min="8723" max="8961" width="9.140625" style="21"/>
    <col min="8962" max="8962" width="17.85546875" style="21" customWidth="1"/>
    <col min="8963" max="8963" width="1.140625" style="21" customWidth="1"/>
    <col min="8964" max="8964" width="30.140625" style="21" customWidth="1"/>
    <col min="8965" max="8965" width="1.5703125" style="21" customWidth="1"/>
    <col min="8966" max="8966" width="21.140625" style="21" customWidth="1"/>
    <col min="8967" max="8967" width="1.5703125" style="21" customWidth="1"/>
    <col min="8968" max="8968" width="22.140625" style="21" customWidth="1"/>
    <col min="8969" max="8969" width="5.85546875" style="21" customWidth="1"/>
    <col min="8970" max="8970" width="27.42578125" style="21" customWidth="1"/>
    <col min="8971" max="8971" width="4.5703125" style="21" customWidth="1"/>
    <col min="8972" max="8972" width="3.140625" style="21" customWidth="1"/>
    <col min="8973" max="8975" width="1.5703125" style="21" customWidth="1"/>
    <col min="8976" max="8976" width="4.85546875" style="21" customWidth="1"/>
    <col min="8977" max="8978" width="1.5703125" style="21" customWidth="1"/>
    <col min="8979" max="9217" width="9.140625" style="21"/>
    <col min="9218" max="9218" width="17.85546875" style="21" customWidth="1"/>
    <col min="9219" max="9219" width="1.140625" style="21" customWidth="1"/>
    <col min="9220" max="9220" width="30.140625" style="21" customWidth="1"/>
    <col min="9221" max="9221" width="1.5703125" style="21" customWidth="1"/>
    <col min="9222" max="9222" width="21.140625" style="21" customWidth="1"/>
    <col min="9223" max="9223" width="1.5703125" style="21" customWidth="1"/>
    <col min="9224" max="9224" width="22.140625" style="21" customWidth="1"/>
    <col min="9225" max="9225" width="5.85546875" style="21" customWidth="1"/>
    <col min="9226" max="9226" width="27.42578125" style="21" customWidth="1"/>
    <col min="9227" max="9227" width="4.5703125" style="21" customWidth="1"/>
    <col min="9228" max="9228" width="3.140625" style="21" customWidth="1"/>
    <col min="9229" max="9231" width="1.5703125" style="21" customWidth="1"/>
    <col min="9232" max="9232" width="4.85546875" style="21" customWidth="1"/>
    <col min="9233" max="9234" width="1.5703125" style="21" customWidth="1"/>
    <col min="9235" max="9473" width="9.140625" style="21"/>
    <col min="9474" max="9474" width="17.85546875" style="21" customWidth="1"/>
    <col min="9475" max="9475" width="1.140625" style="21" customWidth="1"/>
    <col min="9476" max="9476" width="30.140625" style="21" customWidth="1"/>
    <col min="9477" max="9477" width="1.5703125" style="21" customWidth="1"/>
    <col min="9478" max="9478" width="21.140625" style="21" customWidth="1"/>
    <col min="9479" max="9479" width="1.5703125" style="21" customWidth="1"/>
    <col min="9480" max="9480" width="22.140625" style="21" customWidth="1"/>
    <col min="9481" max="9481" width="5.85546875" style="21" customWidth="1"/>
    <col min="9482" max="9482" width="27.42578125" style="21" customWidth="1"/>
    <col min="9483" max="9483" width="4.5703125" style="21" customWidth="1"/>
    <col min="9484" max="9484" width="3.140625" style="21" customWidth="1"/>
    <col min="9485" max="9487" width="1.5703125" style="21" customWidth="1"/>
    <col min="9488" max="9488" width="4.85546875" style="21" customWidth="1"/>
    <col min="9489" max="9490" width="1.5703125" style="21" customWidth="1"/>
    <col min="9491" max="9729" width="9.140625" style="21"/>
    <col min="9730" max="9730" width="17.85546875" style="21" customWidth="1"/>
    <col min="9731" max="9731" width="1.140625" style="21" customWidth="1"/>
    <col min="9732" max="9732" width="30.140625" style="21" customWidth="1"/>
    <col min="9733" max="9733" width="1.5703125" style="21" customWidth="1"/>
    <col min="9734" max="9734" width="21.140625" style="21" customWidth="1"/>
    <col min="9735" max="9735" width="1.5703125" style="21" customWidth="1"/>
    <col min="9736" max="9736" width="22.140625" style="21" customWidth="1"/>
    <col min="9737" max="9737" width="5.85546875" style="21" customWidth="1"/>
    <col min="9738" max="9738" width="27.42578125" style="21" customWidth="1"/>
    <col min="9739" max="9739" width="4.5703125" style="21" customWidth="1"/>
    <col min="9740" max="9740" width="3.140625" style="21" customWidth="1"/>
    <col min="9741" max="9743" width="1.5703125" style="21" customWidth="1"/>
    <col min="9744" max="9744" width="4.85546875" style="21" customWidth="1"/>
    <col min="9745" max="9746" width="1.5703125" style="21" customWidth="1"/>
    <col min="9747" max="9985" width="9.140625" style="21"/>
    <col min="9986" max="9986" width="17.85546875" style="21" customWidth="1"/>
    <col min="9987" max="9987" width="1.140625" style="21" customWidth="1"/>
    <col min="9988" max="9988" width="30.140625" style="21" customWidth="1"/>
    <col min="9989" max="9989" width="1.5703125" style="21" customWidth="1"/>
    <col min="9990" max="9990" width="21.140625" style="21" customWidth="1"/>
    <col min="9991" max="9991" width="1.5703125" style="21" customWidth="1"/>
    <col min="9992" max="9992" width="22.140625" style="21" customWidth="1"/>
    <col min="9993" max="9993" width="5.85546875" style="21" customWidth="1"/>
    <col min="9994" max="9994" width="27.42578125" style="21" customWidth="1"/>
    <col min="9995" max="9995" width="4.5703125" style="21" customWidth="1"/>
    <col min="9996" max="9996" width="3.140625" style="21" customWidth="1"/>
    <col min="9997" max="9999" width="1.5703125" style="21" customWidth="1"/>
    <col min="10000" max="10000" width="4.85546875" style="21" customWidth="1"/>
    <col min="10001" max="10002" width="1.5703125" style="21" customWidth="1"/>
    <col min="10003" max="10241" width="9.140625" style="21"/>
    <col min="10242" max="10242" width="17.85546875" style="21" customWidth="1"/>
    <col min="10243" max="10243" width="1.140625" style="21" customWidth="1"/>
    <col min="10244" max="10244" width="30.140625" style="21" customWidth="1"/>
    <col min="10245" max="10245" width="1.5703125" style="21" customWidth="1"/>
    <col min="10246" max="10246" width="21.140625" style="21" customWidth="1"/>
    <col min="10247" max="10247" width="1.5703125" style="21" customWidth="1"/>
    <col min="10248" max="10248" width="22.140625" style="21" customWidth="1"/>
    <col min="10249" max="10249" width="5.85546875" style="21" customWidth="1"/>
    <col min="10250" max="10250" width="27.42578125" style="21" customWidth="1"/>
    <col min="10251" max="10251" width="4.5703125" style="21" customWidth="1"/>
    <col min="10252" max="10252" width="3.140625" style="21" customWidth="1"/>
    <col min="10253" max="10255" width="1.5703125" style="21" customWidth="1"/>
    <col min="10256" max="10256" width="4.85546875" style="21" customWidth="1"/>
    <col min="10257" max="10258" width="1.5703125" style="21" customWidth="1"/>
    <col min="10259" max="10497" width="9.140625" style="21"/>
    <col min="10498" max="10498" width="17.85546875" style="21" customWidth="1"/>
    <col min="10499" max="10499" width="1.140625" style="21" customWidth="1"/>
    <col min="10500" max="10500" width="30.140625" style="21" customWidth="1"/>
    <col min="10501" max="10501" width="1.5703125" style="21" customWidth="1"/>
    <col min="10502" max="10502" width="21.140625" style="21" customWidth="1"/>
    <col min="10503" max="10503" width="1.5703125" style="21" customWidth="1"/>
    <col min="10504" max="10504" width="22.140625" style="21" customWidth="1"/>
    <col min="10505" max="10505" width="5.85546875" style="21" customWidth="1"/>
    <col min="10506" max="10506" width="27.42578125" style="21" customWidth="1"/>
    <col min="10507" max="10507" width="4.5703125" style="21" customWidth="1"/>
    <col min="10508" max="10508" width="3.140625" style="21" customWidth="1"/>
    <col min="10509" max="10511" width="1.5703125" style="21" customWidth="1"/>
    <col min="10512" max="10512" width="4.85546875" style="21" customWidth="1"/>
    <col min="10513" max="10514" width="1.5703125" style="21" customWidth="1"/>
    <col min="10515" max="10753" width="9.140625" style="21"/>
    <col min="10754" max="10754" width="17.85546875" style="21" customWidth="1"/>
    <col min="10755" max="10755" width="1.140625" style="21" customWidth="1"/>
    <col min="10756" max="10756" width="30.140625" style="21" customWidth="1"/>
    <col min="10757" max="10757" width="1.5703125" style="21" customWidth="1"/>
    <col min="10758" max="10758" width="21.140625" style="21" customWidth="1"/>
    <col min="10759" max="10759" width="1.5703125" style="21" customWidth="1"/>
    <col min="10760" max="10760" width="22.140625" style="21" customWidth="1"/>
    <col min="10761" max="10761" width="5.85546875" style="21" customWidth="1"/>
    <col min="10762" max="10762" width="27.42578125" style="21" customWidth="1"/>
    <col min="10763" max="10763" width="4.5703125" style="21" customWidth="1"/>
    <col min="10764" max="10764" width="3.140625" style="21" customWidth="1"/>
    <col min="10765" max="10767" width="1.5703125" style="21" customWidth="1"/>
    <col min="10768" max="10768" width="4.85546875" style="21" customWidth="1"/>
    <col min="10769" max="10770" width="1.5703125" style="21" customWidth="1"/>
    <col min="10771" max="11009" width="9.140625" style="21"/>
    <col min="11010" max="11010" width="17.85546875" style="21" customWidth="1"/>
    <col min="11011" max="11011" width="1.140625" style="21" customWidth="1"/>
    <col min="11012" max="11012" width="30.140625" style="21" customWidth="1"/>
    <col min="11013" max="11013" width="1.5703125" style="21" customWidth="1"/>
    <col min="11014" max="11014" width="21.140625" style="21" customWidth="1"/>
    <col min="11015" max="11015" width="1.5703125" style="21" customWidth="1"/>
    <col min="11016" max="11016" width="22.140625" style="21" customWidth="1"/>
    <col min="11017" max="11017" width="5.85546875" style="21" customWidth="1"/>
    <col min="11018" max="11018" width="27.42578125" style="21" customWidth="1"/>
    <col min="11019" max="11019" width="4.5703125" style="21" customWidth="1"/>
    <col min="11020" max="11020" width="3.140625" style="21" customWidth="1"/>
    <col min="11021" max="11023" width="1.5703125" style="21" customWidth="1"/>
    <col min="11024" max="11024" width="4.85546875" style="21" customWidth="1"/>
    <col min="11025" max="11026" width="1.5703125" style="21" customWidth="1"/>
    <col min="11027" max="11265" width="9.140625" style="21"/>
    <col min="11266" max="11266" width="17.85546875" style="21" customWidth="1"/>
    <col min="11267" max="11267" width="1.140625" style="21" customWidth="1"/>
    <col min="11268" max="11268" width="30.140625" style="21" customWidth="1"/>
    <col min="11269" max="11269" width="1.5703125" style="21" customWidth="1"/>
    <col min="11270" max="11270" width="21.140625" style="21" customWidth="1"/>
    <col min="11271" max="11271" width="1.5703125" style="21" customWidth="1"/>
    <col min="11272" max="11272" width="22.140625" style="21" customWidth="1"/>
    <col min="11273" max="11273" width="5.85546875" style="21" customWidth="1"/>
    <col min="11274" max="11274" width="27.42578125" style="21" customWidth="1"/>
    <col min="11275" max="11275" width="4.5703125" style="21" customWidth="1"/>
    <col min="11276" max="11276" width="3.140625" style="21" customWidth="1"/>
    <col min="11277" max="11279" width="1.5703125" style="21" customWidth="1"/>
    <col min="11280" max="11280" width="4.85546875" style="21" customWidth="1"/>
    <col min="11281" max="11282" width="1.5703125" style="21" customWidth="1"/>
    <col min="11283" max="11521" width="9.140625" style="21"/>
    <col min="11522" max="11522" width="17.85546875" style="21" customWidth="1"/>
    <col min="11523" max="11523" width="1.140625" style="21" customWidth="1"/>
    <col min="11524" max="11524" width="30.140625" style="21" customWidth="1"/>
    <col min="11525" max="11525" width="1.5703125" style="21" customWidth="1"/>
    <col min="11526" max="11526" width="21.140625" style="21" customWidth="1"/>
    <col min="11527" max="11527" width="1.5703125" style="21" customWidth="1"/>
    <col min="11528" max="11528" width="22.140625" style="21" customWidth="1"/>
    <col min="11529" max="11529" width="5.85546875" style="21" customWidth="1"/>
    <col min="11530" max="11530" width="27.42578125" style="21" customWidth="1"/>
    <col min="11531" max="11531" width="4.5703125" style="21" customWidth="1"/>
    <col min="11532" max="11532" width="3.140625" style="21" customWidth="1"/>
    <col min="11533" max="11535" width="1.5703125" style="21" customWidth="1"/>
    <col min="11536" max="11536" width="4.85546875" style="21" customWidth="1"/>
    <col min="11537" max="11538" width="1.5703125" style="21" customWidth="1"/>
    <col min="11539" max="11777" width="9.140625" style="21"/>
    <col min="11778" max="11778" width="17.85546875" style="21" customWidth="1"/>
    <col min="11779" max="11779" width="1.140625" style="21" customWidth="1"/>
    <col min="11780" max="11780" width="30.140625" style="21" customWidth="1"/>
    <col min="11781" max="11781" width="1.5703125" style="21" customWidth="1"/>
    <col min="11782" max="11782" width="21.140625" style="21" customWidth="1"/>
    <col min="11783" max="11783" width="1.5703125" style="21" customWidth="1"/>
    <col min="11784" max="11784" width="22.140625" style="21" customWidth="1"/>
    <col min="11785" max="11785" width="5.85546875" style="21" customWidth="1"/>
    <col min="11786" max="11786" width="27.42578125" style="21" customWidth="1"/>
    <col min="11787" max="11787" width="4.5703125" style="21" customWidth="1"/>
    <col min="11788" max="11788" width="3.140625" style="21" customWidth="1"/>
    <col min="11789" max="11791" width="1.5703125" style="21" customWidth="1"/>
    <col min="11792" max="11792" width="4.85546875" style="21" customWidth="1"/>
    <col min="11793" max="11794" width="1.5703125" style="21" customWidth="1"/>
    <col min="11795" max="12033" width="9.140625" style="21"/>
    <col min="12034" max="12034" width="17.85546875" style="21" customWidth="1"/>
    <col min="12035" max="12035" width="1.140625" style="21" customWidth="1"/>
    <col min="12036" max="12036" width="30.140625" style="21" customWidth="1"/>
    <col min="12037" max="12037" width="1.5703125" style="21" customWidth="1"/>
    <col min="12038" max="12038" width="21.140625" style="21" customWidth="1"/>
    <col min="12039" max="12039" width="1.5703125" style="21" customWidth="1"/>
    <col min="12040" max="12040" width="22.140625" style="21" customWidth="1"/>
    <col min="12041" max="12041" width="5.85546875" style="21" customWidth="1"/>
    <col min="12042" max="12042" width="27.42578125" style="21" customWidth="1"/>
    <col min="12043" max="12043" width="4.5703125" style="21" customWidth="1"/>
    <col min="12044" max="12044" width="3.140625" style="21" customWidth="1"/>
    <col min="12045" max="12047" width="1.5703125" style="21" customWidth="1"/>
    <col min="12048" max="12048" width="4.85546875" style="21" customWidth="1"/>
    <col min="12049" max="12050" width="1.5703125" style="21" customWidth="1"/>
    <col min="12051" max="12289" width="9.140625" style="21"/>
    <col min="12290" max="12290" width="17.85546875" style="21" customWidth="1"/>
    <col min="12291" max="12291" width="1.140625" style="21" customWidth="1"/>
    <col min="12292" max="12292" width="30.140625" style="21" customWidth="1"/>
    <col min="12293" max="12293" width="1.5703125" style="21" customWidth="1"/>
    <col min="12294" max="12294" width="21.140625" style="21" customWidth="1"/>
    <col min="12295" max="12295" width="1.5703125" style="21" customWidth="1"/>
    <col min="12296" max="12296" width="22.140625" style="21" customWidth="1"/>
    <col min="12297" max="12297" width="5.85546875" style="21" customWidth="1"/>
    <col min="12298" max="12298" width="27.42578125" style="21" customWidth="1"/>
    <col min="12299" max="12299" width="4.5703125" style="21" customWidth="1"/>
    <col min="12300" max="12300" width="3.140625" style="21" customWidth="1"/>
    <col min="12301" max="12303" width="1.5703125" style="21" customWidth="1"/>
    <col min="12304" max="12304" width="4.85546875" style="21" customWidth="1"/>
    <col min="12305" max="12306" width="1.5703125" style="21" customWidth="1"/>
    <col min="12307" max="12545" width="9.140625" style="21"/>
    <col min="12546" max="12546" width="17.85546875" style="21" customWidth="1"/>
    <col min="12547" max="12547" width="1.140625" style="21" customWidth="1"/>
    <col min="12548" max="12548" width="30.140625" style="21" customWidth="1"/>
    <col min="12549" max="12549" width="1.5703125" style="21" customWidth="1"/>
    <col min="12550" max="12550" width="21.140625" style="21" customWidth="1"/>
    <col min="12551" max="12551" width="1.5703125" style="21" customWidth="1"/>
    <col min="12552" max="12552" width="22.140625" style="21" customWidth="1"/>
    <col min="12553" max="12553" width="5.85546875" style="21" customWidth="1"/>
    <col min="12554" max="12554" width="27.42578125" style="21" customWidth="1"/>
    <col min="12555" max="12555" width="4.5703125" style="21" customWidth="1"/>
    <col min="12556" max="12556" width="3.140625" style="21" customWidth="1"/>
    <col min="12557" max="12559" width="1.5703125" style="21" customWidth="1"/>
    <col min="12560" max="12560" width="4.85546875" style="21" customWidth="1"/>
    <col min="12561" max="12562" width="1.5703125" style="21" customWidth="1"/>
    <col min="12563" max="12801" width="9.140625" style="21"/>
    <col min="12802" max="12802" width="17.85546875" style="21" customWidth="1"/>
    <col min="12803" max="12803" width="1.140625" style="21" customWidth="1"/>
    <col min="12804" max="12804" width="30.140625" style="21" customWidth="1"/>
    <col min="12805" max="12805" width="1.5703125" style="21" customWidth="1"/>
    <col min="12806" max="12806" width="21.140625" style="21" customWidth="1"/>
    <col min="12807" max="12807" width="1.5703125" style="21" customWidth="1"/>
    <col min="12808" max="12808" width="22.140625" style="21" customWidth="1"/>
    <col min="12809" max="12809" width="5.85546875" style="21" customWidth="1"/>
    <col min="12810" max="12810" width="27.42578125" style="21" customWidth="1"/>
    <col min="12811" max="12811" width="4.5703125" style="21" customWidth="1"/>
    <col min="12812" max="12812" width="3.140625" style="21" customWidth="1"/>
    <col min="12813" max="12815" width="1.5703125" style="21" customWidth="1"/>
    <col min="12816" max="12816" width="4.85546875" style="21" customWidth="1"/>
    <col min="12817" max="12818" width="1.5703125" style="21" customWidth="1"/>
    <col min="12819" max="13057" width="9.140625" style="21"/>
    <col min="13058" max="13058" width="17.85546875" style="21" customWidth="1"/>
    <col min="13059" max="13059" width="1.140625" style="21" customWidth="1"/>
    <col min="13060" max="13060" width="30.140625" style="21" customWidth="1"/>
    <col min="13061" max="13061" width="1.5703125" style="21" customWidth="1"/>
    <col min="13062" max="13062" width="21.140625" style="21" customWidth="1"/>
    <col min="13063" max="13063" width="1.5703125" style="21" customWidth="1"/>
    <col min="13064" max="13064" width="22.140625" style="21" customWidth="1"/>
    <col min="13065" max="13065" width="5.85546875" style="21" customWidth="1"/>
    <col min="13066" max="13066" width="27.42578125" style="21" customWidth="1"/>
    <col min="13067" max="13067" width="4.5703125" style="21" customWidth="1"/>
    <col min="13068" max="13068" width="3.140625" style="21" customWidth="1"/>
    <col min="13069" max="13071" width="1.5703125" style="21" customWidth="1"/>
    <col min="13072" max="13072" width="4.85546875" style="21" customWidth="1"/>
    <col min="13073" max="13074" width="1.5703125" style="21" customWidth="1"/>
    <col min="13075" max="13313" width="9.140625" style="21"/>
    <col min="13314" max="13314" width="17.85546875" style="21" customWidth="1"/>
    <col min="13315" max="13315" width="1.140625" style="21" customWidth="1"/>
    <col min="13316" max="13316" width="30.140625" style="21" customWidth="1"/>
    <col min="13317" max="13317" width="1.5703125" style="21" customWidth="1"/>
    <col min="13318" max="13318" width="21.140625" style="21" customWidth="1"/>
    <col min="13319" max="13319" width="1.5703125" style="21" customWidth="1"/>
    <col min="13320" max="13320" width="22.140625" style="21" customWidth="1"/>
    <col min="13321" max="13321" width="5.85546875" style="21" customWidth="1"/>
    <col min="13322" max="13322" width="27.42578125" style="21" customWidth="1"/>
    <col min="13323" max="13323" width="4.5703125" style="21" customWidth="1"/>
    <col min="13324" max="13324" width="3.140625" style="21" customWidth="1"/>
    <col min="13325" max="13327" width="1.5703125" style="21" customWidth="1"/>
    <col min="13328" max="13328" width="4.85546875" style="21" customWidth="1"/>
    <col min="13329" max="13330" width="1.5703125" style="21" customWidth="1"/>
    <col min="13331" max="13569" width="9.140625" style="21"/>
    <col min="13570" max="13570" width="17.85546875" style="21" customWidth="1"/>
    <col min="13571" max="13571" width="1.140625" style="21" customWidth="1"/>
    <col min="13572" max="13572" width="30.140625" style="21" customWidth="1"/>
    <col min="13573" max="13573" width="1.5703125" style="21" customWidth="1"/>
    <col min="13574" max="13574" width="21.140625" style="21" customWidth="1"/>
    <col min="13575" max="13575" width="1.5703125" style="21" customWidth="1"/>
    <col min="13576" max="13576" width="22.140625" style="21" customWidth="1"/>
    <col min="13577" max="13577" width="5.85546875" style="21" customWidth="1"/>
    <col min="13578" max="13578" width="27.42578125" style="21" customWidth="1"/>
    <col min="13579" max="13579" width="4.5703125" style="21" customWidth="1"/>
    <col min="13580" max="13580" width="3.140625" style="21" customWidth="1"/>
    <col min="13581" max="13583" width="1.5703125" style="21" customWidth="1"/>
    <col min="13584" max="13584" width="4.85546875" style="21" customWidth="1"/>
    <col min="13585" max="13586" width="1.5703125" style="21" customWidth="1"/>
    <col min="13587" max="13825" width="9.140625" style="21"/>
    <col min="13826" max="13826" width="17.85546875" style="21" customWidth="1"/>
    <col min="13827" max="13827" width="1.140625" style="21" customWidth="1"/>
    <col min="13828" max="13828" width="30.140625" style="21" customWidth="1"/>
    <col min="13829" max="13829" width="1.5703125" style="21" customWidth="1"/>
    <col min="13830" max="13830" width="21.140625" style="21" customWidth="1"/>
    <col min="13831" max="13831" width="1.5703125" style="21" customWidth="1"/>
    <col min="13832" max="13832" width="22.140625" style="21" customWidth="1"/>
    <col min="13833" max="13833" width="5.85546875" style="21" customWidth="1"/>
    <col min="13834" max="13834" width="27.42578125" style="21" customWidth="1"/>
    <col min="13835" max="13835" width="4.5703125" style="21" customWidth="1"/>
    <col min="13836" max="13836" width="3.140625" style="21" customWidth="1"/>
    <col min="13837" max="13839" width="1.5703125" style="21" customWidth="1"/>
    <col min="13840" max="13840" width="4.85546875" style="21" customWidth="1"/>
    <col min="13841" max="13842" width="1.5703125" style="21" customWidth="1"/>
    <col min="13843" max="14081" width="9.140625" style="21"/>
    <col min="14082" max="14082" width="17.85546875" style="21" customWidth="1"/>
    <col min="14083" max="14083" width="1.140625" style="21" customWidth="1"/>
    <col min="14084" max="14084" width="30.140625" style="21" customWidth="1"/>
    <col min="14085" max="14085" width="1.5703125" style="21" customWidth="1"/>
    <col min="14086" max="14086" width="21.140625" style="21" customWidth="1"/>
    <col min="14087" max="14087" width="1.5703125" style="21" customWidth="1"/>
    <col min="14088" max="14088" width="22.140625" style="21" customWidth="1"/>
    <col min="14089" max="14089" width="5.85546875" style="21" customWidth="1"/>
    <col min="14090" max="14090" width="27.42578125" style="21" customWidth="1"/>
    <col min="14091" max="14091" width="4.5703125" style="21" customWidth="1"/>
    <col min="14092" max="14092" width="3.140625" style="21" customWidth="1"/>
    <col min="14093" max="14095" width="1.5703125" style="21" customWidth="1"/>
    <col min="14096" max="14096" width="4.85546875" style="21" customWidth="1"/>
    <col min="14097" max="14098" width="1.5703125" style="21" customWidth="1"/>
    <col min="14099" max="14337" width="9.140625" style="21"/>
    <col min="14338" max="14338" width="17.85546875" style="21" customWidth="1"/>
    <col min="14339" max="14339" width="1.140625" style="21" customWidth="1"/>
    <col min="14340" max="14340" width="30.140625" style="21" customWidth="1"/>
    <col min="14341" max="14341" width="1.5703125" style="21" customWidth="1"/>
    <col min="14342" max="14342" width="21.140625" style="21" customWidth="1"/>
    <col min="14343" max="14343" width="1.5703125" style="21" customWidth="1"/>
    <col min="14344" max="14344" width="22.140625" style="21" customWidth="1"/>
    <col min="14345" max="14345" width="5.85546875" style="21" customWidth="1"/>
    <col min="14346" max="14346" width="27.42578125" style="21" customWidth="1"/>
    <col min="14347" max="14347" width="4.5703125" style="21" customWidth="1"/>
    <col min="14348" max="14348" width="3.140625" style="21" customWidth="1"/>
    <col min="14349" max="14351" width="1.5703125" style="21" customWidth="1"/>
    <col min="14352" max="14352" width="4.85546875" style="21" customWidth="1"/>
    <col min="14353" max="14354" width="1.5703125" style="21" customWidth="1"/>
    <col min="14355" max="14593" width="9.140625" style="21"/>
    <col min="14594" max="14594" width="17.85546875" style="21" customWidth="1"/>
    <col min="14595" max="14595" width="1.140625" style="21" customWidth="1"/>
    <col min="14596" max="14596" width="30.140625" style="21" customWidth="1"/>
    <col min="14597" max="14597" width="1.5703125" style="21" customWidth="1"/>
    <col min="14598" max="14598" width="21.140625" style="21" customWidth="1"/>
    <col min="14599" max="14599" width="1.5703125" style="21" customWidth="1"/>
    <col min="14600" max="14600" width="22.140625" style="21" customWidth="1"/>
    <col min="14601" max="14601" width="5.85546875" style="21" customWidth="1"/>
    <col min="14602" max="14602" width="27.42578125" style="21" customWidth="1"/>
    <col min="14603" max="14603" width="4.5703125" style="21" customWidth="1"/>
    <col min="14604" max="14604" width="3.140625" style="21" customWidth="1"/>
    <col min="14605" max="14607" width="1.5703125" style="21" customWidth="1"/>
    <col min="14608" max="14608" width="4.85546875" style="21" customWidth="1"/>
    <col min="14609" max="14610" width="1.5703125" style="21" customWidth="1"/>
    <col min="14611" max="14849" width="9.140625" style="21"/>
    <col min="14850" max="14850" width="17.85546875" style="21" customWidth="1"/>
    <col min="14851" max="14851" width="1.140625" style="21" customWidth="1"/>
    <col min="14852" max="14852" width="30.140625" style="21" customWidth="1"/>
    <col min="14853" max="14853" width="1.5703125" style="21" customWidth="1"/>
    <col min="14854" max="14854" width="21.140625" style="21" customWidth="1"/>
    <col min="14855" max="14855" width="1.5703125" style="21" customWidth="1"/>
    <col min="14856" max="14856" width="22.140625" style="21" customWidth="1"/>
    <col min="14857" max="14857" width="5.85546875" style="21" customWidth="1"/>
    <col min="14858" max="14858" width="27.42578125" style="21" customWidth="1"/>
    <col min="14859" max="14859" width="4.5703125" style="21" customWidth="1"/>
    <col min="14860" max="14860" width="3.140625" style="21" customWidth="1"/>
    <col min="14861" max="14863" width="1.5703125" style="21" customWidth="1"/>
    <col min="14864" max="14864" width="4.85546875" style="21" customWidth="1"/>
    <col min="14865" max="14866" width="1.5703125" style="21" customWidth="1"/>
    <col min="14867" max="15105" width="9.140625" style="21"/>
    <col min="15106" max="15106" width="17.85546875" style="21" customWidth="1"/>
    <col min="15107" max="15107" width="1.140625" style="21" customWidth="1"/>
    <col min="15108" max="15108" width="30.140625" style="21" customWidth="1"/>
    <col min="15109" max="15109" width="1.5703125" style="21" customWidth="1"/>
    <col min="15110" max="15110" width="21.140625" style="21" customWidth="1"/>
    <col min="15111" max="15111" width="1.5703125" style="21" customWidth="1"/>
    <col min="15112" max="15112" width="22.140625" style="21" customWidth="1"/>
    <col min="15113" max="15113" width="5.85546875" style="21" customWidth="1"/>
    <col min="15114" max="15114" width="27.42578125" style="21" customWidth="1"/>
    <col min="15115" max="15115" width="4.5703125" style="21" customWidth="1"/>
    <col min="15116" max="15116" width="3.140625" style="21" customWidth="1"/>
    <col min="15117" max="15119" width="1.5703125" style="21" customWidth="1"/>
    <col min="15120" max="15120" width="4.85546875" style="21" customWidth="1"/>
    <col min="15121" max="15122" width="1.5703125" style="21" customWidth="1"/>
    <col min="15123" max="15361" width="9.140625" style="21"/>
    <col min="15362" max="15362" width="17.85546875" style="21" customWidth="1"/>
    <col min="15363" max="15363" width="1.140625" style="21" customWidth="1"/>
    <col min="15364" max="15364" width="30.140625" style="21" customWidth="1"/>
    <col min="15365" max="15365" width="1.5703125" style="21" customWidth="1"/>
    <col min="15366" max="15366" width="21.140625" style="21" customWidth="1"/>
    <col min="15367" max="15367" width="1.5703125" style="21" customWidth="1"/>
    <col min="15368" max="15368" width="22.140625" style="21" customWidth="1"/>
    <col min="15369" max="15369" width="5.85546875" style="21" customWidth="1"/>
    <col min="15370" max="15370" width="27.42578125" style="21" customWidth="1"/>
    <col min="15371" max="15371" width="4.5703125" style="21" customWidth="1"/>
    <col min="15372" max="15372" width="3.140625" style="21" customWidth="1"/>
    <col min="15373" max="15375" width="1.5703125" style="21" customWidth="1"/>
    <col min="15376" max="15376" width="4.85546875" style="21" customWidth="1"/>
    <col min="15377" max="15378" width="1.5703125" style="21" customWidth="1"/>
    <col min="15379" max="15617" width="9.140625" style="21"/>
    <col min="15618" max="15618" width="17.85546875" style="21" customWidth="1"/>
    <col min="15619" max="15619" width="1.140625" style="21" customWidth="1"/>
    <col min="15620" max="15620" width="30.140625" style="21" customWidth="1"/>
    <col min="15621" max="15621" width="1.5703125" style="21" customWidth="1"/>
    <col min="15622" max="15622" width="21.140625" style="21" customWidth="1"/>
    <col min="15623" max="15623" width="1.5703125" style="21" customWidth="1"/>
    <col min="15624" max="15624" width="22.140625" style="21" customWidth="1"/>
    <col min="15625" max="15625" width="5.85546875" style="21" customWidth="1"/>
    <col min="15626" max="15626" width="27.42578125" style="21" customWidth="1"/>
    <col min="15627" max="15627" width="4.5703125" style="21" customWidth="1"/>
    <col min="15628" max="15628" width="3.140625" style="21" customWidth="1"/>
    <col min="15629" max="15631" width="1.5703125" style="21" customWidth="1"/>
    <col min="15632" max="15632" width="4.85546875" style="21" customWidth="1"/>
    <col min="15633" max="15634" width="1.5703125" style="21" customWidth="1"/>
    <col min="15635" max="15873" width="9.140625" style="21"/>
    <col min="15874" max="15874" width="17.85546875" style="21" customWidth="1"/>
    <col min="15875" max="15875" width="1.140625" style="21" customWidth="1"/>
    <col min="15876" max="15876" width="30.140625" style="21" customWidth="1"/>
    <col min="15877" max="15877" width="1.5703125" style="21" customWidth="1"/>
    <col min="15878" max="15878" width="21.140625" style="21" customWidth="1"/>
    <col min="15879" max="15879" width="1.5703125" style="21" customWidth="1"/>
    <col min="15880" max="15880" width="22.140625" style="21" customWidth="1"/>
    <col min="15881" max="15881" width="5.85546875" style="21" customWidth="1"/>
    <col min="15882" max="15882" width="27.42578125" style="21" customWidth="1"/>
    <col min="15883" max="15883" width="4.5703125" style="21" customWidth="1"/>
    <col min="15884" max="15884" width="3.140625" style="21" customWidth="1"/>
    <col min="15885" max="15887" width="1.5703125" style="21" customWidth="1"/>
    <col min="15888" max="15888" width="4.85546875" style="21" customWidth="1"/>
    <col min="15889" max="15890" width="1.5703125" style="21" customWidth="1"/>
    <col min="15891" max="16129" width="9.140625" style="21"/>
    <col min="16130" max="16130" width="17.85546875" style="21" customWidth="1"/>
    <col min="16131" max="16131" width="1.140625" style="21" customWidth="1"/>
    <col min="16132" max="16132" width="30.140625" style="21" customWidth="1"/>
    <col min="16133" max="16133" width="1.5703125" style="21" customWidth="1"/>
    <col min="16134" max="16134" width="21.140625" style="21" customWidth="1"/>
    <col min="16135" max="16135" width="1.5703125" style="21" customWidth="1"/>
    <col min="16136" max="16136" width="22.140625" style="21" customWidth="1"/>
    <col min="16137" max="16137" width="5.85546875" style="21" customWidth="1"/>
    <col min="16138" max="16138" width="27.42578125" style="21" customWidth="1"/>
    <col min="16139" max="16139" width="4.5703125" style="21" customWidth="1"/>
    <col min="16140" max="16140" width="3.140625" style="21" customWidth="1"/>
    <col min="16141" max="16143" width="1.5703125" style="21" customWidth="1"/>
    <col min="16144" max="16144" width="4.85546875" style="21" customWidth="1"/>
    <col min="16145" max="16146" width="1.5703125" style="21" customWidth="1"/>
    <col min="16147" max="16384" width="9.140625" style="21"/>
  </cols>
  <sheetData>
    <row r="1" spans="1:12" s="20" customFormat="1" ht="25.15" customHeight="1" x14ac:dyDescent="0.25">
      <c r="A1" s="2449" t="str">
        <f>+Index!$A$1</f>
        <v xml:space="preserve">                                                               Office of the State Controller                                                                </v>
      </c>
      <c r="B1" s="2638"/>
      <c r="C1" s="2638"/>
      <c r="D1" s="2638"/>
      <c r="E1" s="2638"/>
      <c r="F1" s="2638"/>
      <c r="G1" s="2638"/>
      <c r="H1" s="2638"/>
      <c r="I1" s="2638"/>
      <c r="J1" s="2638"/>
      <c r="K1" s="2638"/>
      <c r="L1" s="910" t="str">
        <f>IF(Index!$B$50="na","NA","")</f>
        <v/>
      </c>
    </row>
    <row r="2" spans="1:12" s="20" customFormat="1" ht="15.75" x14ac:dyDescent="0.25">
      <c r="A2" s="2631" t="str">
        <f>+Index!$A$2</f>
        <v>2022 ACFR Worksheets</v>
      </c>
      <c r="B2" s="2638"/>
      <c r="C2" s="2638"/>
      <c r="D2" s="2638"/>
      <c r="E2" s="2638"/>
      <c r="F2" s="2638"/>
      <c r="G2" s="2638"/>
      <c r="H2" s="2638"/>
      <c r="I2" s="2638"/>
      <c r="J2" s="2638"/>
      <c r="K2" s="2638"/>
      <c r="L2" s="910"/>
    </row>
    <row r="3" spans="1:12" s="20" customFormat="1" ht="15.75" x14ac:dyDescent="0.25">
      <c r="A3" s="2632" t="s">
        <v>4891</v>
      </c>
      <c r="B3" s="2638"/>
      <c r="C3" s="2638"/>
      <c r="D3" s="2638"/>
      <c r="E3" s="2638"/>
      <c r="F3" s="2638"/>
      <c r="G3" s="2638"/>
      <c r="H3" s="2638"/>
      <c r="I3" s="2638"/>
      <c r="J3" s="2638"/>
      <c r="K3" s="2638"/>
      <c r="L3" s="910"/>
    </row>
    <row r="4" spans="1:12" s="22" customFormat="1" ht="15" x14ac:dyDescent="0.25">
      <c r="F4" s="795"/>
      <c r="H4" s="795"/>
      <c r="I4" s="2078" t="s">
        <v>4792</v>
      </c>
    </row>
    <row r="5" spans="1:12" s="22" customFormat="1" ht="6" customHeight="1" x14ac:dyDescent="0.2">
      <c r="D5" s="253"/>
      <c r="E5" s="253"/>
      <c r="G5" s="2639"/>
      <c r="H5" s="2639"/>
      <c r="I5" s="2639"/>
      <c r="J5" s="2055"/>
    </row>
    <row r="6" spans="1:12" s="22" customFormat="1" ht="15" customHeight="1" x14ac:dyDescent="0.2">
      <c r="A6" s="796" t="s">
        <v>327</v>
      </c>
      <c r="B6" s="796"/>
      <c r="C6" s="797" t="str">
        <f>Index!$E$10</f>
        <v>01</v>
      </c>
      <c r="D6" s="253"/>
      <c r="E6" s="253"/>
      <c r="G6" s="23" t="s">
        <v>1154</v>
      </c>
      <c r="H6" s="2070"/>
      <c r="I6" s="2634" t="str">
        <f>+Index!$E$11</f>
        <v>North Carolina General Assembly</v>
      </c>
      <c r="J6" s="2634"/>
      <c r="K6" s="2634"/>
    </row>
    <row r="7" spans="1:12" s="22" customFormat="1" ht="15" customHeight="1" x14ac:dyDescent="0.2">
      <c r="D7" s="253"/>
      <c r="E7" s="253"/>
      <c r="G7" s="23" t="s">
        <v>972</v>
      </c>
      <c r="H7" s="2071"/>
      <c r="I7" s="2634" t="str">
        <f>CONCATENATE(Index!$E$12," ",Index!$E$14)</f>
        <v xml:space="preserve"> </v>
      </c>
      <c r="J7" s="2634"/>
      <c r="K7" s="2634"/>
    </row>
    <row r="8" spans="1:12" s="22" customFormat="1" ht="15" customHeight="1" x14ac:dyDescent="0.2">
      <c r="C8" s="793"/>
      <c r="D8" s="253"/>
      <c r="E8" s="253"/>
      <c r="G8" s="23" t="s">
        <v>348</v>
      </c>
      <c r="H8" s="2071"/>
      <c r="I8" s="2634">
        <f>+Index!$E$13</f>
        <v>0</v>
      </c>
      <c r="J8" s="2634"/>
      <c r="K8" s="2634"/>
    </row>
    <row r="9" spans="1:12" s="22" customFormat="1" ht="13.5" thickBot="1" x14ac:dyDescent="0.25">
      <c r="A9" s="120"/>
      <c r="B9" s="120"/>
      <c r="C9" s="120"/>
      <c r="D9" s="120"/>
      <c r="E9" s="120"/>
      <c r="F9" s="120"/>
      <c r="G9" s="120"/>
      <c r="H9" s="120"/>
      <c r="I9" s="120"/>
      <c r="J9" s="120"/>
      <c r="K9" s="120"/>
    </row>
    <row r="10" spans="1:12" s="22" customFormat="1" ht="12.75" x14ac:dyDescent="0.2"/>
    <row r="11" spans="1:12" s="22" customFormat="1" ht="12.75" x14ac:dyDescent="0.2">
      <c r="A11" s="2636" t="s">
        <v>4793</v>
      </c>
      <c r="B11" s="2636"/>
      <c r="C11" s="2636"/>
      <c r="D11" s="2636"/>
      <c r="E11" s="2636"/>
      <c r="F11" s="2636"/>
      <c r="G11" s="2636"/>
      <c r="H11" s="2636"/>
      <c r="I11" s="2636"/>
      <c r="J11" s="2421"/>
      <c r="K11" s="2421"/>
    </row>
    <row r="12" spans="1:12" s="22" customFormat="1" ht="12.75" x14ac:dyDescent="0.2">
      <c r="A12" s="2636" t="s">
        <v>4858</v>
      </c>
      <c r="B12" s="2636"/>
      <c r="C12" s="2636"/>
      <c r="D12" s="2636"/>
      <c r="E12" s="2636"/>
      <c r="F12" s="2636"/>
      <c r="G12" s="2636"/>
      <c r="H12" s="2636"/>
      <c r="I12" s="2636"/>
      <c r="J12" s="2421"/>
      <c r="K12" s="2421"/>
    </row>
    <row r="13" spans="1:12" s="22" customFormat="1" ht="12.75" x14ac:dyDescent="0.2">
      <c r="A13" s="2636" t="s">
        <v>4966</v>
      </c>
      <c r="B13" s="2636"/>
      <c r="C13" s="2636"/>
      <c r="D13" s="2636"/>
      <c r="E13" s="2636"/>
      <c r="F13" s="2636"/>
      <c r="G13" s="2636"/>
      <c r="H13" s="2636"/>
      <c r="I13" s="2636"/>
      <c r="J13" s="2421"/>
      <c r="K13" s="2421"/>
    </row>
    <row r="14" spans="1:12" s="22" customFormat="1" ht="12.75" x14ac:dyDescent="0.2">
      <c r="A14" s="2636" t="s">
        <v>5526</v>
      </c>
      <c r="B14" s="2636"/>
      <c r="C14" s="2636"/>
      <c r="D14" s="2636"/>
      <c r="E14" s="2636"/>
      <c r="F14" s="2636"/>
      <c r="G14" s="2636"/>
      <c r="H14" s="2636"/>
      <c r="I14" s="2636"/>
      <c r="J14" s="2421"/>
      <c r="K14" s="2421"/>
    </row>
    <row r="15" spans="1:12" s="22" customFormat="1" ht="12.75" x14ac:dyDescent="0.2">
      <c r="A15" s="2636" t="s">
        <v>5465</v>
      </c>
      <c r="B15" s="2636"/>
      <c r="C15" s="2636"/>
      <c r="D15" s="2636"/>
      <c r="E15" s="2636"/>
      <c r="F15" s="2636"/>
      <c r="G15" s="2636"/>
      <c r="H15" s="2636"/>
      <c r="I15" s="2636"/>
      <c r="J15" s="2421"/>
      <c r="K15" s="2421"/>
    </row>
    <row r="16" spans="1:12" s="22" customFormat="1" ht="12.75" x14ac:dyDescent="0.2">
      <c r="A16" s="2636" t="s">
        <v>5466</v>
      </c>
      <c r="B16" s="2421"/>
      <c r="C16" s="2421"/>
      <c r="D16" s="2421"/>
      <c r="E16" s="2421"/>
      <c r="F16" s="2421"/>
      <c r="G16" s="2421"/>
      <c r="H16" s="2421"/>
      <c r="I16" s="2421"/>
      <c r="J16" s="2421"/>
      <c r="K16" s="2421"/>
    </row>
    <row r="17" spans="1:11" customFormat="1" ht="12.75" x14ac:dyDescent="0.2">
      <c r="A17" s="2636" t="s">
        <v>4913</v>
      </c>
      <c r="B17" s="2636"/>
      <c r="C17" s="2636"/>
      <c r="D17" s="2636"/>
      <c r="E17" s="2636"/>
      <c r="F17" s="2636"/>
      <c r="G17" s="2636"/>
      <c r="H17" s="2636"/>
      <c r="I17" s="2636"/>
      <c r="J17" s="2636"/>
      <c r="K17" s="2636"/>
    </row>
    <row r="18" spans="1:11" customFormat="1" ht="12.75" x14ac:dyDescent="0.2">
      <c r="A18" s="272"/>
      <c r="B18" s="272"/>
      <c r="C18" s="272"/>
      <c r="D18" s="272"/>
      <c r="E18" s="272"/>
      <c r="F18" s="272"/>
      <c r="G18" s="272"/>
      <c r="H18" s="272"/>
      <c r="I18" s="272"/>
      <c r="J18" s="272"/>
      <c r="K18" s="272"/>
    </row>
    <row r="19" spans="1:11" customFormat="1" ht="15" x14ac:dyDescent="0.25">
      <c r="A19" s="2636" t="s">
        <v>4872</v>
      </c>
      <c r="B19" s="2636"/>
      <c r="C19" s="2636"/>
      <c r="D19" s="2636"/>
      <c r="E19" s="2636"/>
      <c r="F19" s="2636"/>
      <c r="G19" s="2636"/>
      <c r="H19" s="2636"/>
      <c r="I19" s="2636"/>
      <c r="J19" s="2421"/>
      <c r="K19" s="2421"/>
    </row>
    <row r="20" spans="1:11" customFormat="1" ht="12.75" x14ac:dyDescent="0.2">
      <c r="A20" s="1095"/>
      <c r="B20" s="1095"/>
      <c r="C20" s="1095"/>
      <c r="D20" s="1095"/>
      <c r="E20" s="1095"/>
      <c r="F20" s="1095"/>
      <c r="G20" s="1095"/>
      <c r="H20" s="1095"/>
      <c r="I20" s="1095"/>
      <c r="J20" s="272"/>
      <c r="K20" s="272"/>
    </row>
    <row r="21" spans="1:11" customFormat="1" ht="12.75" x14ac:dyDescent="0.2">
      <c r="A21" s="894" t="s">
        <v>969</v>
      </c>
      <c r="B21" s="296"/>
      <c r="C21" s="1369"/>
      <c r="D21" s="2074" t="str">
        <f>IF(AND(ISBLANK(C21),ISBLANK(C22))=TRUE,"Answer Missing"," ")</f>
        <v>Answer Missing</v>
      </c>
      <c r="E21" s="2069"/>
      <c r="F21" s="296"/>
      <c r="G21" s="2075" t="str">
        <f>IF(ISTEXT(C21), "Section B Required", " ")</f>
        <v xml:space="preserve"> </v>
      </c>
      <c r="H21" s="2075"/>
      <c r="I21" s="2075"/>
      <c r="J21" s="272"/>
      <c r="K21" s="272"/>
    </row>
    <row r="22" spans="1:11" customFormat="1" ht="12.75" x14ac:dyDescent="0.2">
      <c r="A22" s="894" t="s">
        <v>970</v>
      </c>
      <c r="B22" s="296"/>
      <c r="C22" s="1369"/>
      <c r="D22" s="1089"/>
      <c r="E22" s="296"/>
      <c r="F22" s="296"/>
      <c r="G22" s="296"/>
      <c r="H22" s="296"/>
      <c r="I22" s="296"/>
      <c r="J22" s="272"/>
      <c r="K22" s="272"/>
    </row>
    <row r="23" spans="1:11" customFormat="1" ht="12.75" x14ac:dyDescent="0.2">
      <c r="A23" s="894"/>
      <c r="B23" s="296"/>
      <c r="C23" s="1492"/>
      <c r="D23" s="1089"/>
      <c r="E23" s="296"/>
      <c r="F23" s="296"/>
      <c r="G23" s="296"/>
      <c r="H23" s="296"/>
      <c r="I23" s="296"/>
      <c r="J23" s="272"/>
      <c r="K23" s="272"/>
    </row>
    <row r="24" spans="1:11" customFormat="1" ht="15" x14ac:dyDescent="0.25">
      <c r="A24" s="1095" t="s">
        <v>4794</v>
      </c>
      <c r="B24" s="1095"/>
      <c r="C24" s="1095"/>
      <c r="D24" s="1095"/>
      <c r="E24" s="1095"/>
      <c r="F24" s="1095"/>
      <c r="G24" s="1095"/>
      <c r="H24" s="1095"/>
      <c r="I24" s="1095"/>
      <c r="J24" s="272"/>
      <c r="K24" s="272"/>
    </row>
    <row r="25" spans="1:11" s="22" customFormat="1" ht="12.75" x14ac:dyDescent="0.2">
      <c r="A25" s="2636" t="s">
        <v>5240</v>
      </c>
      <c r="B25" s="2636"/>
      <c r="C25" s="2636"/>
      <c r="D25" s="2636"/>
      <c r="E25" s="2636"/>
      <c r="F25" s="2636"/>
      <c r="G25" s="2636"/>
      <c r="H25" s="2636"/>
      <c r="I25" s="2636"/>
      <c r="J25" s="2636"/>
      <c r="K25" s="2636"/>
    </row>
    <row r="26" spans="1:11" s="22" customFormat="1" ht="12.75" x14ac:dyDescent="0.2">
      <c r="A26" s="2092" t="s">
        <v>5239</v>
      </c>
      <c r="B26" s="1095"/>
      <c r="C26" s="1095"/>
      <c r="D26" s="1095"/>
      <c r="E26" s="1095"/>
      <c r="F26" s="1095"/>
      <c r="G26" s="1095"/>
      <c r="H26" s="1095"/>
      <c r="I26" s="1095"/>
      <c r="J26" s="1095"/>
      <c r="K26" s="1095"/>
    </row>
    <row r="27" spans="1:11" s="22" customFormat="1" ht="12.75" x14ac:dyDescent="0.2">
      <c r="A27" s="1372"/>
      <c r="B27" s="1372"/>
      <c r="C27" s="1372"/>
      <c r="D27" s="1372"/>
      <c r="E27" s="1372"/>
      <c r="F27" s="1372"/>
      <c r="G27" s="1372"/>
      <c r="H27" s="1372"/>
      <c r="I27" s="2056" t="s">
        <v>4785</v>
      </c>
      <c r="J27" s="1372"/>
      <c r="K27" s="2056" t="s">
        <v>4786</v>
      </c>
    </row>
    <row r="28" spans="1:11" s="22" customFormat="1" ht="12.75" x14ac:dyDescent="0.2">
      <c r="A28" s="1372"/>
      <c r="B28" s="1372"/>
      <c r="C28" s="1372"/>
      <c r="D28" s="1372"/>
      <c r="E28" s="1372"/>
      <c r="F28" s="1372"/>
      <c r="G28" s="1372"/>
      <c r="H28" s="1372"/>
      <c r="I28" s="1017" t="s">
        <v>4868</v>
      </c>
      <c r="J28" s="1372"/>
      <c r="K28" s="1017" t="s">
        <v>4868</v>
      </c>
    </row>
    <row r="29" spans="1:11" s="22" customFormat="1" ht="12.75" x14ac:dyDescent="0.2">
      <c r="A29" s="1372"/>
      <c r="B29" s="1372"/>
      <c r="C29" s="1372"/>
      <c r="D29" s="1372"/>
      <c r="E29" s="1372"/>
      <c r="F29" s="1372"/>
      <c r="G29" s="1390" t="s">
        <v>4860</v>
      </c>
      <c r="H29" s="1372"/>
      <c r="I29" s="1017" t="s">
        <v>5464</v>
      </c>
      <c r="J29" s="1372"/>
      <c r="K29" s="1017" t="s">
        <v>5464</v>
      </c>
    </row>
    <row r="30" spans="1:11" s="867" customFormat="1" ht="15" x14ac:dyDescent="0.25">
      <c r="A30" s="2072" t="s">
        <v>4788</v>
      </c>
      <c r="B30" s="2077"/>
      <c r="C30" s="2072" t="s">
        <v>4789</v>
      </c>
      <c r="D30" s="2077"/>
      <c r="E30" s="2072" t="s">
        <v>4790</v>
      </c>
      <c r="F30" s="2077"/>
      <c r="G30" s="2072" t="s">
        <v>4859</v>
      </c>
      <c r="H30" s="2077"/>
      <c r="I30" s="2057" t="s">
        <v>5462</v>
      </c>
      <c r="J30" s="1017"/>
      <c r="K30" s="2057" t="s">
        <v>5463</v>
      </c>
    </row>
    <row r="31" spans="1:11" s="22" customFormat="1" ht="12.75" x14ac:dyDescent="0.2">
      <c r="A31" s="2058"/>
      <c r="B31" s="2039"/>
      <c r="C31" s="1379"/>
      <c r="D31" s="2059"/>
      <c r="E31" s="2060"/>
      <c r="F31" s="1380"/>
      <c r="G31" s="2060"/>
      <c r="H31" s="2076"/>
      <c r="I31" s="2062"/>
      <c r="J31" s="2063"/>
      <c r="K31" s="2062"/>
    </row>
    <row r="32" spans="1:11" s="22" customFormat="1" ht="12.75" x14ac:dyDescent="0.2">
      <c r="A32" s="2058"/>
      <c r="B32" s="2039"/>
      <c r="C32" s="1379"/>
      <c r="D32" s="2039"/>
      <c r="E32" s="2060"/>
      <c r="F32" s="1380"/>
      <c r="G32" s="2060"/>
      <c r="H32" s="2076"/>
      <c r="I32" s="2062"/>
      <c r="J32" s="2063"/>
      <c r="K32" s="2062"/>
    </row>
    <row r="33" spans="1:16" s="22" customFormat="1" ht="12.75" x14ac:dyDescent="0.2">
      <c r="A33" s="2058"/>
      <c r="B33" s="2039"/>
      <c r="C33" s="1379"/>
      <c r="D33" s="2039"/>
      <c r="E33" s="2060"/>
      <c r="F33" s="1380"/>
      <c r="G33" s="2060"/>
      <c r="H33" s="2076"/>
      <c r="I33" s="2062"/>
      <c r="J33" s="2063"/>
      <c r="K33" s="2062"/>
    </row>
    <row r="34" spans="1:16" s="22" customFormat="1" ht="12.75" x14ac:dyDescent="0.2">
      <c r="A34" s="2058"/>
      <c r="B34" s="2039"/>
      <c r="C34" s="1379"/>
      <c r="D34" s="2039"/>
      <c r="E34" s="2060"/>
      <c r="F34" s="1380"/>
      <c r="G34" s="2060"/>
      <c r="H34" s="2076"/>
      <c r="I34" s="2062"/>
      <c r="J34" s="2063"/>
      <c r="K34" s="2062"/>
    </row>
    <row r="35" spans="1:16" s="22" customFormat="1" ht="9.75" customHeight="1" x14ac:dyDescent="0.2">
      <c r="A35" s="868"/>
      <c r="B35" s="868"/>
      <c r="C35" s="2073"/>
      <c r="D35" s="2073"/>
      <c r="E35" s="2073"/>
      <c r="F35" s="1284"/>
      <c r="G35" s="1284"/>
      <c r="H35" s="1284"/>
      <c r="I35" s="430"/>
      <c r="J35" s="430"/>
      <c r="K35" s="1284"/>
      <c r="L35" s="1284"/>
      <c r="M35" s="1284"/>
      <c r="N35" s="1284"/>
      <c r="O35" s="1284"/>
      <c r="P35" s="1284"/>
    </row>
    <row r="36" spans="1:16" s="22" customFormat="1" ht="12.75" x14ac:dyDescent="0.2">
      <c r="A36" s="2636" t="s">
        <v>4862</v>
      </c>
      <c r="B36" s="2636"/>
      <c r="C36" s="2636"/>
      <c r="D36" s="2636"/>
      <c r="E36" s="2636"/>
      <c r="F36" s="2636"/>
      <c r="G36" s="2636"/>
      <c r="H36" s="2636"/>
      <c r="I36" s="2636"/>
      <c r="J36" s="2421"/>
      <c r="K36" s="2421"/>
      <c r="L36" s="1284"/>
      <c r="M36" s="1284"/>
      <c r="N36" s="1284"/>
      <c r="O36" s="1284"/>
      <c r="P36" s="1284"/>
    </row>
    <row r="37" spans="1:16" s="22" customFormat="1" ht="12.75" x14ac:dyDescent="0.2">
      <c r="A37" s="2092" t="s">
        <v>4861</v>
      </c>
      <c r="B37" s="1095"/>
      <c r="C37" s="1095"/>
      <c r="D37" s="1095"/>
      <c r="E37" s="1095"/>
      <c r="F37" s="1095"/>
      <c r="G37" s="1095"/>
      <c r="H37" s="1095"/>
      <c r="I37" s="1095"/>
      <c r="J37" s="1095"/>
      <c r="K37" s="1284"/>
      <c r="L37" s="1284"/>
      <c r="M37" s="1284"/>
      <c r="N37" s="1284"/>
      <c r="O37" s="1284"/>
      <c r="P37" s="1284"/>
    </row>
    <row r="38" spans="1:16" s="22" customFormat="1" ht="12.75" x14ac:dyDescent="0.2">
      <c r="A38" s="1372"/>
      <c r="B38" s="1372"/>
      <c r="C38" s="1372"/>
      <c r="D38" s="1372"/>
      <c r="E38" s="1372"/>
      <c r="F38" s="1372"/>
      <c r="G38" s="1372"/>
      <c r="H38" s="1372"/>
      <c r="I38" s="2056" t="s">
        <v>4785</v>
      </c>
      <c r="J38" s="1372"/>
      <c r="K38" s="2056" t="s">
        <v>4786</v>
      </c>
      <c r="L38" s="1284"/>
      <c r="M38" s="1284"/>
      <c r="N38" s="1284"/>
      <c r="O38" s="1284"/>
      <c r="P38" s="1284"/>
    </row>
    <row r="39" spans="1:16" s="22" customFormat="1" ht="12.75" x14ac:dyDescent="0.2">
      <c r="A39" s="1372"/>
      <c r="B39" s="1372"/>
      <c r="C39" s="1372"/>
      <c r="D39" s="1372"/>
      <c r="E39" s="1372"/>
      <c r="F39" s="1372"/>
      <c r="G39" s="1372"/>
      <c r="H39" s="1372"/>
      <c r="I39" s="1017" t="s">
        <v>4787</v>
      </c>
      <c r="J39" s="1372"/>
      <c r="K39" s="1017" t="s">
        <v>4787</v>
      </c>
      <c r="L39" s="1284"/>
      <c r="M39" s="1284"/>
      <c r="N39" s="1284"/>
      <c r="O39" s="1284"/>
      <c r="P39" s="1284"/>
    </row>
    <row r="40" spans="1:16" s="22" customFormat="1" ht="12.75" x14ac:dyDescent="0.2">
      <c r="A40" s="1372"/>
      <c r="B40" s="1372"/>
      <c r="C40" s="1372"/>
      <c r="D40" s="1372"/>
      <c r="E40" s="1372"/>
      <c r="F40" s="1372"/>
      <c r="G40" s="1390" t="s">
        <v>4860</v>
      </c>
      <c r="H40" s="1372"/>
      <c r="I40" s="1017" t="s">
        <v>5464</v>
      </c>
      <c r="J40" s="1372"/>
      <c r="K40" s="1017" t="s">
        <v>5464</v>
      </c>
      <c r="L40" s="1284"/>
      <c r="M40" s="1284"/>
      <c r="N40" s="1284"/>
      <c r="O40" s="1284"/>
      <c r="P40" s="1284"/>
    </row>
    <row r="41" spans="1:16" s="22" customFormat="1" ht="12.75" x14ac:dyDescent="0.2">
      <c r="A41" s="2072" t="s">
        <v>4788</v>
      </c>
      <c r="B41" s="2077"/>
      <c r="C41" s="2072" t="s">
        <v>4789</v>
      </c>
      <c r="D41" s="2077"/>
      <c r="E41" s="2072" t="s">
        <v>4790</v>
      </c>
      <c r="F41" s="2077"/>
      <c r="G41" s="2072" t="s">
        <v>4859</v>
      </c>
      <c r="H41" s="2077"/>
      <c r="I41" s="2057" t="s">
        <v>5462</v>
      </c>
      <c r="J41" s="1017"/>
      <c r="K41" s="2057" t="s">
        <v>5463</v>
      </c>
      <c r="L41" s="1284"/>
      <c r="M41" s="1284"/>
      <c r="N41" s="1284"/>
      <c r="O41" s="1284"/>
      <c r="P41" s="1284"/>
    </row>
    <row r="42" spans="1:16" s="22" customFormat="1" ht="12.75" x14ac:dyDescent="0.2">
      <c r="A42" s="2058"/>
      <c r="B42" s="2039"/>
      <c r="C42" s="1379"/>
      <c r="D42" s="2059"/>
      <c r="E42" s="2060"/>
      <c r="F42" s="1380"/>
      <c r="G42" s="2060"/>
      <c r="H42" s="2076"/>
      <c r="I42" s="2062"/>
      <c r="J42" s="2063"/>
      <c r="K42" s="2062"/>
      <c r="L42" s="1284"/>
      <c r="M42" s="1284"/>
      <c r="N42" s="1284"/>
      <c r="O42" s="1284"/>
      <c r="P42" s="1284"/>
    </row>
    <row r="43" spans="1:16" s="22" customFormat="1" ht="12.75" x14ac:dyDescent="0.2">
      <c r="A43" s="2058"/>
      <c r="B43" s="2039"/>
      <c r="C43" s="1379"/>
      <c r="D43" s="2039"/>
      <c r="E43" s="2060"/>
      <c r="F43" s="1380"/>
      <c r="G43" s="2060"/>
      <c r="H43" s="2076"/>
      <c r="I43" s="2062"/>
      <c r="J43" s="2063"/>
      <c r="K43" s="2062"/>
      <c r="L43" s="1284"/>
      <c r="M43" s="1284"/>
      <c r="N43" s="1284"/>
      <c r="O43" s="1284"/>
      <c r="P43" s="1284"/>
    </row>
    <row r="44" spans="1:16" s="22" customFormat="1" ht="12.75" x14ac:dyDescent="0.2">
      <c r="A44" s="2058"/>
      <c r="B44" s="2039"/>
      <c r="C44" s="1379"/>
      <c r="D44" s="2039"/>
      <c r="E44" s="2060"/>
      <c r="F44" s="1380"/>
      <c r="G44" s="2060"/>
      <c r="H44" s="2076"/>
      <c r="I44" s="2062"/>
      <c r="J44" s="2063"/>
      <c r="K44" s="2062"/>
      <c r="L44" s="1284"/>
      <c r="M44" s="1284"/>
      <c r="N44" s="1284"/>
      <c r="O44" s="1284"/>
      <c r="P44" s="1284"/>
    </row>
    <row r="45" spans="1:16" s="22" customFormat="1" ht="12.75" x14ac:dyDescent="0.2">
      <c r="A45" s="2058"/>
      <c r="B45" s="2039"/>
      <c r="C45" s="1379"/>
      <c r="D45" s="2039"/>
      <c r="E45" s="2060"/>
      <c r="F45" s="1380"/>
      <c r="G45" s="2060"/>
      <c r="H45" s="2076"/>
      <c r="I45" s="2062"/>
      <c r="J45" s="2063"/>
      <c r="K45" s="2062"/>
      <c r="L45" s="1284"/>
      <c r="M45" s="1284"/>
      <c r="N45" s="1284"/>
      <c r="O45" s="1284"/>
      <c r="P45" s="1284"/>
    </row>
    <row r="46" spans="1:16" s="22" customFormat="1" ht="9.75" customHeight="1" x14ac:dyDescent="0.2">
      <c r="A46" s="868"/>
      <c r="B46" s="868"/>
      <c r="C46" s="2073"/>
      <c r="D46" s="2073"/>
      <c r="E46" s="2073"/>
      <c r="F46" s="1284"/>
      <c r="G46" s="1284"/>
      <c r="H46" s="1284"/>
      <c r="I46" s="430"/>
      <c r="J46" s="430"/>
      <c r="K46" s="1284"/>
      <c r="L46" s="1284"/>
      <c r="M46" s="1284"/>
      <c r="N46" s="1284"/>
      <c r="O46" s="1284"/>
      <c r="P46" s="1284"/>
    </row>
    <row r="47" spans="1:16" s="22" customFormat="1" ht="12.75" x14ac:dyDescent="0.2">
      <c r="A47" s="2636" t="s">
        <v>4863</v>
      </c>
      <c r="B47" s="2636"/>
      <c r="C47" s="2636"/>
      <c r="D47" s="2636"/>
      <c r="E47" s="2636"/>
      <c r="F47" s="2636"/>
      <c r="G47" s="2636"/>
      <c r="H47" s="2636"/>
      <c r="I47" s="2636"/>
      <c r="J47" s="2421"/>
      <c r="K47" s="2421"/>
      <c r="L47" s="1284"/>
      <c r="M47" s="1284"/>
      <c r="N47" s="1284"/>
      <c r="O47" s="1284"/>
      <c r="P47" s="1284"/>
    </row>
    <row r="48" spans="1:16" s="22" customFormat="1" ht="12.75" x14ac:dyDescent="0.2">
      <c r="A48" s="2637" t="s">
        <v>4791</v>
      </c>
      <c r="B48" s="2637"/>
      <c r="C48" s="2637"/>
      <c r="D48" s="2637"/>
      <c r="E48" s="2637"/>
      <c r="F48" s="2637"/>
      <c r="G48" s="2637"/>
      <c r="H48" s="2637"/>
      <c r="I48" s="2637"/>
      <c r="J48" s="2637"/>
      <c r="K48" s="2637"/>
      <c r="L48" s="1284"/>
      <c r="M48" s="1284"/>
      <c r="N48" s="1284"/>
      <c r="O48" s="1284"/>
      <c r="P48" s="1284"/>
    </row>
    <row r="49" spans="1:16" s="22" customFormat="1" ht="12.75" x14ac:dyDescent="0.2">
      <c r="A49" s="1372"/>
      <c r="B49" s="1372"/>
      <c r="C49" s="1372"/>
      <c r="D49" s="1372"/>
      <c r="E49" s="1372"/>
      <c r="F49" s="1372"/>
      <c r="G49" s="1372"/>
      <c r="H49" s="1372"/>
      <c r="I49" s="2056" t="s">
        <v>4786</v>
      </c>
      <c r="J49" s="1372"/>
      <c r="K49" s="2056"/>
      <c r="L49" s="1284"/>
      <c r="M49" s="1284"/>
      <c r="N49" s="1284"/>
      <c r="O49" s="1284"/>
      <c r="P49" s="1284"/>
    </row>
    <row r="50" spans="1:16" ht="12.75" x14ac:dyDescent="0.2">
      <c r="A50" s="1372"/>
      <c r="B50" s="1372"/>
      <c r="C50" s="1372"/>
      <c r="D50" s="1372"/>
      <c r="E50" s="1372"/>
      <c r="F50" s="1372"/>
      <c r="G50" s="1372"/>
      <c r="H50" s="1372"/>
      <c r="I50" s="1017" t="s">
        <v>4787</v>
      </c>
      <c r="J50" s="1372"/>
      <c r="K50" s="1017"/>
    </row>
    <row r="51" spans="1:16" ht="12.75" x14ac:dyDescent="0.2">
      <c r="A51" s="1372"/>
      <c r="B51" s="1372"/>
      <c r="C51" s="1372"/>
      <c r="D51" s="1372"/>
      <c r="E51" s="1372"/>
      <c r="F51" s="1372"/>
      <c r="G51" s="1390" t="s">
        <v>4860</v>
      </c>
      <c r="H51" s="1372"/>
      <c r="I51" s="1017" t="s">
        <v>5464</v>
      </c>
      <c r="J51" s="1372"/>
      <c r="K51" s="1017"/>
    </row>
    <row r="52" spans="1:16" ht="12.75" x14ac:dyDescent="0.2">
      <c r="A52" s="2072" t="s">
        <v>4788</v>
      </c>
      <c r="B52" s="2077"/>
      <c r="C52" s="2072" t="s">
        <v>4789</v>
      </c>
      <c r="D52" s="2077"/>
      <c r="E52" s="2072" t="s">
        <v>4790</v>
      </c>
      <c r="F52" s="2077"/>
      <c r="G52" s="2072" t="s">
        <v>4859</v>
      </c>
      <c r="H52" s="2077"/>
      <c r="I52" s="2057" t="s">
        <v>5463</v>
      </c>
      <c r="J52" s="1017"/>
      <c r="K52" s="2064"/>
    </row>
    <row r="53" spans="1:16" ht="12.75" x14ac:dyDescent="0.2">
      <c r="A53" s="2058"/>
      <c r="B53" s="2039"/>
      <c r="C53" s="1379"/>
      <c r="D53" s="2059"/>
      <c r="E53" s="2060"/>
      <c r="F53" s="1380"/>
      <c r="G53" s="2060"/>
      <c r="H53" s="2076"/>
      <c r="I53" s="2062"/>
      <c r="J53" s="2063"/>
      <c r="K53" s="2063"/>
    </row>
    <row r="54" spans="1:16" ht="12.75" x14ac:dyDescent="0.2">
      <c r="A54" s="2058"/>
      <c r="B54" s="2039"/>
      <c r="C54" s="1379"/>
      <c r="D54" s="2039"/>
      <c r="E54" s="2060"/>
      <c r="F54" s="1380"/>
      <c r="G54" s="2060"/>
      <c r="H54" s="2076"/>
      <c r="I54" s="2062"/>
      <c r="J54" s="2063"/>
      <c r="K54" s="2063"/>
    </row>
    <row r="55" spans="1:16" ht="12.75" x14ac:dyDescent="0.2">
      <c r="A55" s="2058"/>
      <c r="B55" s="2039"/>
      <c r="C55" s="1379"/>
      <c r="D55" s="2039"/>
      <c r="E55" s="2060"/>
      <c r="F55" s="1380"/>
      <c r="G55" s="2060"/>
      <c r="H55" s="2076"/>
      <c r="I55" s="2062"/>
      <c r="J55" s="2063"/>
      <c r="K55" s="2063"/>
    </row>
    <row r="56" spans="1:16" ht="12.75" x14ac:dyDescent="0.2">
      <c r="A56" s="2058"/>
      <c r="B56" s="2039"/>
      <c r="C56" s="1379"/>
      <c r="D56" s="2039"/>
      <c r="E56" s="2060"/>
      <c r="F56" s="1380"/>
      <c r="G56" s="2060"/>
      <c r="H56" s="2076"/>
      <c r="I56" s="2062"/>
      <c r="J56" s="2063"/>
      <c r="K56" s="2063"/>
    </row>
    <row r="57" spans="1:16" ht="12.75" x14ac:dyDescent="0.2">
      <c r="A57" s="2065"/>
      <c r="B57" s="736"/>
      <c r="C57" s="736"/>
      <c r="D57" s="22"/>
      <c r="E57" s="2066"/>
      <c r="F57" s="2067"/>
      <c r="G57" s="2635"/>
      <c r="H57" s="2635"/>
      <c r="I57" s="2635"/>
      <c r="J57" s="2061"/>
      <c r="K57" s="22"/>
    </row>
    <row r="58" spans="1:16" ht="12.75" x14ac:dyDescent="0.2">
      <c r="A58" s="2065"/>
      <c r="B58" s="736"/>
      <c r="C58" s="736"/>
      <c r="D58" s="2068"/>
      <c r="E58" s="2066"/>
      <c r="F58" s="2067"/>
      <c r="G58" s="2067"/>
      <c r="H58" s="2067"/>
      <c r="I58" s="2067"/>
      <c r="J58" s="2061"/>
    </row>
    <row r="59" spans="1:16" ht="12.75" x14ac:dyDescent="0.2">
      <c r="A59" s="2065"/>
      <c r="B59" s="736"/>
      <c r="C59" s="736"/>
      <c r="D59" s="736"/>
      <c r="E59" s="2066"/>
      <c r="F59" s="2067"/>
      <c r="G59" s="2067"/>
      <c r="H59" s="2067"/>
      <c r="I59" s="2067"/>
      <c r="J59" s="2061"/>
    </row>
    <row r="60" spans="1:16" ht="12.75" x14ac:dyDescent="0.2">
      <c r="A60" s="2065"/>
      <c r="B60" s="736"/>
      <c r="C60" s="736"/>
      <c r="D60" s="736"/>
      <c r="E60" s="2066"/>
      <c r="F60" s="2067"/>
      <c r="G60" s="2067"/>
      <c r="H60" s="2067"/>
      <c r="I60" s="2067"/>
      <c r="J60" s="2061"/>
    </row>
    <row r="61" spans="1:16" ht="12.75" x14ac:dyDescent="0.2">
      <c r="A61" s="2065"/>
      <c r="B61" s="736"/>
      <c r="C61" s="736"/>
      <c r="D61" s="736"/>
      <c r="E61" s="2066"/>
      <c r="F61" s="2067"/>
      <c r="G61" s="2067"/>
      <c r="H61" s="2067"/>
      <c r="I61" s="2067"/>
      <c r="J61" s="2061"/>
    </row>
  </sheetData>
  <sheetProtection algorithmName="SHA-512" hashValue="Fawi94eq7Pij5HaxhxOoIHrtK/68p71orzasZDRuu1mODT87WhV7S1Dbig3N1BBOIT4IsNgxwCsITOQRPgsndQ==" saltValue="9jt8vXiLU03KgxO0s3uLjg==" spinCount="100000" sheet="1" objects="1" scenarios="1" autoFilter="0"/>
  <mergeCells count="20">
    <mergeCell ref="A1:K1"/>
    <mergeCell ref="A2:K2"/>
    <mergeCell ref="A3:K3"/>
    <mergeCell ref="I6:K6"/>
    <mergeCell ref="G5:I5"/>
    <mergeCell ref="I7:K7"/>
    <mergeCell ref="I8:K8"/>
    <mergeCell ref="G57:I57"/>
    <mergeCell ref="A15:K15"/>
    <mergeCell ref="A14:K14"/>
    <mergeCell ref="A11:K11"/>
    <mergeCell ref="A12:K12"/>
    <mergeCell ref="A13:K13"/>
    <mergeCell ref="A19:K19"/>
    <mergeCell ref="A16:K16"/>
    <mergeCell ref="A36:K36"/>
    <mergeCell ref="A47:K47"/>
    <mergeCell ref="A48:K48"/>
    <mergeCell ref="A25:K25"/>
    <mergeCell ref="A17:K17"/>
  </mergeCells>
  <conditionalFormatting sqref="D21">
    <cfRule type="containsText" dxfId="112" priority="3" stopIfTrue="1" operator="containsText" text="Answer Missing">
      <formula>NOT(ISERROR(SEARCH("Answer Missing",D21)))</formula>
    </cfRule>
  </conditionalFormatting>
  <conditionalFormatting sqref="G21">
    <cfRule type="containsText" dxfId="111" priority="2" stopIfTrue="1" operator="containsText" text="Answer Missing">
      <formula>NOT(ISERROR(SEARCH("Answer Missing",G21)))</formula>
    </cfRule>
  </conditionalFormatting>
  <conditionalFormatting sqref="L1:L3">
    <cfRule type="cellIs" dxfId="110" priority="1" stopIfTrue="1" operator="equal">
      <formula>"na"</formula>
    </cfRule>
  </conditionalFormatting>
  <hyperlinks>
    <hyperlink ref="A1:I1" location="Index!A1" display="Index!A1" xr:uid="{7D16492F-D665-461A-8D1D-E6E9E8B7D32B}"/>
  </hyperlinks>
  <pageMargins left="0.7" right="0.7" top="0.75" bottom="0.75" header="0.3" footer="0.3"/>
  <pageSetup scale="69" orientation="landscape" horizontalDpi="1200" verticalDpi="1200" r:id="rId1"/>
  <headerFoot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D8FD6-3F6D-4368-A7DB-152338C512E7}">
  <sheetPr codeName="Sheet98"/>
  <dimension ref="A1:P60"/>
  <sheetViews>
    <sheetView zoomScaleNormal="100" workbookViewId="0">
      <selection activeCell="T28" sqref="T28"/>
    </sheetView>
  </sheetViews>
  <sheetFormatPr defaultColWidth="9.140625" defaultRowHeight="10.5" x14ac:dyDescent="0.15"/>
  <cols>
    <col min="1" max="1" width="15.42578125" style="2310" customWidth="1"/>
    <col min="2" max="2" width="1.140625" style="2310" customWidth="1"/>
    <col min="3" max="3" width="17.5703125" style="2310" customWidth="1"/>
    <col min="4" max="4" width="1.5703125" style="2310" customWidth="1"/>
    <col min="5" max="5" width="22.5703125" style="2310" customWidth="1"/>
    <col min="6" max="6" width="1.5703125" style="2310" customWidth="1"/>
    <col min="7" max="7" width="30.5703125" style="2310" bestFit="1" customWidth="1"/>
    <col min="8" max="8" width="1.5703125" style="2310" customWidth="1"/>
    <col min="9" max="9" width="25.42578125" style="2310" customWidth="1"/>
    <col min="10" max="10" width="1.5703125" style="2310" customWidth="1"/>
    <col min="11" max="11" width="25.140625" style="2310" bestFit="1" customWidth="1"/>
    <col min="12" max="12" width="7.5703125" style="2310" customWidth="1"/>
    <col min="13" max="15" width="1.5703125" style="2310" customWidth="1"/>
    <col min="16" max="16" width="4.85546875" style="2310" customWidth="1"/>
    <col min="17" max="18" width="1.5703125" style="2310" customWidth="1"/>
    <col min="19" max="257" width="9.140625" style="2310"/>
    <col min="258" max="258" width="17.85546875" style="2310" customWidth="1"/>
    <col min="259" max="259" width="1.140625" style="2310" customWidth="1"/>
    <col min="260" max="260" width="30.140625" style="2310" customWidth="1"/>
    <col min="261" max="261" width="1.5703125" style="2310" customWidth="1"/>
    <col min="262" max="262" width="21.140625" style="2310" customWidth="1"/>
    <col min="263" max="263" width="1.5703125" style="2310" customWidth="1"/>
    <col min="264" max="264" width="22.140625" style="2310" customWidth="1"/>
    <col min="265" max="265" width="5.85546875" style="2310" customWidth="1"/>
    <col min="266" max="266" width="27.42578125" style="2310" customWidth="1"/>
    <col min="267" max="267" width="4.5703125" style="2310" customWidth="1"/>
    <col min="268" max="268" width="3.140625" style="2310" customWidth="1"/>
    <col min="269" max="271" width="1.5703125" style="2310" customWidth="1"/>
    <col min="272" max="272" width="4.85546875" style="2310" customWidth="1"/>
    <col min="273" max="274" width="1.5703125" style="2310" customWidth="1"/>
    <col min="275" max="513" width="9.140625" style="2310"/>
    <col min="514" max="514" width="17.85546875" style="2310" customWidth="1"/>
    <col min="515" max="515" width="1.140625" style="2310" customWidth="1"/>
    <col min="516" max="516" width="30.140625" style="2310" customWidth="1"/>
    <col min="517" max="517" width="1.5703125" style="2310" customWidth="1"/>
    <col min="518" max="518" width="21.140625" style="2310" customWidth="1"/>
    <col min="519" max="519" width="1.5703125" style="2310" customWidth="1"/>
    <col min="520" max="520" width="22.140625" style="2310" customWidth="1"/>
    <col min="521" max="521" width="5.85546875" style="2310" customWidth="1"/>
    <col min="522" max="522" width="27.42578125" style="2310" customWidth="1"/>
    <col min="523" max="523" width="4.5703125" style="2310" customWidth="1"/>
    <col min="524" max="524" width="3.140625" style="2310" customWidth="1"/>
    <col min="525" max="527" width="1.5703125" style="2310" customWidth="1"/>
    <col min="528" max="528" width="4.85546875" style="2310" customWidth="1"/>
    <col min="529" max="530" width="1.5703125" style="2310" customWidth="1"/>
    <col min="531" max="769" width="9.140625" style="2310"/>
    <col min="770" max="770" width="17.85546875" style="2310" customWidth="1"/>
    <col min="771" max="771" width="1.140625" style="2310" customWidth="1"/>
    <col min="772" max="772" width="30.140625" style="2310" customWidth="1"/>
    <col min="773" max="773" width="1.5703125" style="2310" customWidth="1"/>
    <col min="774" max="774" width="21.140625" style="2310" customWidth="1"/>
    <col min="775" max="775" width="1.5703125" style="2310" customWidth="1"/>
    <col min="776" max="776" width="22.140625" style="2310" customWidth="1"/>
    <col min="777" max="777" width="5.85546875" style="2310" customWidth="1"/>
    <col min="778" max="778" width="27.42578125" style="2310" customWidth="1"/>
    <col min="779" max="779" width="4.5703125" style="2310" customWidth="1"/>
    <col min="780" max="780" width="3.140625" style="2310" customWidth="1"/>
    <col min="781" max="783" width="1.5703125" style="2310" customWidth="1"/>
    <col min="784" max="784" width="4.85546875" style="2310" customWidth="1"/>
    <col min="785" max="786" width="1.5703125" style="2310" customWidth="1"/>
    <col min="787" max="1025" width="9.140625" style="2310"/>
    <col min="1026" max="1026" width="17.85546875" style="2310" customWidth="1"/>
    <col min="1027" max="1027" width="1.140625" style="2310" customWidth="1"/>
    <col min="1028" max="1028" width="30.140625" style="2310" customWidth="1"/>
    <col min="1029" max="1029" width="1.5703125" style="2310" customWidth="1"/>
    <col min="1030" max="1030" width="21.140625" style="2310" customWidth="1"/>
    <col min="1031" max="1031" width="1.5703125" style="2310" customWidth="1"/>
    <col min="1032" max="1032" width="22.140625" style="2310" customWidth="1"/>
    <col min="1033" max="1033" width="5.85546875" style="2310" customWidth="1"/>
    <col min="1034" max="1034" width="27.42578125" style="2310" customWidth="1"/>
    <col min="1035" max="1035" width="4.5703125" style="2310" customWidth="1"/>
    <col min="1036" max="1036" width="3.140625" style="2310" customWidth="1"/>
    <col min="1037" max="1039" width="1.5703125" style="2310" customWidth="1"/>
    <col min="1040" max="1040" width="4.85546875" style="2310" customWidth="1"/>
    <col min="1041" max="1042" width="1.5703125" style="2310" customWidth="1"/>
    <col min="1043" max="1281" width="9.140625" style="2310"/>
    <col min="1282" max="1282" width="17.85546875" style="2310" customWidth="1"/>
    <col min="1283" max="1283" width="1.140625" style="2310" customWidth="1"/>
    <col min="1284" max="1284" width="30.140625" style="2310" customWidth="1"/>
    <col min="1285" max="1285" width="1.5703125" style="2310" customWidth="1"/>
    <col min="1286" max="1286" width="21.140625" style="2310" customWidth="1"/>
    <col min="1287" max="1287" width="1.5703125" style="2310" customWidth="1"/>
    <col min="1288" max="1288" width="22.140625" style="2310" customWidth="1"/>
    <col min="1289" max="1289" width="5.85546875" style="2310" customWidth="1"/>
    <col min="1290" max="1290" width="27.42578125" style="2310" customWidth="1"/>
    <col min="1291" max="1291" width="4.5703125" style="2310" customWidth="1"/>
    <col min="1292" max="1292" width="3.140625" style="2310" customWidth="1"/>
    <col min="1293" max="1295" width="1.5703125" style="2310" customWidth="1"/>
    <col min="1296" max="1296" width="4.85546875" style="2310" customWidth="1"/>
    <col min="1297" max="1298" width="1.5703125" style="2310" customWidth="1"/>
    <col min="1299" max="1537" width="9.140625" style="2310"/>
    <col min="1538" max="1538" width="17.85546875" style="2310" customWidth="1"/>
    <col min="1539" max="1539" width="1.140625" style="2310" customWidth="1"/>
    <col min="1540" max="1540" width="30.140625" style="2310" customWidth="1"/>
    <col min="1541" max="1541" width="1.5703125" style="2310" customWidth="1"/>
    <col min="1542" max="1542" width="21.140625" style="2310" customWidth="1"/>
    <col min="1543" max="1543" width="1.5703125" style="2310" customWidth="1"/>
    <col min="1544" max="1544" width="22.140625" style="2310" customWidth="1"/>
    <col min="1545" max="1545" width="5.85546875" style="2310" customWidth="1"/>
    <col min="1546" max="1546" width="27.42578125" style="2310" customWidth="1"/>
    <col min="1547" max="1547" width="4.5703125" style="2310" customWidth="1"/>
    <col min="1548" max="1548" width="3.140625" style="2310" customWidth="1"/>
    <col min="1549" max="1551" width="1.5703125" style="2310" customWidth="1"/>
    <col min="1552" max="1552" width="4.85546875" style="2310" customWidth="1"/>
    <col min="1553" max="1554" width="1.5703125" style="2310" customWidth="1"/>
    <col min="1555" max="1793" width="9.140625" style="2310"/>
    <col min="1794" max="1794" width="17.85546875" style="2310" customWidth="1"/>
    <col min="1795" max="1795" width="1.140625" style="2310" customWidth="1"/>
    <col min="1796" max="1796" width="30.140625" style="2310" customWidth="1"/>
    <col min="1797" max="1797" width="1.5703125" style="2310" customWidth="1"/>
    <col min="1798" max="1798" width="21.140625" style="2310" customWidth="1"/>
    <col min="1799" max="1799" width="1.5703125" style="2310" customWidth="1"/>
    <col min="1800" max="1800" width="22.140625" style="2310" customWidth="1"/>
    <col min="1801" max="1801" width="5.85546875" style="2310" customWidth="1"/>
    <col min="1802" max="1802" width="27.42578125" style="2310" customWidth="1"/>
    <col min="1803" max="1803" width="4.5703125" style="2310" customWidth="1"/>
    <col min="1804" max="1804" width="3.140625" style="2310" customWidth="1"/>
    <col min="1805" max="1807" width="1.5703125" style="2310" customWidth="1"/>
    <col min="1808" max="1808" width="4.85546875" style="2310" customWidth="1"/>
    <col min="1809" max="1810" width="1.5703125" style="2310" customWidth="1"/>
    <col min="1811" max="2049" width="9.140625" style="2310"/>
    <col min="2050" max="2050" width="17.85546875" style="2310" customWidth="1"/>
    <col min="2051" max="2051" width="1.140625" style="2310" customWidth="1"/>
    <col min="2052" max="2052" width="30.140625" style="2310" customWidth="1"/>
    <col min="2053" max="2053" width="1.5703125" style="2310" customWidth="1"/>
    <col min="2054" max="2054" width="21.140625" style="2310" customWidth="1"/>
    <col min="2055" max="2055" width="1.5703125" style="2310" customWidth="1"/>
    <col min="2056" max="2056" width="22.140625" style="2310" customWidth="1"/>
    <col min="2057" max="2057" width="5.85546875" style="2310" customWidth="1"/>
    <col min="2058" max="2058" width="27.42578125" style="2310" customWidth="1"/>
    <col min="2059" max="2059" width="4.5703125" style="2310" customWidth="1"/>
    <col min="2060" max="2060" width="3.140625" style="2310" customWidth="1"/>
    <col min="2061" max="2063" width="1.5703125" style="2310" customWidth="1"/>
    <col min="2064" max="2064" width="4.85546875" style="2310" customWidth="1"/>
    <col min="2065" max="2066" width="1.5703125" style="2310" customWidth="1"/>
    <col min="2067" max="2305" width="9.140625" style="2310"/>
    <col min="2306" max="2306" width="17.85546875" style="2310" customWidth="1"/>
    <col min="2307" max="2307" width="1.140625" style="2310" customWidth="1"/>
    <col min="2308" max="2308" width="30.140625" style="2310" customWidth="1"/>
    <col min="2309" max="2309" width="1.5703125" style="2310" customWidth="1"/>
    <col min="2310" max="2310" width="21.140625" style="2310" customWidth="1"/>
    <col min="2311" max="2311" width="1.5703125" style="2310" customWidth="1"/>
    <col min="2312" max="2312" width="22.140625" style="2310" customWidth="1"/>
    <col min="2313" max="2313" width="5.85546875" style="2310" customWidth="1"/>
    <col min="2314" max="2314" width="27.42578125" style="2310" customWidth="1"/>
    <col min="2315" max="2315" width="4.5703125" style="2310" customWidth="1"/>
    <col min="2316" max="2316" width="3.140625" style="2310" customWidth="1"/>
    <col min="2317" max="2319" width="1.5703125" style="2310" customWidth="1"/>
    <col min="2320" max="2320" width="4.85546875" style="2310" customWidth="1"/>
    <col min="2321" max="2322" width="1.5703125" style="2310" customWidth="1"/>
    <col min="2323" max="2561" width="9.140625" style="2310"/>
    <col min="2562" max="2562" width="17.85546875" style="2310" customWidth="1"/>
    <col min="2563" max="2563" width="1.140625" style="2310" customWidth="1"/>
    <col min="2564" max="2564" width="30.140625" style="2310" customWidth="1"/>
    <col min="2565" max="2565" width="1.5703125" style="2310" customWidth="1"/>
    <col min="2566" max="2566" width="21.140625" style="2310" customWidth="1"/>
    <col min="2567" max="2567" width="1.5703125" style="2310" customWidth="1"/>
    <col min="2568" max="2568" width="22.140625" style="2310" customWidth="1"/>
    <col min="2569" max="2569" width="5.85546875" style="2310" customWidth="1"/>
    <col min="2570" max="2570" width="27.42578125" style="2310" customWidth="1"/>
    <col min="2571" max="2571" width="4.5703125" style="2310" customWidth="1"/>
    <col min="2572" max="2572" width="3.140625" style="2310" customWidth="1"/>
    <col min="2573" max="2575" width="1.5703125" style="2310" customWidth="1"/>
    <col min="2576" max="2576" width="4.85546875" style="2310" customWidth="1"/>
    <col min="2577" max="2578" width="1.5703125" style="2310" customWidth="1"/>
    <col min="2579" max="2817" width="9.140625" style="2310"/>
    <col min="2818" max="2818" width="17.85546875" style="2310" customWidth="1"/>
    <col min="2819" max="2819" width="1.140625" style="2310" customWidth="1"/>
    <col min="2820" max="2820" width="30.140625" style="2310" customWidth="1"/>
    <col min="2821" max="2821" width="1.5703125" style="2310" customWidth="1"/>
    <col min="2822" max="2822" width="21.140625" style="2310" customWidth="1"/>
    <col min="2823" max="2823" width="1.5703125" style="2310" customWidth="1"/>
    <col min="2824" max="2824" width="22.140625" style="2310" customWidth="1"/>
    <col min="2825" max="2825" width="5.85546875" style="2310" customWidth="1"/>
    <col min="2826" max="2826" width="27.42578125" style="2310" customWidth="1"/>
    <col min="2827" max="2827" width="4.5703125" style="2310" customWidth="1"/>
    <col min="2828" max="2828" width="3.140625" style="2310" customWidth="1"/>
    <col min="2829" max="2831" width="1.5703125" style="2310" customWidth="1"/>
    <col min="2832" max="2832" width="4.85546875" style="2310" customWidth="1"/>
    <col min="2833" max="2834" width="1.5703125" style="2310" customWidth="1"/>
    <col min="2835" max="3073" width="9.140625" style="2310"/>
    <col min="3074" max="3074" width="17.85546875" style="2310" customWidth="1"/>
    <col min="3075" max="3075" width="1.140625" style="2310" customWidth="1"/>
    <col min="3076" max="3076" width="30.140625" style="2310" customWidth="1"/>
    <col min="3077" max="3077" width="1.5703125" style="2310" customWidth="1"/>
    <col min="3078" max="3078" width="21.140625" style="2310" customWidth="1"/>
    <col min="3079" max="3079" width="1.5703125" style="2310" customWidth="1"/>
    <col min="3080" max="3080" width="22.140625" style="2310" customWidth="1"/>
    <col min="3081" max="3081" width="5.85546875" style="2310" customWidth="1"/>
    <col min="3082" max="3082" width="27.42578125" style="2310" customWidth="1"/>
    <col min="3083" max="3083" width="4.5703125" style="2310" customWidth="1"/>
    <col min="3084" max="3084" width="3.140625" style="2310" customWidth="1"/>
    <col min="3085" max="3087" width="1.5703125" style="2310" customWidth="1"/>
    <col min="3088" max="3088" width="4.85546875" style="2310" customWidth="1"/>
    <col min="3089" max="3090" width="1.5703125" style="2310" customWidth="1"/>
    <col min="3091" max="3329" width="9.140625" style="2310"/>
    <col min="3330" max="3330" width="17.85546875" style="2310" customWidth="1"/>
    <col min="3331" max="3331" width="1.140625" style="2310" customWidth="1"/>
    <col min="3332" max="3332" width="30.140625" style="2310" customWidth="1"/>
    <col min="3333" max="3333" width="1.5703125" style="2310" customWidth="1"/>
    <col min="3334" max="3334" width="21.140625" style="2310" customWidth="1"/>
    <col min="3335" max="3335" width="1.5703125" style="2310" customWidth="1"/>
    <col min="3336" max="3336" width="22.140625" style="2310" customWidth="1"/>
    <col min="3337" max="3337" width="5.85546875" style="2310" customWidth="1"/>
    <col min="3338" max="3338" width="27.42578125" style="2310" customWidth="1"/>
    <col min="3339" max="3339" width="4.5703125" style="2310" customWidth="1"/>
    <col min="3340" max="3340" width="3.140625" style="2310" customWidth="1"/>
    <col min="3341" max="3343" width="1.5703125" style="2310" customWidth="1"/>
    <col min="3344" max="3344" width="4.85546875" style="2310" customWidth="1"/>
    <col min="3345" max="3346" width="1.5703125" style="2310" customWidth="1"/>
    <col min="3347" max="3585" width="9.140625" style="2310"/>
    <col min="3586" max="3586" width="17.85546875" style="2310" customWidth="1"/>
    <col min="3587" max="3587" width="1.140625" style="2310" customWidth="1"/>
    <col min="3588" max="3588" width="30.140625" style="2310" customWidth="1"/>
    <col min="3589" max="3589" width="1.5703125" style="2310" customWidth="1"/>
    <col min="3590" max="3590" width="21.140625" style="2310" customWidth="1"/>
    <col min="3591" max="3591" width="1.5703125" style="2310" customWidth="1"/>
    <col min="3592" max="3592" width="22.140625" style="2310" customWidth="1"/>
    <col min="3593" max="3593" width="5.85546875" style="2310" customWidth="1"/>
    <col min="3594" max="3594" width="27.42578125" style="2310" customWidth="1"/>
    <col min="3595" max="3595" width="4.5703125" style="2310" customWidth="1"/>
    <col min="3596" max="3596" width="3.140625" style="2310" customWidth="1"/>
    <col min="3597" max="3599" width="1.5703125" style="2310" customWidth="1"/>
    <col min="3600" max="3600" width="4.85546875" style="2310" customWidth="1"/>
    <col min="3601" max="3602" width="1.5703125" style="2310" customWidth="1"/>
    <col min="3603" max="3841" width="9.140625" style="2310"/>
    <col min="3842" max="3842" width="17.85546875" style="2310" customWidth="1"/>
    <col min="3843" max="3843" width="1.140625" style="2310" customWidth="1"/>
    <col min="3844" max="3844" width="30.140625" style="2310" customWidth="1"/>
    <col min="3845" max="3845" width="1.5703125" style="2310" customWidth="1"/>
    <col min="3846" max="3846" width="21.140625" style="2310" customWidth="1"/>
    <col min="3847" max="3847" width="1.5703125" style="2310" customWidth="1"/>
    <col min="3848" max="3848" width="22.140625" style="2310" customWidth="1"/>
    <col min="3849" max="3849" width="5.85546875" style="2310" customWidth="1"/>
    <col min="3850" max="3850" width="27.42578125" style="2310" customWidth="1"/>
    <col min="3851" max="3851" width="4.5703125" style="2310" customWidth="1"/>
    <col min="3852" max="3852" width="3.140625" style="2310" customWidth="1"/>
    <col min="3853" max="3855" width="1.5703125" style="2310" customWidth="1"/>
    <col min="3856" max="3856" width="4.85546875" style="2310" customWidth="1"/>
    <col min="3857" max="3858" width="1.5703125" style="2310" customWidth="1"/>
    <col min="3859" max="4097" width="9.140625" style="2310"/>
    <col min="4098" max="4098" width="17.85546875" style="2310" customWidth="1"/>
    <col min="4099" max="4099" width="1.140625" style="2310" customWidth="1"/>
    <col min="4100" max="4100" width="30.140625" style="2310" customWidth="1"/>
    <col min="4101" max="4101" width="1.5703125" style="2310" customWidth="1"/>
    <col min="4102" max="4102" width="21.140625" style="2310" customWidth="1"/>
    <col min="4103" max="4103" width="1.5703125" style="2310" customWidth="1"/>
    <col min="4104" max="4104" width="22.140625" style="2310" customWidth="1"/>
    <col min="4105" max="4105" width="5.85546875" style="2310" customWidth="1"/>
    <col min="4106" max="4106" width="27.42578125" style="2310" customWidth="1"/>
    <col min="4107" max="4107" width="4.5703125" style="2310" customWidth="1"/>
    <col min="4108" max="4108" width="3.140625" style="2310" customWidth="1"/>
    <col min="4109" max="4111" width="1.5703125" style="2310" customWidth="1"/>
    <col min="4112" max="4112" width="4.85546875" style="2310" customWidth="1"/>
    <col min="4113" max="4114" width="1.5703125" style="2310" customWidth="1"/>
    <col min="4115" max="4353" width="9.140625" style="2310"/>
    <col min="4354" max="4354" width="17.85546875" style="2310" customWidth="1"/>
    <col min="4355" max="4355" width="1.140625" style="2310" customWidth="1"/>
    <col min="4356" max="4356" width="30.140625" style="2310" customWidth="1"/>
    <col min="4357" max="4357" width="1.5703125" style="2310" customWidth="1"/>
    <col min="4358" max="4358" width="21.140625" style="2310" customWidth="1"/>
    <col min="4359" max="4359" width="1.5703125" style="2310" customWidth="1"/>
    <col min="4360" max="4360" width="22.140625" style="2310" customWidth="1"/>
    <col min="4361" max="4361" width="5.85546875" style="2310" customWidth="1"/>
    <col min="4362" max="4362" width="27.42578125" style="2310" customWidth="1"/>
    <col min="4363" max="4363" width="4.5703125" style="2310" customWidth="1"/>
    <col min="4364" max="4364" width="3.140625" style="2310" customWidth="1"/>
    <col min="4365" max="4367" width="1.5703125" style="2310" customWidth="1"/>
    <col min="4368" max="4368" width="4.85546875" style="2310" customWidth="1"/>
    <col min="4369" max="4370" width="1.5703125" style="2310" customWidth="1"/>
    <col min="4371" max="4609" width="9.140625" style="2310"/>
    <col min="4610" max="4610" width="17.85546875" style="2310" customWidth="1"/>
    <col min="4611" max="4611" width="1.140625" style="2310" customWidth="1"/>
    <col min="4612" max="4612" width="30.140625" style="2310" customWidth="1"/>
    <col min="4613" max="4613" width="1.5703125" style="2310" customWidth="1"/>
    <col min="4614" max="4614" width="21.140625" style="2310" customWidth="1"/>
    <col min="4615" max="4615" width="1.5703125" style="2310" customWidth="1"/>
    <col min="4616" max="4616" width="22.140625" style="2310" customWidth="1"/>
    <col min="4617" max="4617" width="5.85546875" style="2310" customWidth="1"/>
    <col min="4618" max="4618" width="27.42578125" style="2310" customWidth="1"/>
    <col min="4619" max="4619" width="4.5703125" style="2310" customWidth="1"/>
    <col min="4620" max="4620" width="3.140625" style="2310" customWidth="1"/>
    <col min="4621" max="4623" width="1.5703125" style="2310" customWidth="1"/>
    <col min="4624" max="4624" width="4.85546875" style="2310" customWidth="1"/>
    <col min="4625" max="4626" width="1.5703125" style="2310" customWidth="1"/>
    <col min="4627" max="4865" width="9.140625" style="2310"/>
    <col min="4866" max="4866" width="17.85546875" style="2310" customWidth="1"/>
    <col min="4867" max="4867" width="1.140625" style="2310" customWidth="1"/>
    <col min="4868" max="4868" width="30.140625" style="2310" customWidth="1"/>
    <col min="4869" max="4869" width="1.5703125" style="2310" customWidth="1"/>
    <col min="4870" max="4870" width="21.140625" style="2310" customWidth="1"/>
    <col min="4871" max="4871" width="1.5703125" style="2310" customWidth="1"/>
    <col min="4872" max="4872" width="22.140625" style="2310" customWidth="1"/>
    <col min="4873" max="4873" width="5.85546875" style="2310" customWidth="1"/>
    <col min="4874" max="4874" width="27.42578125" style="2310" customWidth="1"/>
    <col min="4875" max="4875" width="4.5703125" style="2310" customWidth="1"/>
    <col min="4876" max="4876" width="3.140625" style="2310" customWidth="1"/>
    <col min="4877" max="4879" width="1.5703125" style="2310" customWidth="1"/>
    <col min="4880" max="4880" width="4.85546875" style="2310" customWidth="1"/>
    <col min="4881" max="4882" width="1.5703125" style="2310" customWidth="1"/>
    <col min="4883" max="5121" width="9.140625" style="2310"/>
    <col min="5122" max="5122" width="17.85546875" style="2310" customWidth="1"/>
    <col min="5123" max="5123" width="1.140625" style="2310" customWidth="1"/>
    <col min="5124" max="5124" width="30.140625" style="2310" customWidth="1"/>
    <col min="5125" max="5125" width="1.5703125" style="2310" customWidth="1"/>
    <col min="5126" max="5126" width="21.140625" style="2310" customWidth="1"/>
    <col min="5127" max="5127" width="1.5703125" style="2310" customWidth="1"/>
    <col min="5128" max="5128" width="22.140625" style="2310" customWidth="1"/>
    <col min="5129" max="5129" width="5.85546875" style="2310" customWidth="1"/>
    <col min="5130" max="5130" width="27.42578125" style="2310" customWidth="1"/>
    <col min="5131" max="5131" width="4.5703125" style="2310" customWidth="1"/>
    <col min="5132" max="5132" width="3.140625" style="2310" customWidth="1"/>
    <col min="5133" max="5135" width="1.5703125" style="2310" customWidth="1"/>
    <col min="5136" max="5136" width="4.85546875" style="2310" customWidth="1"/>
    <col min="5137" max="5138" width="1.5703125" style="2310" customWidth="1"/>
    <col min="5139" max="5377" width="9.140625" style="2310"/>
    <col min="5378" max="5378" width="17.85546875" style="2310" customWidth="1"/>
    <col min="5379" max="5379" width="1.140625" style="2310" customWidth="1"/>
    <col min="5380" max="5380" width="30.140625" style="2310" customWidth="1"/>
    <col min="5381" max="5381" width="1.5703125" style="2310" customWidth="1"/>
    <col min="5382" max="5382" width="21.140625" style="2310" customWidth="1"/>
    <col min="5383" max="5383" width="1.5703125" style="2310" customWidth="1"/>
    <col min="5384" max="5384" width="22.140625" style="2310" customWidth="1"/>
    <col min="5385" max="5385" width="5.85546875" style="2310" customWidth="1"/>
    <col min="5386" max="5386" width="27.42578125" style="2310" customWidth="1"/>
    <col min="5387" max="5387" width="4.5703125" style="2310" customWidth="1"/>
    <col min="5388" max="5388" width="3.140625" style="2310" customWidth="1"/>
    <col min="5389" max="5391" width="1.5703125" style="2310" customWidth="1"/>
    <col min="5392" max="5392" width="4.85546875" style="2310" customWidth="1"/>
    <col min="5393" max="5394" width="1.5703125" style="2310" customWidth="1"/>
    <col min="5395" max="5633" width="9.140625" style="2310"/>
    <col min="5634" max="5634" width="17.85546875" style="2310" customWidth="1"/>
    <col min="5635" max="5635" width="1.140625" style="2310" customWidth="1"/>
    <col min="5636" max="5636" width="30.140625" style="2310" customWidth="1"/>
    <col min="5637" max="5637" width="1.5703125" style="2310" customWidth="1"/>
    <col min="5638" max="5638" width="21.140625" style="2310" customWidth="1"/>
    <col min="5639" max="5639" width="1.5703125" style="2310" customWidth="1"/>
    <col min="5640" max="5640" width="22.140625" style="2310" customWidth="1"/>
    <col min="5641" max="5641" width="5.85546875" style="2310" customWidth="1"/>
    <col min="5642" max="5642" width="27.42578125" style="2310" customWidth="1"/>
    <col min="5643" max="5643" width="4.5703125" style="2310" customWidth="1"/>
    <col min="5644" max="5644" width="3.140625" style="2310" customWidth="1"/>
    <col min="5645" max="5647" width="1.5703125" style="2310" customWidth="1"/>
    <col min="5648" max="5648" width="4.85546875" style="2310" customWidth="1"/>
    <col min="5649" max="5650" width="1.5703125" style="2310" customWidth="1"/>
    <col min="5651" max="5889" width="9.140625" style="2310"/>
    <col min="5890" max="5890" width="17.85546875" style="2310" customWidth="1"/>
    <col min="5891" max="5891" width="1.140625" style="2310" customWidth="1"/>
    <col min="5892" max="5892" width="30.140625" style="2310" customWidth="1"/>
    <col min="5893" max="5893" width="1.5703125" style="2310" customWidth="1"/>
    <col min="5894" max="5894" width="21.140625" style="2310" customWidth="1"/>
    <col min="5895" max="5895" width="1.5703125" style="2310" customWidth="1"/>
    <col min="5896" max="5896" width="22.140625" style="2310" customWidth="1"/>
    <col min="5897" max="5897" width="5.85546875" style="2310" customWidth="1"/>
    <col min="5898" max="5898" width="27.42578125" style="2310" customWidth="1"/>
    <col min="5899" max="5899" width="4.5703125" style="2310" customWidth="1"/>
    <col min="5900" max="5900" width="3.140625" style="2310" customWidth="1"/>
    <col min="5901" max="5903" width="1.5703125" style="2310" customWidth="1"/>
    <col min="5904" max="5904" width="4.85546875" style="2310" customWidth="1"/>
    <col min="5905" max="5906" width="1.5703125" style="2310" customWidth="1"/>
    <col min="5907" max="6145" width="9.140625" style="2310"/>
    <col min="6146" max="6146" width="17.85546875" style="2310" customWidth="1"/>
    <col min="6147" max="6147" width="1.140625" style="2310" customWidth="1"/>
    <col min="6148" max="6148" width="30.140625" style="2310" customWidth="1"/>
    <col min="6149" max="6149" width="1.5703125" style="2310" customWidth="1"/>
    <col min="6150" max="6150" width="21.140625" style="2310" customWidth="1"/>
    <col min="6151" max="6151" width="1.5703125" style="2310" customWidth="1"/>
    <col min="6152" max="6152" width="22.140625" style="2310" customWidth="1"/>
    <col min="6153" max="6153" width="5.85546875" style="2310" customWidth="1"/>
    <col min="6154" max="6154" width="27.42578125" style="2310" customWidth="1"/>
    <col min="6155" max="6155" width="4.5703125" style="2310" customWidth="1"/>
    <col min="6156" max="6156" width="3.140625" style="2310" customWidth="1"/>
    <col min="6157" max="6159" width="1.5703125" style="2310" customWidth="1"/>
    <col min="6160" max="6160" width="4.85546875" style="2310" customWidth="1"/>
    <col min="6161" max="6162" width="1.5703125" style="2310" customWidth="1"/>
    <col min="6163" max="6401" width="9.140625" style="2310"/>
    <col min="6402" max="6402" width="17.85546875" style="2310" customWidth="1"/>
    <col min="6403" max="6403" width="1.140625" style="2310" customWidth="1"/>
    <col min="6404" max="6404" width="30.140625" style="2310" customWidth="1"/>
    <col min="6405" max="6405" width="1.5703125" style="2310" customWidth="1"/>
    <col min="6406" max="6406" width="21.140625" style="2310" customWidth="1"/>
    <col min="6407" max="6407" width="1.5703125" style="2310" customWidth="1"/>
    <col min="6408" max="6408" width="22.140625" style="2310" customWidth="1"/>
    <col min="6409" max="6409" width="5.85546875" style="2310" customWidth="1"/>
    <col min="6410" max="6410" width="27.42578125" style="2310" customWidth="1"/>
    <col min="6411" max="6411" width="4.5703125" style="2310" customWidth="1"/>
    <col min="6412" max="6412" width="3.140625" style="2310" customWidth="1"/>
    <col min="6413" max="6415" width="1.5703125" style="2310" customWidth="1"/>
    <col min="6416" max="6416" width="4.85546875" style="2310" customWidth="1"/>
    <col min="6417" max="6418" width="1.5703125" style="2310" customWidth="1"/>
    <col min="6419" max="6657" width="9.140625" style="2310"/>
    <col min="6658" max="6658" width="17.85546875" style="2310" customWidth="1"/>
    <col min="6659" max="6659" width="1.140625" style="2310" customWidth="1"/>
    <col min="6660" max="6660" width="30.140625" style="2310" customWidth="1"/>
    <col min="6661" max="6661" width="1.5703125" style="2310" customWidth="1"/>
    <col min="6662" max="6662" width="21.140625" style="2310" customWidth="1"/>
    <col min="6663" max="6663" width="1.5703125" style="2310" customWidth="1"/>
    <col min="6664" max="6664" width="22.140625" style="2310" customWidth="1"/>
    <col min="6665" max="6665" width="5.85546875" style="2310" customWidth="1"/>
    <col min="6666" max="6666" width="27.42578125" style="2310" customWidth="1"/>
    <col min="6667" max="6667" width="4.5703125" style="2310" customWidth="1"/>
    <col min="6668" max="6668" width="3.140625" style="2310" customWidth="1"/>
    <col min="6669" max="6671" width="1.5703125" style="2310" customWidth="1"/>
    <col min="6672" max="6672" width="4.85546875" style="2310" customWidth="1"/>
    <col min="6673" max="6674" width="1.5703125" style="2310" customWidth="1"/>
    <col min="6675" max="6913" width="9.140625" style="2310"/>
    <col min="6914" max="6914" width="17.85546875" style="2310" customWidth="1"/>
    <col min="6915" max="6915" width="1.140625" style="2310" customWidth="1"/>
    <col min="6916" max="6916" width="30.140625" style="2310" customWidth="1"/>
    <col min="6917" max="6917" width="1.5703125" style="2310" customWidth="1"/>
    <col min="6918" max="6918" width="21.140625" style="2310" customWidth="1"/>
    <col min="6919" max="6919" width="1.5703125" style="2310" customWidth="1"/>
    <col min="6920" max="6920" width="22.140625" style="2310" customWidth="1"/>
    <col min="6921" max="6921" width="5.85546875" style="2310" customWidth="1"/>
    <col min="6922" max="6922" width="27.42578125" style="2310" customWidth="1"/>
    <col min="6923" max="6923" width="4.5703125" style="2310" customWidth="1"/>
    <col min="6924" max="6924" width="3.140625" style="2310" customWidth="1"/>
    <col min="6925" max="6927" width="1.5703125" style="2310" customWidth="1"/>
    <col min="6928" max="6928" width="4.85546875" style="2310" customWidth="1"/>
    <col min="6929" max="6930" width="1.5703125" style="2310" customWidth="1"/>
    <col min="6931" max="7169" width="9.140625" style="2310"/>
    <col min="7170" max="7170" width="17.85546875" style="2310" customWidth="1"/>
    <col min="7171" max="7171" width="1.140625" style="2310" customWidth="1"/>
    <col min="7172" max="7172" width="30.140625" style="2310" customWidth="1"/>
    <col min="7173" max="7173" width="1.5703125" style="2310" customWidth="1"/>
    <col min="7174" max="7174" width="21.140625" style="2310" customWidth="1"/>
    <col min="7175" max="7175" width="1.5703125" style="2310" customWidth="1"/>
    <col min="7176" max="7176" width="22.140625" style="2310" customWidth="1"/>
    <col min="7177" max="7177" width="5.85546875" style="2310" customWidth="1"/>
    <col min="7178" max="7178" width="27.42578125" style="2310" customWidth="1"/>
    <col min="7179" max="7179" width="4.5703125" style="2310" customWidth="1"/>
    <col min="7180" max="7180" width="3.140625" style="2310" customWidth="1"/>
    <col min="7181" max="7183" width="1.5703125" style="2310" customWidth="1"/>
    <col min="7184" max="7184" width="4.85546875" style="2310" customWidth="1"/>
    <col min="7185" max="7186" width="1.5703125" style="2310" customWidth="1"/>
    <col min="7187" max="7425" width="9.140625" style="2310"/>
    <col min="7426" max="7426" width="17.85546875" style="2310" customWidth="1"/>
    <col min="7427" max="7427" width="1.140625" style="2310" customWidth="1"/>
    <col min="7428" max="7428" width="30.140625" style="2310" customWidth="1"/>
    <col min="7429" max="7429" width="1.5703125" style="2310" customWidth="1"/>
    <col min="7430" max="7430" width="21.140625" style="2310" customWidth="1"/>
    <col min="7431" max="7431" width="1.5703125" style="2310" customWidth="1"/>
    <col min="7432" max="7432" width="22.140625" style="2310" customWidth="1"/>
    <col min="7433" max="7433" width="5.85546875" style="2310" customWidth="1"/>
    <col min="7434" max="7434" width="27.42578125" style="2310" customWidth="1"/>
    <col min="7435" max="7435" width="4.5703125" style="2310" customWidth="1"/>
    <col min="7436" max="7436" width="3.140625" style="2310" customWidth="1"/>
    <col min="7437" max="7439" width="1.5703125" style="2310" customWidth="1"/>
    <col min="7440" max="7440" width="4.85546875" style="2310" customWidth="1"/>
    <col min="7441" max="7442" width="1.5703125" style="2310" customWidth="1"/>
    <col min="7443" max="7681" width="9.140625" style="2310"/>
    <col min="7682" max="7682" width="17.85546875" style="2310" customWidth="1"/>
    <col min="7683" max="7683" width="1.140625" style="2310" customWidth="1"/>
    <col min="7684" max="7684" width="30.140625" style="2310" customWidth="1"/>
    <col min="7685" max="7685" width="1.5703125" style="2310" customWidth="1"/>
    <col min="7686" max="7686" width="21.140625" style="2310" customWidth="1"/>
    <col min="7687" max="7687" width="1.5703125" style="2310" customWidth="1"/>
    <col min="7688" max="7688" width="22.140625" style="2310" customWidth="1"/>
    <col min="7689" max="7689" width="5.85546875" style="2310" customWidth="1"/>
    <col min="7690" max="7690" width="27.42578125" style="2310" customWidth="1"/>
    <col min="7691" max="7691" width="4.5703125" style="2310" customWidth="1"/>
    <col min="7692" max="7692" width="3.140625" style="2310" customWidth="1"/>
    <col min="7693" max="7695" width="1.5703125" style="2310" customWidth="1"/>
    <col min="7696" max="7696" width="4.85546875" style="2310" customWidth="1"/>
    <col min="7697" max="7698" width="1.5703125" style="2310" customWidth="1"/>
    <col min="7699" max="7937" width="9.140625" style="2310"/>
    <col min="7938" max="7938" width="17.85546875" style="2310" customWidth="1"/>
    <col min="7939" max="7939" width="1.140625" style="2310" customWidth="1"/>
    <col min="7940" max="7940" width="30.140625" style="2310" customWidth="1"/>
    <col min="7941" max="7941" width="1.5703125" style="2310" customWidth="1"/>
    <col min="7942" max="7942" width="21.140625" style="2310" customWidth="1"/>
    <col min="7943" max="7943" width="1.5703125" style="2310" customWidth="1"/>
    <col min="7944" max="7944" width="22.140625" style="2310" customWidth="1"/>
    <col min="7945" max="7945" width="5.85546875" style="2310" customWidth="1"/>
    <col min="7946" max="7946" width="27.42578125" style="2310" customWidth="1"/>
    <col min="7947" max="7947" width="4.5703125" style="2310" customWidth="1"/>
    <col min="7948" max="7948" width="3.140625" style="2310" customWidth="1"/>
    <col min="7949" max="7951" width="1.5703125" style="2310" customWidth="1"/>
    <col min="7952" max="7952" width="4.85546875" style="2310" customWidth="1"/>
    <col min="7953" max="7954" width="1.5703125" style="2310" customWidth="1"/>
    <col min="7955" max="8193" width="9.140625" style="2310"/>
    <col min="8194" max="8194" width="17.85546875" style="2310" customWidth="1"/>
    <col min="8195" max="8195" width="1.140625" style="2310" customWidth="1"/>
    <col min="8196" max="8196" width="30.140625" style="2310" customWidth="1"/>
    <col min="8197" max="8197" width="1.5703125" style="2310" customWidth="1"/>
    <col min="8198" max="8198" width="21.140625" style="2310" customWidth="1"/>
    <col min="8199" max="8199" width="1.5703125" style="2310" customWidth="1"/>
    <col min="8200" max="8200" width="22.140625" style="2310" customWidth="1"/>
    <col min="8201" max="8201" width="5.85546875" style="2310" customWidth="1"/>
    <col min="8202" max="8202" width="27.42578125" style="2310" customWidth="1"/>
    <col min="8203" max="8203" width="4.5703125" style="2310" customWidth="1"/>
    <col min="8204" max="8204" width="3.140625" style="2310" customWidth="1"/>
    <col min="8205" max="8207" width="1.5703125" style="2310" customWidth="1"/>
    <col min="8208" max="8208" width="4.85546875" style="2310" customWidth="1"/>
    <col min="8209" max="8210" width="1.5703125" style="2310" customWidth="1"/>
    <col min="8211" max="8449" width="9.140625" style="2310"/>
    <col min="8450" max="8450" width="17.85546875" style="2310" customWidth="1"/>
    <col min="8451" max="8451" width="1.140625" style="2310" customWidth="1"/>
    <col min="8452" max="8452" width="30.140625" style="2310" customWidth="1"/>
    <col min="8453" max="8453" width="1.5703125" style="2310" customWidth="1"/>
    <col min="8454" max="8454" width="21.140625" style="2310" customWidth="1"/>
    <col min="8455" max="8455" width="1.5703125" style="2310" customWidth="1"/>
    <col min="8456" max="8456" width="22.140625" style="2310" customWidth="1"/>
    <col min="8457" max="8457" width="5.85546875" style="2310" customWidth="1"/>
    <col min="8458" max="8458" width="27.42578125" style="2310" customWidth="1"/>
    <col min="8459" max="8459" width="4.5703125" style="2310" customWidth="1"/>
    <col min="8460" max="8460" width="3.140625" style="2310" customWidth="1"/>
    <col min="8461" max="8463" width="1.5703125" style="2310" customWidth="1"/>
    <col min="8464" max="8464" width="4.85546875" style="2310" customWidth="1"/>
    <col min="8465" max="8466" width="1.5703125" style="2310" customWidth="1"/>
    <col min="8467" max="8705" width="9.140625" style="2310"/>
    <col min="8706" max="8706" width="17.85546875" style="2310" customWidth="1"/>
    <col min="8707" max="8707" width="1.140625" style="2310" customWidth="1"/>
    <col min="8708" max="8708" width="30.140625" style="2310" customWidth="1"/>
    <col min="8709" max="8709" width="1.5703125" style="2310" customWidth="1"/>
    <col min="8710" max="8710" width="21.140625" style="2310" customWidth="1"/>
    <col min="8711" max="8711" width="1.5703125" style="2310" customWidth="1"/>
    <col min="8712" max="8712" width="22.140625" style="2310" customWidth="1"/>
    <col min="8713" max="8713" width="5.85546875" style="2310" customWidth="1"/>
    <col min="8714" max="8714" width="27.42578125" style="2310" customWidth="1"/>
    <col min="8715" max="8715" width="4.5703125" style="2310" customWidth="1"/>
    <col min="8716" max="8716" width="3.140625" style="2310" customWidth="1"/>
    <col min="8717" max="8719" width="1.5703125" style="2310" customWidth="1"/>
    <col min="8720" max="8720" width="4.85546875" style="2310" customWidth="1"/>
    <col min="8721" max="8722" width="1.5703125" style="2310" customWidth="1"/>
    <col min="8723" max="8961" width="9.140625" style="2310"/>
    <col min="8962" max="8962" width="17.85546875" style="2310" customWidth="1"/>
    <col min="8963" max="8963" width="1.140625" style="2310" customWidth="1"/>
    <col min="8964" max="8964" width="30.140625" style="2310" customWidth="1"/>
    <col min="8965" max="8965" width="1.5703125" style="2310" customWidth="1"/>
    <col min="8966" max="8966" width="21.140625" style="2310" customWidth="1"/>
    <col min="8967" max="8967" width="1.5703125" style="2310" customWidth="1"/>
    <col min="8968" max="8968" width="22.140625" style="2310" customWidth="1"/>
    <col min="8969" max="8969" width="5.85546875" style="2310" customWidth="1"/>
    <col min="8970" max="8970" width="27.42578125" style="2310" customWidth="1"/>
    <col min="8971" max="8971" width="4.5703125" style="2310" customWidth="1"/>
    <col min="8972" max="8972" width="3.140625" style="2310" customWidth="1"/>
    <col min="8973" max="8975" width="1.5703125" style="2310" customWidth="1"/>
    <col min="8976" max="8976" width="4.85546875" style="2310" customWidth="1"/>
    <col min="8977" max="8978" width="1.5703125" style="2310" customWidth="1"/>
    <col min="8979" max="9217" width="9.140625" style="2310"/>
    <col min="9218" max="9218" width="17.85546875" style="2310" customWidth="1"/>
    <col min="9219" max="9219" width="1.140625" style="2310" customWidth="1"/>
    <col min="9220" max="9220" width="30.140625" style="2310" customWidth="1"/>
    <col min="9221" max="9221" width="1.5703125" style="2310" customWidth="1"/>
    <col min="9222" max="9222" width="21.140625" style="2310" customWidth="1"/>
    <col min="9223" max="9223" width="1.5703125" style="2310" customWidth="1"/>
    <col min="9224" max="9224" width="22.140625" style="2310" customWidth="1"/>
    <col min="9225" max="9225" width="5.85546875" style="2310" customWidth="1"/>
    <col min="9226" max="9226" width="27.42578125" style="2310" customWidth="1"/>
    <col min="9227" max="9227" width="4.5703125" style="2310" customWidth="1"/>
    <col min="9228" max="9228" width="3.140625" style="2310" customWidth="1"/>
    <col min="9229" max="9231" width="1.5703125" style="2310" customWidth="1"/>
    <col min="9232" max="9232" width="4.85546875" style="2310" customWidth="1"/>
    <col min="9233" max="9234" width="1.5703125" style="2310" customWidth="1"/>
    <col min="9235" max="9473" width="9.140625" style="2310"/>
    <col min="9474" max="9474" width="17.85546875" style="2310" customWidth="1"/>
    <col min="9475" max="9475" width="1.140625" style="2310" customWidth="1"/>
    <col min="9476" max="9476" width="30.140625" style="2310" customWidth="1"/>
    <col min="9477" max="9477" width="1.5703125" style="2310" customWidth="1"/>
    <col min="9478" max="9478" width="21.140625" style="2310" customWidth="1"/>
    <col min="9479" max="9479" width="1.5703125" style="2310" customWidth="1"/>
    <col min="9480" max="9480" width="22.140625" style="2310" customWidth="1"/>
    <col min="9481" max="9481" width="5.85546875" style="2310" customWidth="1"/>
    <col min="9482" max="9482" width="27.42578125" style="2310" customWidth="1"/>
    <col min="9483" max="9483" width="4.5703125" style="2310" customWidth="1"/>
    <col min="9484" max="9484" width="3.140625" style="2310" customWidth="1"/>
    <col min="9485" max="9487" width="1.5703125" style="2310" customWidth="1"/>
    <col min="9488" max="9488" width="4.85546875" style="2310" customWidth="1"/>
    <col min="9489" max="9490" width="1.5703125" style="2310" customWidth="1"/>
    <col min="9491" max="9729" width="9.140625" style="2310"/>
    <col min="9730" max="9730" width="17.85546875" style="2310" customWidth="1"/>
    <col min="9731" max="9731" width="1.140625" style="2310" customWidth="1"/>
    <col min="9732" max="9732" width="30.140625" style="2310" customWidth="1"/>
    <col min="9733" max="9733" width="1.5703125" style="2310" customWidth="1"/>
    <col min="9734" max="9734" width="21.140625" style="2310" customWidth="1"/>
    <col min="9735" max="9735" width="1.5703125" style="2310" customWidth="1"/>
    <col min="9736" max="9736" width="22.140625" style="2310" customWidth="1"/>
    <col min="9737" max="9737" width="5.85546875" style="2310" customWidth="1"/>
    <col min="9738" max="9738" width="27.42578125" style="2310" customWidth="1"/>
    <col min="9739" max="9739" width="4.5703125" style="2310" customWidth="1"/>
    <col min="9740" max="9740" width="3.140625" style="2310" customWidth="1"/>
    <col min="9741" max="9743" width="1.5703125" style="2310" customWidth="1"/>
    <col min="9744" max="9744" width="4.85546875" style="2310" customWidth="1"/>
    <col min="9745" max="9746" width="1.5703125" style="2310" customWidth="1"/>
    <col min="9747" max="9985" width="9.140625" style="2310"/>
    <col min="9986" max="9986" width="17.85546875" style="2310" customWidth="1"/>
    <col min="9987" max="9987" width="1.140625" style="2310" customWidth="1"/>
    <col min="9988" max="9988" width="30.140625" style="2310" customWidth="1"/>
    <col min="9989" max="9989" width="1.5703125" style="2310" customWidth="1"/>
    <col min="9990" max="9990" width="21.140625" style="2310" customWidth="1"/>
    <col min="9991" max="9991" width="1.5703125" style="2310" customWidth="1"/>
    <col min="9992" max="9992" width="22.140625" style="2310" customWidth="1"/>
    <col min="9993" max="9993" width="5.85546875" style="2310" customWidth="1"/>
    <col min="9994" max="9994" width="27.42578125" style="2310" customWidth="1"/>
    <col min="9995" max="9995" width="4.5703125" style="2310" customWidth="1"/>
    <col min="9996" max="9996" width="3.140625" style="2310" customWidth="1"/>
    <col min="9997" max="9999" width="1.5703125" style="2310" customWidth="1"/>
    <col min="10000" max="10000" width="4.85546875" style="2310" customWidth="1"/>
    <col min="10001" max="10002" width="1.5703125" style="2310" customWidth="1"/>
    <col min="10003" max="10241" width="9.140625" style="2310"/>
    <col min="10242" max="10242" width="17.85546875" style="2310" customWidth="1"/>
    <col min="10243" max="10243" width="1.140625" style="2310" customWidth="1"/>
    <col min="10244" max="10244" width="30.140625" style="2310" customWidth="1"/>
    <col min="10245" max="10245" width="1.5703125" style="2310" customWidth="1"/>
    <col min="10246" max="10246" width="21.140625" style="2310" customWidth="1"/>
    <col min="10247" max="10247" width="1.5703125" style="2310" customWidth="1"/>
    <col min="10248" max="10248" width="22.140625" style="2310" customWidth="1"/>
    <col min="10249" max="10249" width="5.85546875" style="2310" customWidth="1"/>
    <col min="10250" max="10250" width="27.42578125" style="2310" customWidth="1"/>
    <col min="10251" max="10251" width="4.5703125" style="2310" customWidth="1"/>
    <col min="10252" max="10252" width="3.140625" style="2310" customWidth="1"/>
    <col min="10253" max="10255" width="1.5703125" style="2310" customWidth="1"/>
    <col min="10256" max="10256" width="4.85546875" style="2310" customWidth="1"/>
    <col min="10257" max="10258" width="1.5703125" style="2310" customWidth="1"/>
    <col min="10259" max="10497" width="9.140625" style="2310"/>
    <col min="10498" max="10498" width="17.85546875" style="2310" customWidth="1"/>
    <col min="10499" max="10499" width="1.140625" style="2310" customWidth="1"/>
    <col min="10500" max="10500" width="30.140625" style="2310" customWidth="1"/>
    <col min="10501" max="10501" width="1.5703125" style="2310" customWidth="1"/>
    <col min="10502" max="10502" width="21.140625" style="2310" customWidth="1"/>
    <col min="10503" max="10503" width="1.5703125" style="2310" customWidth="1"/>
    <col min="10504" max="10504" width="22.140625" style="2310" customWidth="1"/>
    <col min="10505" max="10505" width="5.85546875" style="2310" customWidth="1"/>
    <col min="10506" max="10506" width="27.42578125" style="2310" customWidth="1"/>
    <col min="10507" max="10507" width="4.5703125" style="2310" customWidth="1"/>
    <col min="10508" max="10508" width="3.140625" style="2310" customWidth="1"/>
    <col min="10509" max="10511" width="1.5703125" style="2310" customWidth="1"/>
    <col min="10512" max="10512" width="4.85546875" style="2310" customWidth="1"/>
    <col min="10513" max="10514" width="1.5703125" style="2310" customWidth="1"/>
    <col min="10515" max="10753" width="9.140625" style="2310"/>
    <col min="10754" max="10754" width="17.85546875" style="2310" customWidth="1"/>
    <col min="10755" max="10755" width="1.140625" style="2310" customWidth="1"/>
    <col min="10756" max="10756" width="30.140625" style="2310" customWidth="1"/>
    <col min="10757" max="10757" width="1.5703125" style="2310" customWidth="1"/>
    <col min="10758" max="10758" width="21.140625" style="2310" customWidth="1"/>
    <col min="10759" max="10759" width="1.5703125" style="2310" customWidth="1"/>
    <col min="10760" max="10760" width="22.140625" style="2310" customWidth="1"/>
    <col min="10761" max="10761" width="5.85546875" style="2310" customWidth="1"/>
    <col min="10762" max="10762" width="27.42578125" style="2310" customWidth="1"/>
    <col min="10763" max="10763" width="4.5703125" style="2310" customWidth="1"/>
    <col min="10764" max="10764" width="3.140625" style="2310" customWidth="1"/>
    <col min="10765" max="10767" width="1.5703125" style="2310" customWidth="1"/>
    <col min="10768" max="10768" width="4.85546875" style="2310" customWidth="1"/>
    <col min="10769" max="10770" width="1.5703125" style="2310" customWidth="1"/>
    <col min="10771" max="11009" width="9.140625" style="2310"/>
    <col min="11010" max="11010" width="17.85546875" style="2310" customWidth="1"/>
    <col min="11011" max="11011" width="1.140625" style="2310" customWidth="1"/>
    <col min="11012" max="11012" width="30.140625" style="2310" customWidth="1"/>
    <col min="11013" max="11013" width="1.5703125" style="2310" customWidth="1"/>
    <col min="11014" max="11014" width="21.140625" style="2310" customWidth="1"/>
    <col min="11015" max="11015" width="1.5703125" style="2310" customWidth="1"/>
    <col min="11016" max="11016" width="22.140625" style="2310" customWidth="1"/>
    <col min="11017" max="11017" width="5.85546875" style="2310" customWidth="1"/>
    <col min="11018" max="11018" width="27.42578125" style="2310" customWidth="1"/>
    <col min="11019" max="11019" width="4.5703125" style="2310" customWidth="1"/>
    <col min="11020" max="11020" width="3.140625" style="2310" customWidth="1"/>
    <col min="11021" max="11023" width="1.5703125" style="2310" customWidth="1"/>
    <col min="11024" max="11024" width="4.85546875" style="2310" customWidth="1"/>
    <col min="11025" max="11026" width="1.5703125" style="2310" customWidth="1"/>
    <col min="11027" max="11265" width="9.140625" style="2310"/>
    <col min="11266" max="11266" width="17.85546875" style="2310" customWidth="1"/>
    <col min="11267" max="11267" width="1.140625" style="2310" customWidth="1"/>
    <col min="11268" max="11268" width="30.140625" style="2310" customWidth="1"/>
    <col min="11269" max="11269" width="1.5703125" style="2310" customWidth="1"/>
    <col min="11270" max="11270" width="21.140625" style="2310" customWidth="1"/>
    <col min="11271" max="11271" width="1.5703125" style="2310" customWidth="1"/>
    <col min="11272" max="11272" width="22.140625" style="2310" customWidth="1"/>
    <col min="11273" max="11273" width="5.85546875" style="2310" customWidth="1"/>
    <col min="11274" max="11274" width="27.42578125" style="2310" customWidth="1"/>
    <col min="11275" max="11275" width="4.5703125" style="2310" customWidth="1"/>
    <col min="11276" max="11276" width="3.140625" style="2310" customWidth="1"/>
    <col min="11277" max="11279" width="1.5703125" style="2310" customWidth="1"/>
    <col min="11280" max="11280" width="4.85546875" style="2310" customWidth="1"/>
    <col min="11281" max="11282" width="1.5703125" style="2310" customWidth="1"/>
    <col min="11283" max="11521" width="9.140625" style="2310"/>
    <col min="11522" max="11522" width="17.85546875" style="2310" customWidth="1"/>
    <col min="11523" max="11523" width="1.140625" style="2310" customWidth="1"/>
    <col min="11524" max="11524" width="30.140625" style="2310" customWidth="1"/>
    <col min="11525" max="11525" width="1.5703125" style="2310" customWidth="1"/>
    <col min="11526" max="11526" width="21.140625" style="2310" customWidth="1"/>
    <col min="11527" max="11527" width="1.5703125" style="2310" customWidth="1"/>
    <col min="11528" max="11528" width="22.140625" style="2310" customWidth="1"/>
    <col min="11529" max="11529" width="5.85546875" style="2310" customWidth="1"/>
    <col min="11530" max="11530" width="27.42578125" style="2310" customWidth="1"/>
    <col min="11531" max="11531" width="4.5703125" style="2310" customWidth="1"/>
    <col min="11532" max="11532" width="3.140625" style="2310" customWidth="1"/>
    <col min="11533" max="11535" width="1.5703125" style="2310" customWidth="1"/>
    <col min="11536" max="11536" width="4.85546875" style="2310" customWidth="1"/>
    <col min="11537" max="11538" width="1.5703125" style="2310" customWidth="1"/>
    <col min="11539" max="11777" width="9.140625" style="2310"/>
    <col min="11778" max="11778" width="17.85546875" style="2310" customWidth="1"/>
    <col min="11779" max="11779" width="1.140625" style="2310" customWidth="1"/>
    <col min="11780" max="11780" width="30.140625" style="2310" customWidth="1"/>
    <col min="11781" max="11781" width="1.5703125" style="2310" customWidth="1"/>
    <col min="11782" max="11782" width="21.140625" style="2310" customWidth="1"/>
    <col min="11783" max="11783" width="1.5703125" style="2310" customWidth="1"/>
    <col min="11784" max="11784" width="22.140625" style="2310" customWidth="1"/>
    <col min="11785" max="11785" width="5.85546875" style="2310" customWidth="1"/>
    <col min="11786" max="11786" width="27.42578125" style="2310" customWidth="1"/>
    <col min="11787" max="11787" width="4.5703125" style="2310" customWidth="1"/>
    <col min="11788" max="11788" width="3.140625" style="2310" customWidth="1"/>
    <col min="11789" max="11791" width="1.5703125" style="2310" customWidth="1"/>
    <col min="11792" max="11792" width="4.85546875" style="2310" customWidth="1"/>
    <col min="11793" max="11794" width="1.5703125" style="2310" customWidth="1"/>
    <col min="11795" max="12033" width="9.140625" style="2310"/>
    <col min="12034" max="12034" width="17.85546875" style="2310" customWidth="1"/>
    <col min="12035" max="12035" width="1.140625" style="2310" customWidth="1"/>
    <col min="12036" max="12036" width="30.140625" style="2310" customWidth="1"/>
    <col min="12037" max="12037" width="1.5703125" style="2310" customWidth="1"/>
    <col min="12038" max="12038" width="21.140625" style="2310" customWidth="1"/>
    <col min="12039" max="12039" width="1.5703125" style="2310" customWidth="1"/>
    <col min="12040" max="12040" width="22.140625" style="2310" customWidth="1"/>
    <col min="12041" max="12041" width="5.85546875" style="2310" customWidth="1"/>
    <col min="12042" max="12042" width="27.42578125" style="2310" customWidth="1"/>
    <col min="12043" max="12043" width="4.5703125" style="2310" customWidth="1"/>
    <col min="12044" max="12044" width="3.140625" style="2310" customWidth="1"/>
    <col min="12045" max="12047" width="1.5703125" style="2310" customWidth="1"/>
    <col min="12048" max="12048" width="4.85546875" style="2310" customWidth="1"/>
    <col min="12049" max="12050" width="1.5703125" style="2310" customWidth="1"/>
    <col min="12051" max="12289" width="9.140625" style="2310"/>
    <col min="12290" max="12290" width="17.85546875" style="2310" customWidth="1"/>
    <col min="12291" max="12291" width="1.140625" style="2310" customWidth="1"/>
    <col min="12292" max="12292" width="30.140625" style="2310" customWidth="1"/>
    <col min="12293" max="12293" width="1.5703125" style="2310" customWidth="1"/>
    <col min="12294" max="12294" width="21.140625" style="2310" customWidth="1"/>
    <col min="12295" max="12295" width="1.5703125" style="2310" customWidth="1"/>
    <col min="12296" max="12296" width="22.140625" style="2310" customWidth="1"/>
    <col min="12297" max="12297" width="5.85546875" style="2310" customWidth="1"/>
    <col min="12298" max="12298" width="27.42578125" style="2310" customWidth="1"/>
    <col min="12299" max="12299" width="4.5703125" style="2310" customWidth="1"/>
    <col min="12300" max="12300" width="3.140625" style="2310" customWidth="1"/>
    <col min="12301" max="12303" width="1.5703125" style="2310" customWidth="1"/>
    <col min="12304" max="12304" width="4.85546875" style="2310" customWidth="1"/>
    <col min="12305" max="12306" width="1.5703125" style="2310" customWidth="1"/>
    <col min="12307" max="12545" width="9.140625" style="2310"/>
    <col min="12546" max="12546" width="17.85546875" style="2310" customWidth="1"/>
    <col min="12547" max="12547" width="1.140625" style="2310" customWidth="1"/>
    <col min="12548" max="12548" width="30.140625" style="2310" customWidth="1"/>
    <col min="12549" max="12549" width="1.5703125" style="2310" customWidth="1"/>
    <col min="12550" max="12550" width="21.140625" style="2310" customWidth="1"/>
    <col min="12551" max="12551" width="1.5703125" style="2310" customWidth="1"/>
    <col min="12552" max="12552" width="22.140625" style="2310" customWidth="1"/>
    <col min="12553" max="12553" width="5.85546875" style="2310" customWidth="1"/>
    <col min="12554" max="12554" width="27.42578125" style="2310" customWidth="1"/>
    <col min="12555" max="12555" width="4.5703125" style="2310" customWidth="1"/>
    <col min="12556" max="12556" width="3.140625" style="2310" customWidth="1"/>
    <col min="12557" max="12559" width="1.5703125" style="2310" customWidth="1"/>
    <col min="12560" max="12560" width="4.85546875" style="2310" customWidth="1"/>
    <col min="12561" max="12562" width="1.5703125" style="2310" customWidth="1"/>
    <col min="12563" max="12801" width="9.140625" style="2310"/>
    <col min="12802" max="12802" width="17.85546875" style="2310" customWidth="1"/>
    <col min="12803" max="12803" width="1.140625" style="2310" customWidth="1"/>
    <col min="12804" max="12804" width="30.140625" style="2310" customWidth="1"/>
    <col min="12805" max="12805" width="1.5703125" style="2310" customWidth="1"/>
    <col min="12806" max="12806" width="21.140625" style="2310" customWidth="1"/>
    <col min="12807" max="12807" width="1.5703125" style="2310" customWidth="1"/>
    <col min="12808" max="12808" width="22.140625" style="2310" customWidth="1"/>
    <col min="12809" max="12809" width="5.85546875" style="2310" customWidth="1"/>
    <col min="12810" max="12810" width="27.42578125" style="2310" customWidth="1"/>
    <col min="12811" max="12811" width="4.5703125" style="2310" customWidth="1"/>
    <col min="12812" max="12812" width="3.140625" style="2310" customWidth="1"/>
    <col min="12813" max="12815" width="1.5703125" style="2310" customWidth="1"/>
    <col min="12816" max="12816" width="4.85546875" style="2310" customWidth="1"/>
    <col min="12817" max="12818" width="1.5703125" style="2310" customWidth="1"/>
    <col min="12819" max="13057" width="9.140625" style="2310"/>
    <col min="13058" max="13058" width="17.85546875" style="2310" customWidth="1"/>
    <col min="13059" max="13059" width="1.140625" style="2310" customWidth="1"/>
    <col min="13060" max="13060" width="30.140625" style="2310" customWidth="1"/>
    <col min="13061" max="13061" width="1.5703125" style="2310" customWidth="1"/>
    <col min="13062" max="13062" width="21.140625" style="2310" customWidth="1"/>
    <col min="13063" max="13063" width="1.5703125" style="2310" customWidth="1"/>
    <col min="13064" max="13064" width="22.140625" style="2310" customWidth="1"/>
    <col min="13065" max="13065" width="5.85546875" style="2310" customWidth="1"/>
    <col min="13066" max="13066" width="27.42578125" style="2310" customWidth="1"/>
    <col min="13067" max="13067" width="4.5703125" style="2310" customWidth="1"/>
    <col min="13068" max="13068" width="3.140625" style="2310" customWidth="1"/>
    <col min="13069" max="13071" width="1.5703125" style="2310" customWidth="1"/>
    <col min="13072" max="13072" width="4.85546875" style="2310" customWidth="1"/>
    <col min="13073" max="13074" width="1.5703125" style="2310" customWidth="1"/>
    <col min="13075" max="13313" width="9.140625" style="2310"/>
    <col min="13314" max="13314" width="17.85546875" style="2310" customWidth="1"/>
    <col min="13315" max="13315" width="1.140625" style="2310" customWidth="1"/>
    <col min="13316" max="13316" width="30.140625" style="2310" customWidth="1"/>
    <col min="13317" max="13317" width="1.5703125" style="2310" customWidth="1"/>
    <col min="13318" max="13318" width="21.140625" style="2310" customWidth="1"/>
    <col min="13319" max="13319" width="1.5703125" style="2310" customWidth="1"/>
    <col min="13320" max="13320" width="22.140625" style="2310" customWidth="1"/>
    <col min="13321" max="13321" width="5.85546875" style="2310" customWidth="1"/>
    <col min="13322" max="13322" width="27.42578125" style="2310" customWidth="1"/>
    <col min="13323" max="13323" width="4.5703125" style="2310" customWidth="1"/>
    <col min="13324" max="13324" width="3.140625" style="2310" customWidth="1"/>
    <col min="13325" max="13327" width="1.5703125" style="2310" customWidth="1"/>
    <col min="13328" max="13328" width="4.85546875" style="2310" customWidth="1"/>
    <col min="13329" max="13330" width="1.5703125" style="2310" customWidth="1"/>
    <col min="13331" max="13569" width="9.140625" style="2310"/>
    <col min="13570" max="13570" width="17.85546875" style="2310" customWidth="1"/>
    <col min="13571" max="13571" width="1.140625" style="2310" customWidth="1"/>
    <col min="13572" max="13572" width="30.140625" style="2310" customWidth="1"/>
    <col min="13573" max="13573" width="1.5703125" style="2310" customWidth="1"/>
    <col min="13574" max="13574" width="21.140625" style="2310" customWidth="1"/>
    <col min="13575" max="13575" width="1.5703125" style="2310" customWidth="1"/>
    <col min="13576" max="13576" width="22.140625" style="2310" customWidth="1"/>
    <col min="13577" max="13577" width="5.85546875" style="2310" customWidth="1"/>
    <col min="13578" max="13578" width="27.42578125" style="2310" customWidth="1"/>
    <col min="13579" max="13579" width="4.5703125" style="2310" customWidth="1"/>
    <col min="13580" max="13580" width="3.140625" style="2310" customWidth="1"/>
    <col min="13581" max="13583" width="1.5703125" style="2310" customWidth="1"/>
    <col min="13584" max="13584" width="4.85546875" style="2310" customWidth="1"/>
    <col min="13585" max="13586" width="1.5703125" style="2310" customWidth="1"/>
    <col min="13587" max="13825" width="9.140625" style="2310"/>
    <col min="13826" max="13826" width="17.85546875" style="2310" customWidth="1"/>
    <col min="13827" max="13827" width="1.140625" style="2310" customWidth="1"/>
    <col min="13828" max="13828" width="30.140625" style="2310" customWidth="1"/>
    <col min="13829" max="13829" width="1.5703125" style="2310" customWidth="1"/>
    <col min="13830" max="13830" width="21.140625" style="2310" customWidth="1"/>
    <col min="13831" max="13831" width="1.5703125" style="2310" customWidth="1"/>
    <col min="13832" max="13832" width="22.140625" style="2310" customWidth="1"/>
    <col min="13833" max="13833" width="5.85546875" style="2310" customWidth="1"/>
    <col min="13834" max="13834" width="27.42578125" style="2310" customWidth="1"/>
    <col min="13835" max="13835" width="4.5703125" style="2310" customWidth="1"/>
    <col min="13836" max="13836" width="3.140625" style="2310" customWidth="1"/>
    <col min="13837" max="13839" width="1.5703125" style="2310" customWidth="1"/>
    <col min="13840" max="13840" width="4.85546875" style="2310" customWidth="1"/>
    <col min="13841" max="13842" width="1.5703125" style="2310" customWidth="1"/>
    <col min="13843" max="14081" width="9.140625" style="2310"/>
    <col min="14082" max="14082" width="17.85546875" style="2310" customWidth="1"/>
    <col min="14083" max="14083" width="1.140625" style="2310" customWidth="1"/>
    <col min="14084" max="14084" width="30.140625" style="2310" customWidth="1"/>
    <col min="14085" max="14085" width="1.5703125" style="2310" customWidth="1"/>
    <col min="14086" max="14086" width="21.140625" style="2310" customWidth="1"/>
    <col min="14087" max="14087" width="1.5703125" style="2310" customWidth="1"/>
    <col min="14088" max="14088" width="22.140625" style="2310" customWidth="1"/>
    <col min="14089" max="14089" width="5.85546875" style="2310" customWidth="1"/>
    <col min="14090" max="14090" width="27.42578125" style="2310" customWidth="1"/>
    <col min="14091" max="14091" width="4.5703125" style="2310" customWidth="1"/>
    <col min="14092" max="14092" width="3.140625" style="2310" customWidth="1"/>
    <col min="14093" max="14095" width="1.5703125" style="2310" customWidth="1"/>
    <col min="14096" max="14096" width="4.85546875" style="2310" customWidth="1"/>
    <col min="14097" max="14098" width="1.5703125" style="2310" customWidth="1"/>
    <col min="14099" max="14337" width="9.140625" style="2310"/>
    <col min="14338" max="14338" width="17.85546875" style="2310" customWidth="1"/>
    <col min="14339" max="14339" width="1.140625" style="2310" customWidth="1"/>
    <col min="14340" max="14340" width="30.140625" style="2310" customWidth="1"/>
    <col min="14341" max="14341" width="1.5703125" style="2310" customWidth="1"/>
    <col min="14342" max="14342" width="21.140625" style="2310" customWidth="1"/>
    <col min="14343" max="14343" width="1.5703125" style="2310" customWidth="1"/>
    <col min="14344" max="14344" width="22.140625" style="2310" customWidth="1"/>
    <col min="14345" max="14345" width="5.85546875" style="2310" customWidth="1"/>
    <col min="14346" max="14346" width="27.42578125" style="2310" customWidth="1"/>
    <col min="14347" max="14347" width="4.5703125" style="2310" customWidth="1"/>
    <col min="14348" max="14348" width="3.140625" style="2310" customWidth="1"/>
    <col min="14349" max="14351" width="1.5703125" style="2310" customWidth="1"/>
    <col min="14352" max="14352" width="4.85546875" style="2310" customWidth="1"/>
    <col min="14353" max="14354" width="1.5703125" style="2310" customWidth="1"/>
    <col min="14355" max="14593" width="9.140625" style="2310"/>
    <col min="14594" max="14594" width="17.85546875" style="2310" customWidth="1"/>
    <col min="14595" max="14595" width="1.140625" style="2310" customWidth="1"/>
    <col min="14596" max="14596" width="30.140625" style="2310" customWidth="1"/>
    <col min="14597" max="14597" width="1.5703125" style="2310" customWidth="1"/>
    <col min="14598" max="14598" width="21.140625" style="2310" customWidth="1"/>
    <col min="14599" max="14599" width="1.5703125" style="2310" customWidth="1"/>
    <col min="14600" max="14600" width="22.140625" style="2310" customWidth="1"/>
    <col min="14601" max="14601" width="5.85546875" style="2310" customWidth="1"/>
    <col min="14602" max="14602" width="27.42578125" style="2310" customWidth="1"/>
    <col min="14603" max="14603" width="4.5703125" style="2310" customWidth="1"/>
    <col min="14604" max="14604" width="3.140625" style="2310" customWidth="1"/>
    <col min="14605" max="14607" width="1.5703125" style="2310" customWidth="1"/>
    <col min="14608" max="14608" width="4.85546875" style="2310" customWidth="1"/>
    <col min="14609" max="14610" width="1.5703125" style="2310" customWidth="1"/>
    <col min="14611" max="14849" width="9.140625" style="2310"/>
    <col min="14850" max="14850" width="17.85546875" style="2310" customWidth="1"/>
    <col min="14851" max="14851" width="1.140625" style="2310" customWidth="1"/>
    <col min="14852" max="14852" width="30.140625" style="2310" customWidth="1"/>
    <col min="14853" max="14853" width="1.5703125" style="2310" customWidth="1"/>
    <col min="14854" max="14854" width="21.140625" style="2310" customWidth="1"/>
    <col min="14855" max="14855" width="1.5703125" style="2310" customWidth="1"/>
    <col min="14856" max="14856" width="22.140625" style="2310" customWidth="1"/>
    <col min="14857" max="14857" width="5.85546875" style="2310" customWidth="1"/>
    <col min="14858" max="14858" width="27.42578125" style="2310" customWidth="1"/>
    <col min="14859" max="14859" width="4.5703125" style="2310" customWidth="1"/>
    <col min="14860" max="14860" width="3.140625" style="2310" customWidth="1"/>
    <col min="14861" max="14863" width="1.5703125" style="2310" customWidth="1"/>
    <col min="14864" max="14864" width="4.85546875" style="2310" customWidth="1"/>
    <col min="14865" max="14866" width="1.5703125" style="2310" customWidth="1"/>
    <col min="14867" max="15105" width="9.140625" style="2310"/>
    <col min="15106" max="15106" width="17.85546875" style="2310" customWidth="1"/>
    <col min="15107" max="15107" width="1.140625" style="2310" customWidth="1"/>
    <col min="15108" max="15108" width="30.140625" style="2310" customWidth="1"/>
    <col min="15109" max="15109" width="1.5703125" style="2310" customWidth="1"/>
    <col min="15110" max="15110" width="21.140625" style="2310" customWidth="1"/>
    <col min="15111" max="15111" width="1.5703125" style="2310" customWidth="1"/>
    <col min="15112" max="15112" width="22.140625" style="2310" customWidth="1"/>
    <col min="15113" max="15113" width="5.85546875" style="2310" customWidth="1"/>
    <col min="15114" max="15114" width="27.42578125" style="2310" customWidth="1"/>
    <col min="15115" max="15115" width="4.5703125" style="2310" customWidth="1"/>
    <col min="15116" max="15116" width="3.140625" style="2310" customWidth="1"/>
    <col min="15117" max="15119" width="1.5703125" style="2310" customWidth="1"/>
    <col min="15120" max="15120" width="4.85546875" style="2310" customWidth="1"/>
    <col min="15121" max="15122" width="1.5703125" style="2310" customWidth="1"/>
    <col min="15123" max="15361" width="9.140625" style="2310"/>
    <col min="15362" max="15362" width="17.85546875" style="2310" customWidth="1"/>
    <col min="15363" max="15363" width="1.140625" style="2310" customWidth="1"/>
    <col min="15364" max="15364" width="30.140625" style="2310" customWidth="1"/>
    <col min="15365" max="15365" width="1.5703125" style="2310" customWidth="1"/>
    <col min="15366" max="15366" width="21.140625" style="2310" customWidth="1"/>
    <col min="15367" max="15367" width="1.5703125" style="2310" customWidth="1"/>
    <col min="15368" max="15368" width="22.140625" style="2310" customWidth="1"/>
    <col min="15369" max="15369" width="5.85546875" style="2310" customWidth="1"/>
    <col min="15370" max="15370" width="27.42578125" style="2310" customWidth="1"/>
    <col min="15371" max="15371" width="4.5703125" style="2310" customWidth="1"/>
    <col min="15372" max="15372" width="3.140625" style="2310" customWidth="1"/>
    <col min="15373" max="15375" width="1.5703125" style="2310" customWidth="1"/>
    <col min="15376" max="15376" width="4.85546875" style="2310" customWidth="1"/>
    <col min="15377" max="15378" width="1.5703125" style="2310" customWidth="1"/>
    <col min="15379" max="15617" width="9.140625" style="2310"/>
    <col min="15618" max="15618" width="17.85546875" style="2310" customWidth="1"/>
    <col min="15619" max="15619" width="1.140625" style="2310" customWidth="1"/>
    <col min="15620" max="15620" width="30.140625" style="2310" customWidth="1"/>
    <col min="15621" max="15621" width="1.5703125" style="2310" customWidth="1"/>
    <col min="15622" max="15622" width="21.140625" style="2310" customWidth="1"/>
    <col min="15623" max="15623" width="1.5703125" style="2310" customWidth="1"/>
    <col min="15624" max="15624" width="22.140625" style="2310" customWidth="1"/>
    <col min="15625" max="15625" width="5.85546875" style="2310" customWidth="1"/>
    <col min="15626" max="15626" width="27.42578125" style="2310" customWidth="1"/>
    <col min="15627" max="15627" width="4.5703125" style="2310" customWidth="1"/>
    <col min="15628" max="15628" width="3.140625" style="2310" customWidth="1"/>
    <col min="15629" max="15631" width="1.5703125" style="2310" customWidth="1"/>
    <col min="15632" max="15632" width="4.85546875" style="2310" customWidth="1"/>
    <col min="15633" max="15634" width="1.5703125" style="2310" customWidth="1"/>
    <col min="15635" max="15873" width="9.140625" style="2310"/>
    <col min="15874" max="15874" width="17.85546875" style="2310" customWidth="1"/>
    <col min="15875" max="15875" width="1.140625" style="2310" customWidth="1"/>
    <col min="15876" max="15876" width="30.140625" style="2310" customWidth="1"/>
    <col min="15877" max="15877" width="1.5703125" style="2310" customWidth="1"/>
    <col min="15878" max="15878" width="21.140625" style="2310" customWidth="1"/>
    <col min="15879" max="15879" width="1.5703125" style="2310" customWidth="1"/>
    <col min="15880" max="15880" width="22.140625" style="2310" customWidth="1"/>
    <col min="15881" max="15881" width="5.85546875" style="2310" customWidth="1"/>
    <col min="15882" max="15882" width="27.42578125" style="2310" customWidth="1"/>
    <col min="15883" max="15883" width="4.5703125" style="2310" customWidth="1"/>
    <col min="15884" max="15884" width="3.140625" style="2310" customWidth="1"/>
    <col min="15885" max="15887" width="1.5703125" style="2310" customWidth="1"/>
    <col min="15888" max="15888" width="4.85546875" style="2310" customWidth="1"/>
    <col min="15889" max="15890" width="1.5703125" style="2310" customWidth="1"/>
    <col min="15891" max="16129" width="9.140625" style="2310"/>
    <col min="16130" max="16130" width="17.85546875" style="2310" customWidth="1"/>
    <col min="16131" max="16131" width="1.140625" style="2310" customWidth="1"/>
    <col min="16132" max="16132" width="30.140625" style="2310" customWidth="1"/>
    <col min="16133" max="16133" width="1.5703125" style="2310" customWidth="1"/>
    <col min="16134" max="16134" width="21.140625" style="2310" customWidth="1"/>
    <col min="16135" max="16135" width="1.5703125" style="2310" customWidth="1"/>
    <col min="16136" max="16136" width="22.140625" style="2310" customWidth="1"/>
    <col min="16137" max="16137" width="5.85546875" style="2310" customWidth="1"/>
    <col min="16138" max="16138" width="27.42578125" style="2310" customWidth="1"/>
    <col min="16139" max="16139" width="4.5703125" style="2310" customWidth="1"/>
    <col min="16140" max="16140" width="3.140625" style="2310" customWidth="1"/>
    <col min="16141" max="16143" width="1.5703125" style="2310" customWidth="1"/>
    <col min="16144" max="16144" width="4.85546875" style="2310" customWidth="1"/>
    <col min="16145" max="16146" width="1.5703125" style="2310" customWidth="1"/>
    <col min="16147" max="16384" width="9.140625" style="2310"/>
  </cols>
  <sheetData>
    <row r="1" spans="1:12" s="2311" customFormat="1" ht="25.15" customHeight="1" x14ac:dyDescent="0.25">
      <c r="A1" s="2643" t="str">
        <f>+Index!$A$1</f>
        <v xml:space="preserve">                                                               Office of the State Controller                                                                </v>
      </c>
      <c r="B1" s="2644"/>
      <c r="C1" s="2644"/>
      <c r="D1" s="2644"/>
      <c r="E1" s="2644"/>
      <c r="F1" s="2644"/>
      <c r="G1" s="2644"/>
      <c r="H1" s="2644"/>
      <c r="I1" s="2644"/>
      <c r="J1" s="2644"/>
      <c r="K1" s="2644"/>
      <c r="L1" s="2338" t="str">
        <f>IF(Index!$B$51="na","NA","")</f>
        <v/>
      </c>
    </row>
    <row r="2" spans="1:12" s="2311" customFormat="1" ht="15.75" x14ac:dyDescent="0.25">
      <c r="A2" s="2645" t="str">
        <f>+Index!$A$2</f>
        <v>2022 ACFR Worksheets</v>
      </c>
      <c r="B2" s="2646"/>
      <c r="C2" s="2646"/>
      <c r="D2" s="2646"/>
      <c r="E2" s="2646"/>
      <c r="F2" s="2646"/>
      <c r="G2" s="2646"/>
      <c r="H2" s="2646"/>
      <c r="I2" s="2646"/>
      <c r="J2" s="2646"/>
      <c r="K2" s="2646"/>
      <c r="L2" s="2338"/>
    </row>
    <row r="3" spans="1:12" s="2311" customFormat="1" ht="15.75" x14ac:dyDescent="0.25">
      <c r="A3" s="2645" t="s">
        <v>4893</v>
      </c>
      <c r="B3" s="2646"/>
      <c r="C3" s="2646"/>
      <c r="D3" s="2646"/>
      <c r="E3" s="2646"/>
      <c r="F3" s="2646"/>
      <c r="G3" s="2646"/>
      <c r="H3" s="2646"/>
      <c r="I3" s="2646"/>
      <c r="J3" s="2646"/>
      <c r="K3" s="2646"/>
      <c r="L3" s="2338"/>
    </row>
    <row r="4" spans="1:12" s="2263" customFormat="1" ht="15" x14ac:dyDescent="0.25">
      <c r="F4" s="2264"/>
      <c r="H4" s="2264"/>
      <c r="I4" s="2265" t="s">
        <v>4871</v>
      </c>
    </row>
    <row r="5" spans="1:12" s="2263" customFormat="1" ht="6" customHeight="1" x14ac:dyDescent="0.2">
      <c r="D5" s="2266"/>
      <c r="E5" s="2266"/>
      <c r="G5" s="2647"/>
      <c r="H5" s="2647"/>
      <c r="I5" s="2647"/>
      <c r="J5" s="2267"/>
    </row>
    <row r="6" spans="1:12" s="2263" customFormat="1" ht="15" customHeight="1" x14ac:dyDescent="0.2">
      <c r="A6" s="2268" t="s">
        <v>327</v>
      </c>
      <c r="B6" s="2268"/>
      <c r="C6" s="2269"/>
      <c r="D6" s="2266"/>
      <c r="E6" s="2266"/>
      <c r="G6" s="2270" t="s">
        <v>1154</v>
      </c>
      <c r="H6" s="2271"/>
      <c r="I6" s="2648"/>
      <c r="J6" s="2648"/>
      <c r="K6" s="2648"/>
    </row>
    <row r="7" spans="1:12" s="2263" customFormat="1" ht="15" customHeight="1" x14ac:dyDescent="0.2">
      <c r="D7" s="2266"/>
      <c r="E7" s="2266"/>
      <c r="G7" s="2270" t="s">
        <v>972</v>
      </c>
      <c r="H7" s="2272"/>
      <c r="I7" s="2648"/>
      <c r="J7" s="2648"/>
      <c r="K7" s="2648"/>
    </row>
    <row r="8" spans="1:12" s="2263" customFormat="1" ht="15" customHeight="1" x14ac:dyDescent="0.2">
      <c r="C8" s="2273"/>
      <c r="D8" s="2266"/>
      <c r="E8" s="2266"/>
      <c r="G8" s="2270" t="s">
        <v>348</v>
      </c>
      <c r="H8" s="2272"/>
      <c r="I8" s="2648"/>
      <c r="J8" s="2648"/>
      <c r="K8" s="2648"/>
    </row>
    <row r="9" spans="1:12" s="2263" customFormat="1" ht="13.5" thickBot="1" x14ac:dyDescent="0.25">
      <c r="A9" s="2274"/>
      <c r="B9" s="2274"/>
      <c r="C9" s="2274"/>
      <c r="D9" s="2274"/>
      <c r="E9" s="2274"/>
      <c r="F9" s="2274"/>
      <c r="G9" s="2274"/>
      <c r="H9" s="2274"/>
      <c r="I9" s="2274"/>
      <c r="J9" s="2274"/>
      <c r="K9" s="2274"/>
    </row>
    <row r="10" spans="1:12" s="2263" customFormat="1" ht="12.75" x14ac:dyDescent="0.2"/>
    <row r="11" spans="1:12" s="2263" customFormat="1" ht="12.75" x14ac:dyDescent="0.2">
      <c r="A11" s="2640" t="s">
        <v>4869</v>
      </c>
      <c r="B11" s="2640"/>
      <c r="C11" s="2640"/>
      <c r="D11" s="2640"/>
      <c r="E11" s="2640"/>
      <c r="F11" s="2640"/>
      <c r="G11" s="2640"/>
      <c r="H11" s="2640"/>
      <c r="I11" s="2640"/>
      <c r="J11" s="2641"/>
      <c r="K11" s="2641"/>
    </row>
    <row r="12" spans="1:12" s="2263" customFormat="1" ht="12.75" x14ac:dyDescent="0.2">
      <c r="A12" s="2649" t="s">
        <v>4870</v>
      </c>
      <c r="B12" s="2640"/>
      <c r="C12" s="2640"/>
      <c r="D12" s="2640"/>
      <c r="E12" s="2640"/>
      <c r="F12" s="2640"/>
      <c r="G12" s="2640"/>
      <c r="H12" s="2640"/>
      <c r="I12" s="2640"/>
      <c r="J12" s="2641"/>
      <c r="K12" s="2641"/>
    </row>
    <row r="13" spans="1:12" s="2263" customFormat="1" ht="12.75" x14ac:dyDescent="0.2">
      <c r="A13" s="2640" t="s">
        <v>5527</v>
      </c>
      <c r="B13" s="2640"/>
      <c r="C13" s="2640"/>
      <c r="D13" s="2640"/>
      <c r="E13" s="2640"/>
      <c r="F13" s="2640"/>
      <c r="G13" s="2640"/>
      <c r="H13" s="2640"/>
      <c r="I13" s="2640"/>
      <c r="J13" s="2641"/>
      <c r="K13" s="2641"/>
    </row>
    <row r="14" spans="1:12" s="2263" customFormat="1" ht="12.75" x14ac:dyDescent="0.2">
      <c r="A14" s="2640" t="s">
        <v>5528</v>
      </c>
      <c r="B14" s="2640"/>
      <c r="C14" s="2640"/>
      <c r="D14" s="2640"/>
      <c r="E14" s="2640"/>
      <c r="F14" s="2640"/>
      <c r="G14" s="2640"/>
      <c r="H14" s="2640"/>
      <c r="I14" s="2640"/>
      <c r="J14" s="2641"/>
      <c r="K14" s="2641"/>
    </row>
    <row r="15" spans="1:12" s="2263" customFormat="1" ht="12.75" x14ac:dyDescent="0.2">
      <c r="A15" s="2640" t="s">
        <v>5529</v>
      </c>
      <c r="B15" s="2640"/>
      <c r="C15" s="2640"/>
      <c r="D15" s="2640"/>
      <c r="E15" s="2640"/>
      <c r="F15" s="2640"/>
      <c r="G15" s="2640"/>
      <c r="H15" s="2640"/>
      <c r="I15" s="2640"/>
      <c r="J15" s="2641"/>
      <c r="K15" s="2641"/>
    </row>
    <row r="16" spans="1:12" s="2263" customFormat="1" ht="12.75" x14ac:dyDescent="0.2">
      <c r="A16" s="2640" t="s">
        <v>5530</v>
      </c>
      <c r="B16" s="2641"/>
      <c r="C16" s="2641"/>
      <c r="D16" s="2641"/>
      <c r="E16" s="2641"/>
      <c r="F16" s="2641"/>
      <c r="G16" s="2641"/>
      <c r="H16" s="2641"/>
      <c r="I16" s="2641"/>
      <c r="J16" s="2641"/>
      <c r="K16" s="2641"/>
    </row>
    <row r="17" spans="1:11" s="2006" customFormat="1" ht="12.75" x14ac:dyDescent="0.2">
      <c r="A17" s="1869"/>
      <c r="B17" s="1869"/>
      <c r="C17" s="1869"/>
      <c r="D17" s="1869"/>
      <c r="E17" s="1869"/>
      <c r="F17" s="1869"/>
      <c r="G17" s="1869"/>
      <c r="H17" s="1869"/>
      <c r="I17" s="1869"/>
      <c r="J17" s="1869"/>
      <c r="K17" s="1869"/>
    </row>
    <row r="18" spans="1:11" s="2006" customFormat="1" ht="15" x14ac:dyDescent="0.25">
      <c r="A18" s="2640" t="s">
        <v>4967</v>
      </c>
      <c r="B18" s="2640"/>
      <c r="C18" s="2640"/>
      <c r="D18" s="2640"/>
      <c r="E18" s="2640"/>
      <c r="F18" s="2640"/>
      <c r="G18" s="2640"/>
      <c r="H18" s="2640"/>
      <c r="I18" s="2640"/>
      <c r="J18" s="2641"/>
      <c r="K18" s="2641"/>
    </row>
    <row r="19" spans="1:11" s="2006" customFormat="1" ht="12.75" x14ac:dyDescent="0.2">
      <c r="A19" s="2275"/>
      <c r="B19" s="2275"/>
      <c r="C19" s="2275"/>
      <c r="D19" s="2275"/>
      <c r="E19" s="2275"/>
      <c r="F19" s="2275"/>
      <c r="G19" s="2275"/>
      <c r="H19" s="2275"/>
      <c r="I19" s="2275"/>
      <c r="J19" s="1869"/>
      <c r="K19" s="1869"/>
    </row>
    <row r="20" spans="1:11" s="2006" customFormat="1" ht="12.75" x14ac:dyDescent="0.2">
      <c r="A20" s="2276" t="s">
        <v>969</v>
      </c>
      <c r="B20" s="2277"/>
      <c r="C20" s="2278"/>
      <c r="D20" s="2279" t="str">
        <f>IF(AND(ISBLANK(C20),ISBLANK(C21))=TRUE,"Answer Missing"," ")</f>
        <v>Answer Missing</v>
      </c>
      <c r="E20" s="2069"/>
      <c r="F20" s="2277"/>
      <c r="G20" s="2280" t="str">
        <f>IF(ISTEXT(C20), "Section B Required", " ")</f>
        <v xml:space="preserve"> </v>
      </c>
      <c r="H20" s="2280"/>
      <c r="I20" s="2280"/>
      <c r="J20" s="1869"/>
      <c r="K20" s="1869"/>
    </row>
    <row r="21" spans="1:11" s="2006" customFormat="1" ht="12.75" x14ac:dyDescent="0.2">
      <c r="A21" s="2276" t="s">
        <v>970</v>
      </c>
      <c r="B21" s="2277"/>
      <c r="C21" s="2278"/>
      <c r="D21" s="2281"/>
      <c r="E21" s="2277"/>
      <c r="F21" s="2277"/>
      <c r="G21" s="2277"/>
      <c r="H21" s="2277"/>
      <c r="I21" s="2277"/>
      <c r="J21" s="1869"/>
      <c r="K21" s="1869"/>
    </row>
    <row r="22" spans="1:11" s="2006" customFormat="1" ht="12.75" x14ac:dyDescent="0.2">
      <c r="A22" s="2276"/>
      <c r="B22" s="2277"/>
      <c r="C22" s="2282"/>
      <c r="D22" s="2281"/>
      <c r="E22" s="2277"/>
      <c r="F22" s="2277"/>
      <c r="G22" s="2277"/>
      <c r="H22" s="2277"/>
      <c r="I22" s="2277"/>
      <c r="J22" s="1869"/>
      <c r="K22" s="1869"/>
    </row>
    <row r="23" spans="1:11" s="2006" customFormat="1" ht="15" x14ac:dyDescent="0.25">
      <c r="A23" s="2275" t="s">
        <v>4794</v>
      </c>
      <c r="B23" s="2275"/>
      <c r="C23" s="2275"/>
      <c r="D23" s="2275"/>
      <c r="E23" s="2275"/>
      <c r="F23" s="2275"/>
      <c r="G23" s="2275"/>
      <c r="H23" s="2275"/>
      <c r="I23" s="2275"/>
      <c r="J23" s="1869"/>
      <c r="K23" s="1869"/>
    </row>
    <row r="24" spans="1:11" s="2263" customFormat="1" ht="12.75" x14ac:dyDescent="0.2">
      <c r="A24" s="2640" t="s">
        <v>5242</v>
      </c>
      <c r="B24" s="2640"/>
      <c r="C24" s="2640"/>
      <c r="D24" s="2640"/>
      <c r="E24" s="2640"/>
      <c r="F24" s="2640"/>
      <c r="G24" s="2640"/>
      <c r="H24" s="2640"/>
      <c r="I24" s="2640"/>
      <c r="J24" s="2640"/>
      <c r="K24" s="2640"/>
    </row>
    <row r="25" spans="1:11" s="2263" customFormat="1" ht="12.75" x14ac:dyDescent="0.2">
      <c r="A25" s="2283" t="s">
        <v>5241</v>
      </c>
      <c r="B25" s="2275"/>
      <c r="C25" s="2275"/>
      <c r="D25" s="2275"/>
      <c r="E25" s="2275"/>
      <c r="F25" s="2275"/>
      <c r="G25" s="2275"/>
      <c r="H25" s="2275"/>
      <c r="I25" s="2275"/>
      <c r="J25" s="2275"/>
      <c r="K25" s="2275"/>
    </row>
    <row r="26" spans="1:11" s="2263" customFormat="1" ht="12.75" x14ac:dyDescent="0.2">
      <c r="A26" s="2284"/>
      <c r="B26" s="2284"/>
      <c r="C26" s="2284"/>
      <c r="D26" s="2284"/>
      <c r="E26" s="2284"/>
      <c r="F26" s="2284"/>
      <c r="G26" s="2284"/>
      <c r="H26" s="2284"/>
      <c r="I26" s="2285" t="s">
        <v>4875</v>
      </c>
      <c r="J26" s="2284"/>
      <c r="K26" s="2285" t="s">
        <v>4876</v>
      </c>
    </row>
    <row r="27" spans="1:11" s="2263" customFormat="1" ht="12.75" x14ac:dyDescent="0.2">
      <c r="A27" s="2284"/>
      <c r="B27" s="2284"/>
      <c r="C27" s="2284"/>
      <c r="D27" s="2284"/>
      <c r="E27" s="2284"/>
      <c r="F27" s="2284"/>
      <c r="G27" s="2284"/>
      <c r="H27" s="2284"/>
      <c r="I27" s="2285" t="s">
        <v>4864</v>
      </c>
      <c r="J27" s="2284"/>
      <c r="K27" s="2285" t="s">
        <v>4864</v>
      </c>
    </row>
    <row r="28" spans="1:11" s="2263" customFormat="1" ht="12.75" x14ac:dyDescent="0.2">
      <c r="A28" s="2284"/>
      <c r="B28" s="2284"/>
      <c r="C28" s="2284"/>
      <c r="D28" s="2284"/>
      <c r="E28" s="2284"/>
      <c r="F28" s="2284"/>
      <c r="G28" s="2285" t="s">
        <v>4874</v>
      </c>
      <c r="H28" s="2284"/>
      <c r="I28" s="2285" t="s">
        <v>4865</v>
      </c>
      <c r="J28" s="2284"/>
      <c r="K28" s="2285" t="s">
        <v>4865</v>
      </c>
    </row>
    <row r="29" spans="1:11" s="2312" customFormat="1" ht="15" x14ac:dyDescent="0.25">
      <c r="A29" s="2286" t="s">
        <v>4788</v>
      </c>
      <c r="B29" s="2287"/>
      <c r="C29" s="2286" t="s">
        <v>4789</v>
      </c>
      <c r="D29" s="2287"/>
      <c r="E29" s="2286" t="s">
        <v>4790</v>
      </c>
      <c r="F29" s="2287"/>
      <c r="G29" s="2286" t="s">
        <v>4873</v>
      </c>
      <c r="H29" s="2287"/>
      <c r="I29" s="2288" t="s">
        <v>5463</v>
      </c>
      <c r="J29" s="2285"/>
      <c r="K29" s="2288" t="s">
        <v>5463</v>
      </c>
    </row>
    <row r="30" spans="1:11" s="2263" customFormat="1" ht="12.75" x14ac:dyDescent="0.2">
      <c r="A30" s="2289"/>
      <c r="B30" s="2290"/>
      <c r="C30" s="2291"/>
      <c r="D30" s="2292"/>
      <c r="E30" s="2293"/>
      <c r="F30" s="2294"/>
      <c r="G30" s="2293"/>
      <c r="H30" s="2295"/>
      <c r="I30" s="2296"/>
      <c r="J30" s="2297"/>
      <c r="K30" s="2296"/>
    </row>
    <row r="31" spans="1:11" s="2263" customFormat="1" ht="12.75" x14ac:dyDescent="0.2">
      <c r="A31" s="2289"/>
      <c r="B31" s="2290"/>
      <c r="C31" s="2291"/>
      <c r="D31" s="2290"/>
      <c r="E31" s="2293"/>
      <c r="F31" s="2294"/>
      <c r="G31" s="2293"/>
      <c r="H31" s="2295"/>
      <c r="I31" s="2296"/>
      <c r="J31" s="2297"/>
      <c r="K31" s="2296"/>
    </row>
    <row r="32" spans="1:11" s="2263" customFormat="1" ht="12.75" x14ac:dyDescent="0.2">
      <c r="A32" s="2289"/>
      <c r="B32" s="2290"/>
      <c r="C32" s="2291"/>
      <c r="D32" s="2292"/>
      <c r="E32" s="2293"/>
      <c r="F32" s="2294"/>
      <c r="G32" s="2293"/>
      <c r="H32" s="2295"/>
      <c r="I32" s="2296"/>
      <c r="J32" s="2297"/>
      <c r="K32" s="2296"/>
    </row>
    <row r="33" spans="1:16" s="2263" customFormat="1" ht="12.75" x14ac:dyDescent="0.2">
      <c r="A33" s="2289"/>
      <c r="B33" s="2290"/>
      <c r="C33" s="2291"/>
      <c r="D33" s="2290"/>
      <c r="E33" s="2293"/>
      <c r="F33" s="2294"/>
      <c r="G33" s="2293"/>
      <c r="H33" s="2295"/>
      <c r="I33" s="2296"/>
      <c r="J33" s="2297"/>
      <c r="K33" s="2296"/>
    </row>
    <row r="34" spans="1:16" s="2263" customFormat="1" ht="9.75" customHeight="1" x14ac:dyDescent="0.2">
      <c r="A34" s="2298"/>
      <c r="B34" s="2298"/>
      <c r="C34" s="2299"/>
      <c r="D34" s="2299"/>
      <c r="E34" s="2299"/>
      <c r="F34" s="2300"/>
      <c r="G34" s="2300"/>
      <c r="H34" s="2300"/>
      <c r="I34" s="2301"/>
      <c r="J34" s="2301"/>
      <c r="K34" s="2300"/>
      <c r="L34" s="2300"/>
      <c r="M34" s="2300"/>
      <c r="N34" s="2300"/>
      <c r="O34" s="2300"/>
      <c r="P34" s="2300"/>
    </row>
    <row r="35" spans="1:16" s="2263" customFormat="1" ht="12.75" x14ac:dyDescent="0.2">
      <c r="A35" s="2640" t="s">
        <v>4878</v>
      </c>
      <c r="B35" s="2640"/>
      <c r="C35" s="2640"/>
      <c r="D35" s="2640"/>
      <c r="E35" s="2640"/>
      <c r="F35" s="2640"/>
      <c r="G35" s="2640"/>
      <c r="H35" s="2640"/>
      <c r="I35" s="2640"/>
      <c r="J35" s="2641"/>
      <c r="K35" s="2641"/>
      <c r="L35" s="2300"/>
      <c r="M35" s="2300"/>
      <c r="N35" s="2300"/>
      <c r="O35" s="2300"/>
      <c r="P35" s="2300"/>
    </row>
    <row r="36" spans="1:16" s="2263" customFormat="1" ht="12.75" x14ac:dyDescent="0.2">
      <c r="A36" s="2283" t="s">
        <v>4877</v>
      </c>
      <c r="B36" s="2275"/>
      <c r="C36" s="2275"/>
      <c r="D36" s="2275"/>
      <c r="E36" s="2275"/>
      <c r="F36" s="2275"/>
      <c r="G36" s="2275"/>
      <c r="H36" s="2275"/>
      <c r="I36" s="2275"/>
      <c r="J36" s="2275"/>
      <c r="K36" s="2300"/>
      <c r="L36" s="2300"/>
      <c r="M36" s="2300"/>
      <c r="N36" s="2300"/>
      <c r="O36" s="2300"/>
      <c r="P36" s="2300"/>
    </row>
    <row r="37" spans="1:16" s="2263" customFormat="1" ht="12.75" x14ac:dyDescent="0.2">
      <c r="A37" s="2284"/>
      <c r="B37" s="2284"/>
      <c r="C37" s="2284"/>
      <c r="D37" s="2284"/>
      <c r="E37" s="2284"/>
      <c r="F37" s="2284"/>
      <c r="G37" s="2284"/>
      <c r="H37" s="2284"/>
      <c r="I37" s="2285" t="s">
        <v>4875</v>
      </c>
      <c r="J37" s="2284"/>
      <c r="K37" s="2285" t="s">
        <v>4876</v>
      </c>
      <c r="L37" s="2300"/>
      <c r="M37" s="2300"/>
      <c r="N37" s="2300"/>
      <c r="O37" s="2300"/>
      <c r="P37" s="2300"/>
    </row>
    <row r="38" spans="1:16" s="2263" customFormat="1" ht="12.75" x14ac:dyDescent="0.2">
      <c r="A38" s="2284"/>
      <c r="B38" s="2284"/>
      <c r="C38" s="2284"/>
      <c r="D38" s="2284"/>
      <c r="E38" s="2284"/>
      <c r="F38" s="2284"/>
      <c r="G38" s="2284"/>
      <c r="H38" s="2284"/>
      <c r="I38" s="2285" t="s">
        <v>4864</v>
      </c>
      <c r="J38" s="2284"/>
      <c r="K38" s="2285" t="s">
        <v>4864</v>
      </c>
      <c r="L38" s="2300"/>
      <c r="M38" s="2300"/>
      <c r="N38" s="2300"/>
      <c r="O38" s="2300"/>
      <c r="P38" s="2300"/>
    </row>
    <row r="39" spans="1:16" s="2263" customFormat="1" ht="12.75" x14ac:dyDescent="0.2">
      <c r="A39" s="2284"/>
      <c r="B39" s="2284"/>
      <c r="C39" s="2284"/>
      <c r="D39" s="2284"/>
      <c r="E39" s="2284"/>
      <c r="F39" s="2284"/>
      <c r="G39" s="2285" t="s">
        <v>4874</v>
      </c>
      <c r="H39" s="2284"/>
      <c r="I39" s="2285" t="s">
        <v>4865</v>
      </c>
      <c r="J39" s="2284"/>
      <c r="K39" s="2285" t="s">
        <v>4865</v>
      </c>
      <c r="L39" s="2300"/>
      <c r="M39" s="2300"/>
      <c r="N39" s="2300"/>
      <c r="O39" s="2300"/>
      <c r="P39" s="2300"/>
    </row>
    <row r="40" spans="1:16" s="2263" customFormat="1" ht="12.75" x14ac:dyDescent="0.2">
      <c r="A40" s="2286" t="s">
        <v>4788</v>
      </c>
      <c r="B40" s="2287"/>
      <c r="C40" s="2286" t="s">
        <v>4789</v>
      </c>
      <c r="D40" s="2287"/>
      <c r="E40" s="2286" t="s">
        <v>4790</v>
      </c>
      <c r="F40" s="2287"/>
      <c r="G40" s="2286" t="s">
        <v>4873</v>
      </c>
      <c r="H40" s="2287"/>
      <c r="I40" s="2288" t="s">
        <v>5463</v>
      </c>
      <c r="J40" s="2285"/>
      <c r="K40" s="2288" t="s">
        <v>5463</v>
      </c>
      <c r="L40" s="2300"/>
      <c r="M40" s="2300"/>
      <c r="N40" s="2300"/>
      <c r="O40" s="2300"/>
      <c r="P40" s="2300"/>
    </row>
    <row r="41" spans="1:16" s="2263" customFormat="1" ht="12.75" x14ac:dyDescent="0.2">
      <c r="A41" s="2289"/>
      <c r="B41" s="2290"/>
      <c r="C41" s="2291"/>
      <c r="D41" s="2292"/>
      <c r="E41" s="2293"/>
      <c r="F41" s="2294"/>
      <c r="G41" s="2293"/>
      <c r="H41" s="2295"/>
      <c r="I41" s="2296"/>
      <c r="J41" s="2297"/>
      <c r="K41" s="2296"/>
      <c r="L41" s="2300"/>
      <c r="M41" s="2300"/>
      <c r="N41" s="2300"/>
      <c r="O41" s="2300"/>
      <c r="P41" s="2300"/>
    </row>
    <row r="42" spans="1:16" s="2263" customFormat="1" ht="12.75" x14ac:dyDescent="0.2">
      <c r="A42" s="2289"/>
      <c r="B42" s="2290"/>
      <c r="C42" s="2291"/>
      <c r="D42" s="2292"/>
      <c r="E42" s="2293"/>
      <c r="F42" s="2294"/>
      <c r="G42" s="2293"/>
      <c r="H42" s="2295"/>
      <c r="I42" s="2296"/>
      <c r="J42" s="2297"/>
      <c r="K42" s="2296"/>
      <c r="L42" s="2300"/>
      <c r="M42" s="2300"/>
      <c r="N42" s="2300"/>
      <c r="O42" s="2300"/>
      <c r="P42" s="2300"/>
    </row>
    <row r="43" spans="1:16" s="2263" customFormat="1" ht="12.75" x14ac:dyDescent="0.2">
      <c r="A43" s="2289"/>
      <c r="B43" s="2290"/>
      <c r="C43" s="2291"/>
      <c r="D43" s="2290"/>
      <c r="E43" s="2293"/>
      <c r="F43" s="2294"/>
      <c r="G43" s="2293"/>
      <c r="H43" s="2295"/>
      <c r="I43" s="2296"/>
      <c r="J43" s="2297"/>
      <c r="K43" s="2296"/>
      <c r="L43" s="2300"/>
      <c r="M43" s="2300"/>
      <c r="N43" s="2300"/>
      <c r="O43" s="2300"/>
      <c r="P43" s="2300"/>
    </row>
    <row r="44" spans="1:16" s="2263" customFormat="1" ht="12.75" x14ac:dyDescent="0.2">
      <c r="A44" s="2289"/>
      <c r="B44" s="2290"/>
      <c r="C44" s="2291"/>
      <c r="D44" s="2290"/>
      <c r="E44" s="2293"/>
      <c r="F44" s="2294"/>
      <c r="G44" s="2293"/>
      <c r="H44" s="2295"/>
      <c r="I44" s="2296"/>
      <c r="J44" s="2297"/>
      <c r="K44" s="2296"/>
      <c r="L44" s="2300"/>
      <c r="M44" s="2300"/>
      <c r="N44" s="2300"/>
      <c r="O44" s="2300"/>
      <c r="P44" s="2300"/>
    </row>
    <row r="45" spans="1:16" s="2263" customFormat="1" ht="12.75" x14ac:dyDescent="0.2">
      <c r="A45" s="2289"/>
      <c r="B45" s="2290"/>
      <c r="C45" s="2291"/>
      <c r="D45" s="2292"/>
      <c r="E45" s="2293"/>
      <c r="F45" s="2294"/>
      <c r="G45" s="2293"/>
      <c r="H45" s="2295"/>
      <c r="I45" s="2296"/>
      <c r="J45" s="2301"/>
      <c r="K45" s="2296"/>
      <c r="L45" s="2300"/>
      <c r="M45" s="2300"/>
      <c r="N45" s="2300"/>
      <c r="O45" s="2300"/>
      <c r="P45" s="2300"/>
    </row>
    <row r="46" spans="1:16" s="2263" customFormat="1" ht="12.75" x14ac:dyDescent="0.2">
      <c r="A46" s="2289"/>
      <c r="B46" s="2290"/>
      <c r="C46" s="2291"/>
      <c r="D46" s="2292"/>
      <c r="E46" s="2293"/>
      <c r="F46" s="2294"/>
      <c r="G46" s="2293"/>
      <c r="H46" s="2295"/>
      <c r="I46" s="2296"/>
      <c r="J46" s="1869"/>
      <c r="K46" s="2296"/>
      <c r="L46" s="2300"/>
      <c r="M46" s="2300"/>
      <c r="N46" s="2300"/>
      <c r="O46" s="2300"/>
      <c r="P46" s="2300"/>
    </row>
    <row r="47" spans="1:16" s="2263" customFormat="1" ht="12.75" x14ac:dyDescent="0.2">
      <c r="A47" s="2289"/>
      <c r="B47" s="2290"/>
      <c r="C47" s="2291"/>
      <c r="D47" s="2290"/>
      <c r="E47" s="2293"/>
      <c r="F47" s="2294"/>
      <c r="G47" s="2293"/>
      <c r="H47" s="2295"/>
      <c r="I47" s="2296"/>
      <c r="J47" s="1869"/>
      <c r="K47" s="2296"/>
      <c r="L47" s="2300"/>
      <c r="M47" s="2300"/>
      <c r="N47" s="2300"/>
      <c r="O47" s="2300"/>
      <c r="P47" s="2300"/>
    </row>
    <row r="48" spans="1:16" s="2263" customFormat="1" ht="12.75" x14ac:dyDescent="0.2">
      <c r="A48" s="2289"/>
      <c r="B48" s="2290"/>
      <c r="C48" s="2291"/>
      <c r="D48" s="2290"/>
      <c r="E48" s="2293"/>
      <c r="F48" s="2294"/>
      <c r="G48" s="2293"/>
      <c r="H48" s="2295"/>
      <c r="I48" s="2296"/>
      <c r="J48" s="2284"/>
      <c r="K48" s="2296"/>
      <c r="L48" s="2300"/>
      <c r="M48" s="2300"/>
      <c r="N48" s="2300"/>
      <c r="O48" s="2300"/>
      <c r="P48" s="2300"/>
    </row>
    <row r="49" spans="1:11" ht="12.75" x14ac:dyDescent="0.2">
      <c r="A49" s="2289"/>
      <c r="B49" s="2290"/>
      <c r="C49" s="2291"/>
      <c r="D49" s="2292"/>
      <c r="E49" s="2293"/>
      <c r="F49" s="2294"/>
      <c r="G49" s="2293"/>
      <c r="H49" s="2295"/>
      <c r="I49" s="2296"/>
      <c r="J49" s="2284"/>
      <c r="K49" s="2296"/>
    </row>
    <row r="50" spans="1:11" ht="12.75" x14ac:dyDescent="0.2">
      <c r="A50" s="2289"/>
      <c r="B50" s="2290"/>
      <c r="C50" s="2291"/>
      <c r="D50" s="2292"/>
      <c r="E50" s="2293"/>
      <c r="F50" s="2294"/>
      <c r="G50" s="2293"/>
      <c r="H50" s="2295"/>
      <c r="I50" s="2296"/>
      <c r="J50" s="2284"/>
      <c r="K50" s="2296"/>
    </row>
    <row r="51" spans="1:11" ht="12.75" x14ac:dyDescent="0.2">
      <c r="A51" s="2289"/>
      <c r="B51" s="2290"/>
      <c r="C51" s="2291"/>
      <c r="D51" s="2290"/>
      <c r="E51" s="2293"/>
      <c r="F51" s="2294"/>
      <c r="G51" s="2293"/>
      <c r="H51" s="2295"/>
      <c r="I51" s="2296"/>
      <c r="J51" s="2285"/>
      <c r="K51" s="2296"/>
    </row>
    <row r="52" spans="1:11" ht="12.75" x14ac:dyDescent="0.2">
      <c r="A52" s="2289"/>
      <c r="B52" s="2290"/>
      <c r="C52" s="2291"/>
      <c r="D52" s="2290"/>
      <c r="E52" s="2293"/>
      <c r="F52" s="2294"/>
      <c r="G52" s="2293"/>
      <c r="H52" s="2295"/>
      <c r="I52" s="2296"/>
      <c r="J52" s="2297"/>
      <c r="K52" s="2296"/>
    </row>
    <row r="53" spans="1:11" ht="12.75" x14ac:dyDescent="0.2">
      <c r="A53" s="2302"/>
      <c r="B53" s="2290"/>
      <c r="C53" s="2294"/>
      <c r="D53" s="2290"/>
      <c r="E53" s="2303"/>
      <c r="F53" s="2294"/>
      <c r="G53" s="2303"/>
      <c r="H53" s="2295"/>
      <c r="I53" s="2297"/>
      <c r="J53" s="2297"/>
      <c r="K53" s="2297"/>
    </row>
    <row r="54" spans="1:11" ht="12.75" x14ac:dyDescent="0.2">
      <c r="A54" s="2302"/>
      <c r="B54" s="2290"/>
      <c r="C54" s="2294"/>
      <c r="D54" s="2290"/>
      <c r="E54" s="2303"/>
      <c r="F54" s="2294"/>
      <c r="G54" s="2303"/>
      <c r="H54" s="2295"/>
      <c r="I54" s="2297"/>
      <c r="J54" s="2297"/>
      <c r="K54" s="2297"/>
    </row>
    <row r="55" spans="1:11" ht="12.75" x14ac:dyDescent="0.2">
      <c r="A55" s="2302"/>
      <c r="B55" s="2290"/>
      <c r="C55" s="2294"/>
      <c r="D55" s="2290"/>
      <c r="E55" s="2303"/>
      <c r="F55" s="2294"/>
      <c r="G55" s="2303"/>
      <c r="H55" s="2295"/>
      <c r="I55" s="2297"/>
      <c r="J55" s="2297"/>
      <c r="K55" s="2297"/>
    </row>
    <row r="56" spans="1:11" ht="12.75" x14ac:dyDescent="0.2">
      <c r="A56" s="2304"/>
      <c r="B56" s="2305"/>
      <c r="C56" s="2305"/>
      <c r="D56" s="2263"/>
      <c r="E56" s="2306"/>
      <c r="F56" s="2307"/>
      <c r="G56" s="2642"/>
      <c r="H56" s="2642"/>
      <c r="I56" s="2642"/>
      <c r="J56" s="2308"/>
      <c r="K56" s="2263"/>
    </row>
    <row r="57" spans="1:11" ht="12.75" x14ac:dyDescent="0.2">
      <c r="A57" s="2304"/>
      <c r="B57" s="2305"/>
      <c r="C57" s="2305"/>
      <c r="D57" s="2309"/>
      <c r="E57" s="2306"/>
      <c r="F57" s="2307"/>
      <c r="G57" s="2307"/>
      <c r="H57" s="2307"/>
      <c r="I57" s="2307"/>
      <c r="J57" s="2308"/>
    </row>
    <row r="58" spans="1:11" ht="12.75" x14ac:dyDescent="0.2">
      <c r="A58" s="2304"/>
      <c r="B58" s="2305"/>
      <c r="C58" s="2305"/>
      <c r="D58" s="2305"/>
      <c r="E58" s="2306"/>
      <c r="F58" s="2307"/>
      <c r="G58" s="2307"/>
      <c r="H58" s="2307"/>
      <c r="I58" s="2307"/>
      <c r="J58" s="2308"/>
    </row>
    <row r="59" spans="1:11" ht="12.75" x14ac:dyDescent="0.2">
      <c r="A59" s="2304"/>
      <c r="B59" s="2305"/>
      <c r="C59" s="2305"/>
      <c r="D59" s="2305"/>
      <c r="E59" s="2306"/>
      <c r="F59" s="2307"/>
      <c r="G59" s="2307"/>
      <c r="H59" s="2307"/>
      <c r="I59" s="2307"/>
      <c r="J59" s="2308"/>
    </row>
    <row r="60" spans="1:11" ht="12.75" x14ac:dyDescent="0.2">
      <c r="A60" s="2304"/>
      <c r="B60" s="2305"/>
      <c r="C60" s="2305"/>
      <c r="D60" s="2305"/>
      <c r="E60" s="2306"/>
      <c r="F60" s="2307"/>
      <c r="G60" s="2307"/>
      <c r="H60" s="2307"/>
      <c r="I60" s="2307"/>
      <c r="J60" s="2308"/>
    </row>
  </sheetData>
  <sheetProtection algorithmName="SHA-512" hashValue="dwddN9NlDQ6O6GE6W2J3xS31KG+bSDnnBSvCYvYLxzAgvYCJLtRREqOQeelpOXoRjGhoESCjFXXywcQDqKLrMQ==" saltValue="ukSaPrXwSA2wIj3A1L1QDA==" spinCount="100000" sheet="1" objects="1" scenarios="1" autoFilter="0"/>
  <mergeCells count="17">
    <mergeCell ref="A14:K14"/>
    <mergeCell ref="A1:K1"/>
    <mergeCell ref="A2:K2"/>
    <mergeCell ref="A3:K3"/>
    <mergeCell ref="G5:I5"/>
    <mergeCell ref="I6:K6"/>
    <mergeCell ref="I7:K7"/>
    <mergeCell ref="I8:K8"/>
    <mergeCell ref="A11:K11"/>
    <mergeCell ref="A12:K12"/>
    <mergeCell ref="A13:K13"/>
    <mergeCell ref="A15:K15"/>
    <mergeCell ref="A16:K16"/>
    <mergeCell ref="A18:K18"/>
    <mergeCell ref="A35:K35"/>
    <mergeCell ref="G56:I56"/>
    <mergeCell ref="A24:K24"/>
  </mergeCells>
  <conditionalFormatting sqref="D20">
    <cfRule type="containsText" dxfId="109" priority="3" stopIfTrue="1" operator="containsText" text="Answer Missing">
      <formula>NOT(ISERROR(SEARCH("Answer Missing",D20)))</formula>
    </cfRule>
  </conditionalFormatting>
  <conditionalFormatting sqref="G20">
    <cfRule type="containsText" dxfId="108" priority="2" stopIfTrue="1" operator="containsText" text="Answer Missing">
      <formula>NOT(ISERROR(SEARCH("Answer Missing",G20)))</formula>
    </cfRule>
  </conditionalFormatting>
  <conditionalFormatting sqref="L1:L3">
    <cfRule type="cellIs" dxfId="107" priority="1" stopIfTrue="1" operator="equal">
      <formula>"na"</formula>
    </cfRule>
  </conditionalFormatting>
  <hyperlinks>
    <hyperlink ref="A1:K1" location="Index!A1" display="Index!A1" xr:uid="{EB726115-7F79-4F5B-83CB-2EEF820B02FF}"/>
  </hyperlinks>
  <pageMargins left="0.7" right="0.7" top="0.75" bottom="0.75" header="0.3" footer="0.3"/>
  <pageSetup scale="74" orientation="landscape" horizontalDpi="1200" verticalDpi="1200" r:id="rId1"/>
  <headerFooter>
    <oddFooter>&amp;R&amp;A</oddFooter>
  </headerFooter>
  <rowBreaks count="1" manualBreakCount="1">
    <brk id="5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pageSetUpPr fitToPage="1"/>
  </sheetPr>
  <dimension ref="A1:M50"/>
  <sheetViews>
    <sheetView zoomScaleNormal="100" workbookViewId="0">
      <selection activeCell="D12" sqref="D12"/>
    </sheetView>
  </sheetViews>
  <sheetFormatPr defaultColWidth="9.42578125" defaultRowHeight="15" x14ac:dyDescent="0.25"/>
  <cols>
    <col min="1" max="1" width="12.5703125" style="867" customWidth="1"/>
    <col min="2" max="2" width="8.5703125" style="867" customWidth="1"/>
    <col min="3" max="3" width="12.42578125" style="867" customWidth="1"/>
    <col min="4" max="8" width="15.5703125" style="867" customWidth="1"/>
    <col min="9" max="9" width="1.42578125" style="867" customWidth="1"/>
    <col min="10" max="10" width="4" style="867" customWidth="1"/>
    <col min="11" max="11" width="62.42578125" style="867" customWidth="1"/>
    <col min="12" max="13" width="9.42578125" style="2163"/>
    <col min="14" max="16384" width="9.42578125" style="867"/>
  </cols>
  <sheetData>
    <row r="1" spans="1:9" ht="18" customHeight="1" x14ac:dyDescent="0.25">
      <c r="A1" s="2449" t="str">
        <f>Index!A1</f>
        <v xml:space="preserve">                                                               Office of the State Controller                                                                </v>
      </c>
      <c r="B1" s="2449"/>
      <c r="C1" s="2449"/>
      <c r="D1" s="2449"/>
      <c r="E1" s="2449"/>
      <c r="F1" s="2449"/>
      <c r="G1" s="2449"/>
      <c r="H1" s="2449"/>
      <c r="I1" s="1424"/>
    </row>
    <row r="2" spans="1:9" ht="18" customHeight="1" x14ac:dyDescent="0.25">
      <c r="A2" s="2650" t="str">
        <f>Index!A2</f>
        <v>2022 ACFR Worksheets</v>
      </c>
      <c r="B2" s="2650"/>
      <c r="C2" s="2650"/>
      <c r="D2" s="2650"/>
      <c r="E2" s="2650"/>
      <c r="F2" s="2650"/>
      <c r="G2" s="2650"/>
      <c r="H2" s="2650"/>
    </row>
    <row r="3" spans="1:9" ht="18" customHeight="1" x14ac:dyDescent="0.25">
      <c r="A3" s="2650" t="s">
        <v>1437</v>
      </c>
      <c r="B3" s="2650"/>
      <c r="C3" s="2650"/>
      <c r="D3" s="2650"/>
      <c r="E3" s="2650"/>
      <c r="F3" s="2650"/>
      <c r="G3" s="2650"/>
      <c r="H3" s="2650"/>
    </row>
    <row r="4" spans="1:9" ht="18" customHeight="1" x14ac:dyDescent="0.25">
      <c r="A4" s="2650" t="s">
        <v>3506</v>
      </c>
      <c r="B4" s="2650"/>
      <c r="C4" s="2650"/>
      <c r="D4" s="2650"/>
      <c r="E4" s="2650"/>
      <c r="F4" s="2650"/>
      <c r="G4" s="2650"/>
      <c r="H4" s="2650"/>
    </row>
    <row r="5" spans="1:9" ht="18" customHeight="1" x14ac:dyDescent="0.25">
      <c r="A5" s="985"/>
      <c r="B5" s="985"/>
      <c r="C5" s="985"/>
      <c r="D5" s="985"/>
      <c r="E5" s="985"/>
      <c r="F5" s="986" t="s">
        <v>1091</v>
      </c>
      <c r="G5" s="985"/>
      <c r="H5" s="910" t="str">
        <f>IF(Index!$B$52="na","NA","")</f>
        <v/>
      </c>
    </row>
    <row r="6" spans="1:9" ht="18" customHeight="1" x14ac:dyDescent="0.25">
      <c r="A6" s="985"/>
      <c r="B6" s="985"/>
      <c r="C6" s="987"/>
      <c r="D6" s="985"/>
      <c r="E6" s="988" t="s">
        <v>327</v>
      </c>
      <c r="F6" s="2437" t="str">
        <f>+Index!$E$10</f>
        <v>01</v>
      </c>
      <c r="G6" s="2437"/>
      <c r="H6" s="2437"/>
      <c r="I6" s="2437"/>
    </row>
    <row r="7" spans="1:9" ht="18" customHeight="1" x14ac:dyDescent="0.25">
      <c r="A7" s="985"/>
      <c r="B7" s="985"/>
      <c r="C7" s="985"/>
      <c r="D7" s="985"/>
      <c r="E7" s="988" t="s">
        <v>1154</v>
      </c>
      <c r="F7" s="2433" t="str">
        <f>+Index!$E$11</f>
        <v>North Carolina General Assembly</v>
      </c>
      <c r="G7" s="2433"/>
      <c r="H7" s="2433"/>
      <c r="I7" s="2433"/>
    </row>
    <row r="8" spans="1:9" ht="18" customHeight="1" x14ac:dyDescent="0.25">
      <c r="A8" s="985" t="s">
        <v>477</v>
      </c>
      <c r="B8" s="985"/>
      <c r="C8" s="989" t="s">
        <v>250</v>
      </c>
      <c r="D8" s="985"/>
      <c r="E8" s="988" t="s">
        <v>972</v>
      </c>
      <c r="F8" s="2433" t="str">
        <f>CONCATENATE(Index!$E$12," ",Index!$E$14)</f>
        <v xml:space="preserve"> </v>
      </c>
      <c r="G8" s="2433"/>
      <c r="H8" s="2433"/>
      <c r="I8" s="2433"/>
    </row>
    <row r="9" spans="1:9" ht="18" customHeight="1" x14ac:dyDescent="0.25">
      <c r="A9" s="985"/>
      <c r="B9" s="985"/>
      <c r="C9" s="987"/>
      <c r="D9" s="985"/>
      <c r="E9" s="988" t="s">
        <v>348</v>
      </c>
      <c r="F9" s="2433">
        <f>+Index!$E$13</f>
        <v>0</v>
      </c>
      <c r="G9" s="2433"/>
      <c r="H9" s="2433"/>
      <c r="I9" s="2433"/>
    </row>
    <row r="10" spans="1:9" ht="14.1" customHeight="1" thickBot="1" x14ac:dyDescent="0.3">
      <c r="A10" s="990"/>
      <c r="B10" s="990"/>
      <c r="C10" s="990"/>
      <c r="D10" s="990"/>
      <c r="E10" s="990"/>
      <c r="F10" s="990"/>
      <c r="G10" s="990"/>
      <c r="H10" s="990"/>
    </row>
    <row r="11" spans="1:9" x14ac:dyDescent="0.25">
      <c r="A11" s="985"/>
      <c r="B11" s="985"/>
      <c r="C11" s="985"/>
      <c r="D11" s="985"/>
      <c r="E11" s="985"/>
      <c r="F11" s="985"/>
      <c r="G11" s="985"/>
      <c r="H11" s="985"/>
    </row>
    <row r="12" spans="1:9" x14ac:dyDescent="0.25">
      <c r="A12" s="1721" t="s">
        <v>4240</v>
      </c>
      <c r="B12" s="985"/>
      <c r="C12" s="985"/>
      <c r="D12" s="2088" t="s">
        <v>5679</v>
      </c>
      <c r="E12" s="985"/>
      <c r="G12" s="985"/>
      <c r="H12" s="985"/>
    </row>
    <row r="13" spans="1:9" ht="17.100000000000001" customHeight="1" x14ac:dyDescent="0.25">
      <c r="A13" s="985"/>
      <c r="B13" s="985"/>
      <c r="C13" s="985"/>
      <c r="D13" s="985"/>
      <c r="E13" s="985"/>
      <c r="F13" s="985"/>
      <c r="G13" s="985"/>
      <c r="H13" s="985"/>
    </row>
    <row r="14" spans="1:9" ht="30" customHeight="1" x14ac:dyDescent="0.25">
      <c r="A14" s="2651" t="s">
        <v>4889</v>
      </c>
      <c r="B14" s="2652"/>
      <c r="C14" s="2653"/>
      <c r="D14" s="2653"/>
      <c r="E14" s="2653"/>
      <c r="F14" s="2653"/>
      <c r="G14" s="2653"/>
      <c r="H14" s="2654"/>
    </row>
    <row r="15" spans="1:9" ht="17.100000000000001" customHeight="1" x14ac:dyDescent="0.25">
      <c r="A15" s="991"/>
      <c r="B15" s="991"/>
      <c r="C15" s="992"/>
      <c r="D15" s="992"/>
      <c r="E15" s="992"/>
      <c r="F15" s="992"/>
      <c r="G15" s="992"/>
      <c r="H15" s="992"/>
    </row>
    <row r="16" spans="1:9" x14ac:dyDescent="0.25">
      <c r="A16" s="2658"/>
      <c r="B16" s="2658"/>
      <c r="C16" s="2658"/>
      <c r="D16" s="993" t="s">
        <v>1157</v>
      </c>
      <c r="E16" s="993" t="s">
        <v>1157</v>
      </c>
      <c r="F16" s="993" t="s">
        <v>1157</v>
      </c>
      <c r="G16" s="993" t="s">
        <v>1157</v>
      </c>
      <c r="H16" s="993" t="s">
        <v>1157</v>
      </c>
    </row>
    <row r="17" spans="1:13" x14ac:dyDescent="0.25">
      <c r="A17" s="2655" t="s">
        <v>902</v>
      </c>
      <c r="B17" s="2655"/>
      <c r="C17" s="2655"/>
      <c r="D17" s="1205"/>
      <c r="E17" s="1205"/>
      <c r="F17" s="1205"/>
      <c r="G17" s="1205"/>
      <c r="H17" s="1205"/>
    </row>
    <row r="18" spans="1:13" ht="17.100000000000001" customHeight="1" x14ac:dyDescent="0.25">
      <c r="A18" s="868" t="s">
        <v>1439</v>
      </c>
      <c r="B18" s="998"/>
      <c r="C18" s="869"/>
      <c r="D18" s="2656"/>
      <c r="E18" s="2656"/>
      <c r="F18" s="2656"/>
      <c r="G18" s="2656"/>
      <c r="H18" s="2656"/>
    </row>
    <row r="19" spans="1:13" ht="17.100000000000001" customHeight="1" x14ac:dyDescent="0.25">
      <c r="A19" s="998" t="s">
        <v>1440</v>
      </c>
      <c r="B19" s="998"/>
      <c r="C19" s="869"/>
      <c r="D19" s="2657"/>
      <c r="E19" s="2657"/>
      <c r="F19" s="2657"/>
      <c r="G19" s="2657"/>
      <c r="H19" s="2657"/>
    </row>
    <row r="20" spans="1:13" ht="31.35" customHeight="1" x14ac:dyDescent="0.25">
      <c r="A20" s="2659" t="s">
        <v>1441</v>
      </c>
      <c r="B20" s="2659"/>
      <c r="C20" s="2659"/>
      <c r="D20" s="1207"/>
      <c r="E20" s="1207"/>
      <c r="F20" s="1207"/>
      <c r="G20" s="1207"/>
      <c r="H20" s="1207"/>
      <c r="J20" s="2665" t="s">
        <v>4884</v>
      </c>
      <c r="K20" s="2665"/>
      <c r="L20" s="2163" t="s">
        <v>5057</v>
      </c>
      <c r="M20" s="2163" t="s">
        <v>4969</v>
      </c>
    </row>
    <row r="21" spans="1:13" ht="17.100000000000001" customHeight="1" x14ac:dyDescent="0.25">
      <c r="A21" s="2670" t="s">
        <v>1742</v>
      </c>
      <c r="B21" s="2378"/>
      <c r="C21" s="2671"/>
      <c r="D21" s="1207"/>
      <c r="E21" s="1207"/>
      <c r="F21" s="1207"/>
      <c r="G21" s="1207"/>
      <c r="H21" s="1207"/>
      <c r="J21" s="1257" t="s">
        <v>1743</v>
      </c>
      <c r="K21" s="1225"/>
      <c r="L21" s="2163" t="s">
        <v>5058</v>
      </c>
      <c r="M21" s="2163" t="s">
        <v>4969</v>
      </c>
    </row>
    <row r="22" spans="1:13" ht="17.100000000000001" customHeight="1" x14ac:dyDescent="0.25">
      <c r="A22" s="2659" t="s">
        <v>1442</v>
      </c>
      <c r="B22" s="2659"/>
      <c r="C22" s="2672"/>
      <c r="D22" s="1207"/>
      <c r="E22" s="1207"/>
      <c r="F22" s="1207"/>
      <c r="G22" s="1207"/>
      <c r="H22" s="1207"/>
      <c r="I22" s="1001"/>
      <c r="J22" s="2666" t="s">
        <v>4890</v>
      </c>
      <c r="K22" s="2667"/>
      <c r="L22" s="2163" t="s">
        <v>5059</v>
      </c>
      <c r="M22" s="2163" t="s">
        <v>4969</v>
      </c>
    </row>
    <row r="23" spans="1:13" ht="17.100000000000001" customHeight="1" x14ac:dyDescent="0.25">
      <c r="A23" s="2660" t="s">
        <v>960</v>
      </c>
      <c r="B23" s="2661"/>
      <c r="C23" s="2662"/>
      <c r="D23" s="1207"/>
      <c r="E23" s="1207"/>
      <c r="F23" s="1207"/>
      <c r="G23" s="1207"/>
      <c r="H23" s="1207"/>
      <c r="I23" s="1001"/>
      <c r="J23" s="2668"/>
      <c r="K23" s="2668"/>
      <c r="L23" s="2163" t="s">
        <v>5060</v>
      </c>
      <c r="M23" s="2163" t="s">
        <v>4969</v>
      </c>
    </row>
    <row r="24" spans="1:13" ht="17.100000000000001" customHeight="1" x14ac:dyDescent="0.25">
      <c r="A24" s="2659" t="s">
        <v>961</v>
      </c>
      <c r="B24" s="2661"/>
      <c r="C24" s="2662"/>
      <c r="D24" s="1207"/>
      <c r="E24" s="1207"/>
      <c r="F24" s="1207"/>
      <c r="G24" s="1207"/>
      <c r="H24" s="1207"/>
      <c r="I24" s="1001"/>
      <c r="J24" s="2668"/>
      <c r="K24" s="2668"/>
      <c r="L24" s="2163" t="s">
        <v>5061</v>
      </c>
      <c r="M24" s="2163" t="s">
        <v>4969</v>
      </c>
    </row>
    <row r="25" spans="1:13" ht="15.75" customHeight="1" x14ac:dyDescent="0.25">
      <c r="A25" s="998" t="s">
        <v>792</v>
      </c>
      <c r="B25" s="869"/>
      <c r="C25" s="869"/>
      <c r="D25" s="1003"/>
      <c r="E25" s="1003"/>
      <c r="F25" s="1003"/>
      <c r="G25" s="1003"/>
      <c r="H25" s="1003"/>
      <c r="J25" s="2669"/>
      <c r="K25" s="2669"/>
    </row>
    <row r="26" spans="1:13" ht="17.100000000000001" customHeight="1" x14ac:dyDescent="0.25">
      <c r="A26" s="2663" t="s">
        <v>3935</v>
      </c>
      <c r="B26" s="2664"/>
      <c r="C26" s="2664"/>
      <c r="D26" s="1207"/>
      <c r="E26" s="1207"/>
      <c r="F26" s="1207"/>
      <c r="G26" s="1207"/>
      <c r="H26" s="1207"/>
      <c r="J26" s="1001"/>
      <c r="L26" s="2163" t="s">
        <v>378</v>
      </c>
      <c r="M26" s="2163" t="str">
        <f>IF(A26="General Government","Gen Gov",
IF(A26="Primary and secondary education","Prim Sec Ed",
IF(A26="Higher Education","Higher Ed",
IF(A26="Higher education student aid","Higher Ed stu aid",
IF(A26="Health and human services","HHS",
IF(A26="Economic development","Econ Dev",
IF(A26="Environment and natural resources","ENR",
IF(A26="Public safety, corrections, and regulation","Public Safety",
IF(A26="Transportation","Trans",
IF(A26="Highway construction/preservation","Highway Const",
IF(A26="Highway maintenance","Highway Const",
IF(A26="Debt Service","Debt Serv",
IF(A26="Agriculture","Agric",
IF(A26="Capital projects/repairs and renovations","CapProjectsReno",
IF(A26="Disaster relief (OSC only)","Relief",
IF(A26="Subsequent year's budget (OSC only)","SubsYearBudget",
"No Function"))))))))))))))))</f>
        <v>No Function</v>
      </c>
    </row>
    <row r="27" spans="1:13" ht="17.100000000000001" customHeight="1" x14ac:dyDescent="0.25">
      <c r="A27" s="2663" t="s">
        <v>3935</v>
      </c>
      <c r="B27" s="2664"/>
      <c r="C27" s="2664"/>
      <c r="D27" s="1207">
        <v>0</v>
      </c>
      <c r="E27" s="1207"/>
      <c r="F27" s="1207"/>
      <c r="G27" s="1207"/>
      <c r="H27" s="1207"/>
      <c r="L27" s="2163" t="s">
        <v>378</v>
      </c>
      <c r="M27" s="2163" t="str">
        <f t="shared" ref="M27:M28" si="0">IF(A27="General Government","Gen Gov",
IF(A27="Primary and secondary education","Prim Sec Ed",
IF(A27="Higher Education","Higher Ed",
IF(A27="Higher education student aid","Higher Ed stu aid",
IF(A27="Health and human services","HHS",
IF(A27="Economic development","Econ Dev",
IF(A27="Environment and natural resources","ENR",
IF(A27="Public safety, corrections, and regulation","Public Safety",
IF(A27="Transportation","Trans",
IF(A27="Highway construction/preservation","Highway Const",
IF(A27="Highway maintenance","Highway Const",
IF(A27="Debt Service","Debt Serv",
IF(A27="Agriculture","Agric",
IF(A27="Capital projects/repairs and renovations","CapProjectsReno",
IF(A27="Disaster relief (OSC only)","Relief",
IF(A27="Subsequent year's budget (OSC only)","SubsYearBudget",
"No Function"))))))))))))))))</f>
        <v>No Function</v>
      </c>
    </row>
    <row r="28" spans="1:13" ht="17.100000000000001" customHeight="1" x14ac:dyDescent="0.25">
      <c r="A28" s="2663" t="s">
        <v>3935</v>
      </c>
      <c r="B28" s="2664"/>
      <c r="C28" s="2664"/>
      <c r="D28" s="1207"/>
      <c r="E28" s="1207"/>
      <c r="F28" s="1207"/>
      <c r="G28" s="1207"/>
      <c r="H28" s="1207"/>
      <c r="L28" s="2163" t="s">
        <v>378</v>
      </c>
      <c r="M28" s="2163" t="str">
        <f t="shared" si="0"/>
        <v>No Function</v>
      </c>
    </row>
    <row r="29" spans="1:13" ht="17.100000000000001" customHeight="1" x14ac:dyDescent="0.25">
      <c r="A29" s="998" t="s">
        <v>1443</v>
      </c>
      <c r="B29" s="1004"/>
      <c r="C29" s="1004"/>
      <c r="D29" s="1003"/>
      <c r="E29" s="1003"/>
      <c r="F29" s="1003"/>
      <c r="G29" s="1003"/>
      <c r="H29" s="1003"/>
    </row>
    <row r="30" spans="1:13" ht="17.100000000000001" customHeight="1" x14ac:dyDescent="0.25">
      <c r="A30" s="2663" t="s">
        <v>3935</v>
      </c>
      <c r="B30" s="2664"/>
      <c r="C30" s="2664"/>
      <c r="D30" s="1207"/>
      <c r="E30" s="1207"/>
      <c r="F30" s="1207"/>
      <c r="G30" s="1207"/>
      <c r="H30" s="1207"/>
      <c r="L30" s="2163" t="s">
        <v>5062</v>
      </c>
      <c r="M30" s="2163" t="str">
        <f>IF(A30="General Government","Gen Gov",
IF(A30="Primary and secondary education","Prim Sec Ed",
IF(A30="Higher Education","Higher Ed",
IF(A30="Higher education student aid","Higher Ed stu aid",
IF(A30="Health and human services","HHS",
IF(A30="Economic development","Econ Dev",
IF(A30="Environment and natural resources","ENR",
IF(A30="Public safety, corrections, and regulation","Public Safety",
IF(A30="Public school capital projects/repairs &amp; renovations","Public school capital proj repair and reno",
IF(A30="Transportation","Trans",
IF(A30="Highway construction/preservation","Highway Const",
IF(A30="Highway maintenance","Highway Const",
IF(A30="Debt Service","Debt Serv",
IF(A30="Agriculture","Agric",
IF(A30="Capital projects/repairs and renovations","CapProjectsReno",
IF(A30="Disaster relief (OSC only)","Relief",
IF(A30="Subsequent year's budget (OSC only)","SubsYearBudget",
"No Function")))))))))))))))))</f>
        <v>No Function</v>
      </c>
    </row>
    <row r="31" spans="1:13" ht="17.100000000000001" customHeight="1" x14ac:dyDescent="0.25">
      <c r="A31" s="2663" t="s">
        <v>3935</v>
      </c>
      <c r="B31" s="2664"/>
      <c r="C31" s="2664"/>
      <c r="D31" s="1207"/>
      <c r="E31" s="1207"/>
      <c r="F31" s="1207"/>
      <c r="G31" s="1207"/>
      <c r="H31" s="1207"/>
      <c r="L31" s="2163" t="s">
        <v>5062</v>
      </c>
      <c r="M31" s="2163" t="str">
        <f>IF(A31="General Government","Gen Gov",
IF(A31="Primary and secondary education","Prim Sec Ed",
IF(A31="Higher Education","Higher Ed",
IF(A31="Higher education student aid","Higher Ed stu aid",
IF(A31="Health and human services","HHS",
IF(A31="Economic development","Econ Dev",
IF(A31="Environment and natural resources","ENR",
IF(A31="Public safety, corrections, and regulation","Public Safety",
IF(A31="Public school capital projects/repairs &amp; renovations","Public school capital proj repair and reno",
IF(A31="Transportation","Trans",
IF(A31="Highway construction/preservation","Highway Const",
IF(A31="Highway maintenance","Highway Const",
IF(A31="Debt Service","Debt Serv",
IF(A31="Agriculture","Agric",
IF(A31="Capital projects/repairs and renovations","CapProjectsReno",
IF(A31="Disaster relief (OSC only)","Relief",
IF(A31="Subsequent year's budget (OSC only)","SubsYearBudget",
"No Function")))))))))))))))))</f>
        <v>No Function</v>
      </c>
    </row>
    <row r="32" spans="1:13" ht="17.100000000000001" customHeight="1" x14ac:dyDescent="0.25">
      <c r="A32" s="2663" t="s">
        <v>3935</v>
      </c>
      <c r="B32" s="2664"/>
      <c r="C32" s="2664"/>
      <c r="D32" s="1207"/>
      <c r="E32" s="1207"/>
      <c r="F32" s="1207"/>
      <c r="G32" s="1207"/>
      <c r="H32" s="1207"/>
      <c r="L32" s="2163" t="s">
        <v>5062</v>
      </c>
      <c r="M32" s="2163" t="str">
        <f t="shared" ref="M32:M34" si="1">IF(A32="General Government","Gen Gov",
IF(A32="Primary and secondary education","Prim Sec Ed",
IF(A32="Higher Education","Higher Ed",
IF(A32="Higher education student aid","Higher Ed stu aid",
IF(A32="Health and human services","HHS",
IF(A32="Economic development","Econ Dev",
IF(A32="Environment and natural resources","ENR",
IF(A32="Public safety, corrections, and regulation","Public Safety",
IF(A32="Public school capital projects/repairs &amp; renovations","Public school capital proj repair and reno",
IF(A32="Transportation","Trans",
IF(A32="Highway construction/preservation","Highway Const",
IF(A32="Highway maintenance","Highway Const",
IF(A32="Debt Service","Debt Serv",
IF(A32="Agriculture","Agric",
IF(A32="Capital projects/repairs and renovations","CapProjectsReno",
IF(A32="Disaster relief (OSC only)","Relief",
IF(A32="Subsequent year's budget (OSC only)","SubsYearBudget",
"No Function")))))))))))))))))</f>
        <v>No Function</v>
      </c>
    </row>
    <row r="33" spans="1:13" ht="17.100000000000001" customHeight="1" x14ac:dyDescent="0.25">
      <c r="A33" s="2673" t="s">
        <v>3935</v>
      </c>
      <c r="B33" s="2673"/>
      <c r="C33" s="2674"/>
      <c r="D33" s="1207"/>
      <c r="E33" s="1207"/>
      <c r="F33" s="1207"/>
      <c r="G33" s="1207"/>
      <c r="H33" s="1207"/>
      <c r="L33" s="2163" t="s">
        <v>5062</v>
      </c>
      <c r="M33" s="2163" t="str">
        <f t="shared" si="1"/>
        <v>No Function</v>
      </c>
    </row>
    <row r="34" spans="1:13" ht="17.100000000000001" customHeight="1" x14ac:dyDescent="0.25">
      <c r="A34" s="2663" t="s">
        <v>3935</v>
      </c>
      <c r="B34" s="2664"/>
      <c r="C34" s="2664"/>
      <c r="D34" s="1207"/>
      <c r="E34" s="1207"/>
      <c r="F34" s="1207"/>
      <c r="G34" s="1207"/>
      <c r="H34" s="1207"/>
      <c r="L34" s="2163" t="s">
        <v>5062</v>
      </c>
      <c r="M34" s="2163" t="str">
        <f t="shared" si="1"/>
        <v>No Function</v>
      </c>
    </row>
    <row r="35" spans="1:13" ht="17.100000000000001" customHeight="1" x14ac:dyDescent="0.25">
      <c r="A35" s="998" t="s">
        <v>1444</v>
      </c>
      <c r="B35" s="1004"/>
      <c r="C35" s="1004"/>
      <c r="D35" s="1003"/>
      <c r="E35" s="1003"/>
      <c r="F35" s="1003"/>
      <c r="G35" s="1003"/>
      <c r="H35" s="1003"/>
    </row>
    <row r="36" spans="1:13" ht="17.100000000000001" customHeight="1" x14ac:dyDescent="0.25">
      <c r="A36" s="2663" t="s">
        <v>3935</v>
      </c>
      <c r="B36" s="2664"/>
      <c r="C36" s="2664"/>
      <c r="D36" s="1207"/>
      <c r="E36" s="1207"/>
      <c r="F36" s="1207"/>
      <c r="G36" s="1207"/>
      <c r="H36" s="1207"/>
      <c r="L36" s="2163" t="s">
        <v>1735</v>
      </c>
      <c r="M36" s="2163" t="str">
        <f t="shared" ref="M36:M37" si="2">IF(A36="General Government","Gen Gov",
IF(A36="Primary and secondary education","Prim Sec Ed",
IF(A36="Higher Education","Higher Ed",
IF(A36="Higher education student aid","Higher Ed stu aid",
IF(A36="Health and human services","HHS",
IF(A36="Economic development","Econ Dev",
IF(A36="Environment and natural resources","ENR",
IF(A36="Public safety, corrections, and regulation","Public Safety",
IF(A36="Transportation","Trans",
IF(A36="Highway construction/preservation","Highway Const",
IF(A36="Highway maintenance","Highway Const",
IF(A36="Debt Service","Debt Serv",
IF(A36="Agriculture","Agric",
IF(A36="Capital projects/repairs and renovations","CapProjectsReno",
IF(A36="Disaster relief (OSC only)","Relief",
IF(A36="Subsequent year's budget (OSC only)","SubsYearBudget",
"No Function"))))))))))))))))</f>
        <v>No Function</v>
      </c>
    </row>
    <row r="37" spans="1:13" ht="17.100000000000001" customHeight="1" x14ac:dyDescent="0.25">
      <c r="A37" s="2663" t="s">
        <v>3935</v>
      </c>
      <c r="B37" s="2664"/>
      <c r="C37" s="2664"/>
      <c r="D37" s="1207"/>
      <c r="E37" s="1207"/>
      <c r="F37" s="1207"/>
      <c r="G37" s="1207"/>
      <c r="H37" s="1207"/>
      <c r="L37" s="2163" t="s">
        <v>1735</v>
      </c>
      <c r="M37" s="2163" t="str">
        <f t="shared" si="2"/>
        <v>No Function</v>
      </c>
    </row>
    <row r="38" spans="1:13" ht="17.100000000000001" customHeight="1" x14ac:dyDescent="0.25">
      <c r="A38" s="2676" t="s">
        <v>1445</v>
      </c>
      <c r="B38" s="2677"/>
      <c r="C38" s="2678"/>
      <c r="D38" s="1208"/>
      <c r="E38" s="1208"/>
      <c r="F38" s="1208"/>
      <c r="G38" s="1208"/>
      <c r="H38" s="1208"/>
      <c r="J38" s="2679"/>
      <c r="K38" s="2680"/>
      <c r="L38" s="2163" t="s">
        <v>1445</v>
      </c>
      <c r="M38" s="2163" t="s">
        <v>4969</v>
      </c>
    </row>
    <row r="39" spans="1:13" ht="28.5" customHeight="1" thickBot="1" x14ac:dyDescent="0.3">
      <c r="A39" s="2681" t="s">
        <v>4885</v>
      </c>
      <c r="B39" s="2680"/>
      <c r="C39" s="2672"/>
      <c r="D39" s="1005">
        <f>SUM(D20:D24)+SUM(D26:D28)+SUM(D30:D34)+SUM(D36:D38)</f>
        <v>0</v>
      </c>
      <c r="E39" s="1005">
        <f>SUM(E20:E24)+SUM(E26:E28)+SUM(E30:E34)+SUM(E36:E38)</f>
        <v>0</v>
      </c>
      <c r="F39" s="1005">
        <f>SUM(F20:F24)+SUM(F26:F28)+SUM(F30:F34)+SUM(F36:F38)</f>
        <v>0</v>
      </c>
      <c r="G39" s="1005">
        <f>SUM(G20:G24)+SUM(G26:G28)+SUM(G30:G34)+SUM(G36:G38)</f>
        <v>0</v>
      </c>
      <c r="H39" s="1005">
        <f>SUM(H20:H24)+SUM(H26:H28)+SUM(H30:H34)+SUM(H36:H38)</f>
        <v>0</v>
      </c>
      <c r="J39" s="2680"/>
      <c r="K39" s="2680"/>
    </row>
    <row r="40" spans="1:13" ht="12.75" customHeight="1" thickTop="1" x14ac:dyDescent="0.25">
      <c r="A40" s="1006"/>
      <c r="B40" s="1006"/>
      <c r="C40" s="1006"/>
      <c r="D40" s="1006"/>
      <c r="E40" s="1006"/>
      <c r="F40" s="1006"/>
      <c r="G40" s="1006"/>
      <c r="H40" s="1006"/>
    </row>
    <row r="41" spans="1:13" ht="12.75" customHeight="1" x14ac:dyDescent="0.25">
      <c r="A41" s="868" t="s">
        <v>634</v>
      </c>
      <c r="B41" s="1007" t="s">
        <v>1446</v>
      </c>
      <c r="C41" s="869"/>
      <c r="D41" s="998"/>
      <c r="E41" s="998"/>
      <c r="F41" s="998"/>
      <c r="G41" s="998"/>
      <c r="H41" s="998"/>
    </row>
    <row r="42" spans="1:13" ht="12.75" customHeight="1" x14ac:dyDescent="0.25">
      <c r="A42" s="868"/>
      <c r="B42" s="1007" t="s">
        <v>1447</v>
      </c>
      <c r="C42" s="869"/>
      <c r="D42" s="998"/>
      <c r="E42" s="998"/>
      <c r="F42" s="998"/>
      <c r="G42" s="998"/>
      <c r="H42" s="998"/>
    </row>
    <row r="43" spans="1:13" ht="12.75" customHeight="1" x14ac:dyDescent="0.25">
      <c r="A43" s="868"/>
      <c r="B43" s="1007" t="s">
        <v>1291</v>
      </c>
      <c r="C43" s="869"/>
      <c r="D43" s="998"/>
      <c r="E43" s="998"/>
      <c r="F43" s="998"/>
      <c r="G43" s="998"/>
      <c r="H43" s="998"/>
    </row>
    <row r="44" spans="1:13" ht="15" customHeight="1" x14ac:dyDescent="0.25">
      <c r="A44" s="868" t="s">
        <v>636</v>
      </c>
      <c r="B44" s="1007" t="s">
        <v>482</v>
      </c>
      <c r="C44" s="869"/>
      <c r="D44" s="998"/>
      <c r="E44" s="998"/>
      <c r="F44" s="998"/>
      <c r="G44" s="998"/>
      <c r="H44" s="998"/>
    </row>
    <row r="45" spans="1:13" ht="12.75" customHeight="1" x14ac:dyDescent="0.25">
      <c r="A45" s="868"/>
      <c r="B45" s="869"/>
      <c r="C45" s="869"/>
      <c r="D45" s="998"/>
      <c r="E45" s="998"/>
      <c r="F45" s="998"/>
      <c r="G45" s="998"/>
      <c r="H45" s="998"/>
    </row>
    <row r="46" spans="1:13" x14ac:dyDescent="0.25">
      <c r="D46" s="2682" t="s">
        <v>3505</v>
      </c>
      <c r="E46" s="2682"/>
      <c r="F46" s="2682"/>
      <c r="G46" s="2682"/>
      <c r="H46" s="2682"/>
    </row>
    <row r="47" spans="1:13" ht="17.100000000000001" customHeight="1" x14ac:dyDescent="0.25">
      <c r="A47" s="998" t="s">
        <v>378</v>
      </c>
      <c r="B47" s="998"/>
      <c r="C47" s="998"/>
      <c r="D47" s="1395">
        <f>D26+D27+D28+D21</f>
        <v>0</v>
      </c>
      <c r="E47" s="1395">
        <f>E26+E27+E28+E21</f>
        <v>0</v>
      </c>
      <c r="F47" s="1395">
        <f>F26+F27+F28+F21</f>
        <v>0</v>
      </c>
      <c r="G47" s="1395">
        <f>G26+G27+G28+G21</f>
        <v>0</v>
      </c>
      <c r="H47" s="1395">
        <f>H26+H27+H28+H21</f>
        <v>0</v>
      </c>
    </row>
    <row r="48" spans="1:13" ht="17.100000000000001" customHeight="1" x14ac:dyDescent="0.25">
      <c r="A48" s="998" t="s">
        <v>923</v>
      </c>
      <c r="B48" s="998"/>
      <c r="C48" s="998"/>
      <c r="D48" s="1395">
        <f>D20+SUM(D22:D24)+SUM(D30:D34)+SUM(D36:D38)</f>
        <v>0</v>
      </c>
      <c r="E48" s="1395">
        <f>E20+SUM(E22:E24)+SUM(E30:E34)+SUM(E36:E38)</f>
        <v>0</v>
      </c>
      <c r="F48" s="1395">
        <f>F20+SUM(F22:F24)+SUM(F30:F34)+SUM(F36:F38)</f>
        <v>0</v>
      </c>
      <c r="G48" s="1395">
        <f>G20+SUM(G22:G24)+SUM(G30:G34)+SUM(G36:G38)</f>
        <v>0</v>
      </c>
      <c r="H48" s="1395">
        <f>H20+SUM(H22:H24)+SUM(H30:H34)+SUM(H36:H38)</f>
        <v>0</v>
      </c>
    </row>
    <row r="49" spans="1:8" ht="17.100000000000001" customHeight="1" thickBot="1" x14ac:dyDescent="0.3">
      <c r="A49" s="998" t="s">
        <v>1889</v>
      </c>
      <c r="B49" s="998"/>
      <c r="C49" s="998"/>
      <c r="D49" s="1009">
        <f>SUM(D47:D48)</f>
        <v>0</v>
      </c>
      <c r="E49" s="1009">
        <f>SUM(E47:E48)</f>
        <v>0</v>
      </c>
      <c r="F49" s="1009">
        <f>SUM(F47:F48)</f>
        <v>0</v>
      </c>
      <c r="G49" s="1009">
        <f>SUM(G47:G48)</f>
        <v>0</v>
      </c>
      <c r="H49" s="1009">
        <f>SUM(H47:H48)</f>
        <v>0</v>
      </c>
    </row>
    <row r="50" spans="1:8" ht="17.100000000000001" customHeight="1" thickTop="1" x14ac:dyDescent="0.25">
      <c r="A50" s="2675" t="s">
        <v>593</v>
      </c>
      <c r="B50" s="2675"/>
      <c r="C50" s="2675"/>
      <c r="D50" s="1010"/>
      <c r="E50" s="1206"/>
      <c r="F50" s="1206"/>
      <c r="G50" s="1206"/>
      <c r="H50" s="1206"/>
    </row>
  </sheetData>
  <sheetProtection algorithmName="SHA-512" hashValue="xo+ZCvwOyGRKJh6czld0nEoWKQqzBnE1FXA+FwqNuwPEhEeADV9xzY0HFEwkKejMSJ1Q7JLhZ8t6sbwgH3PTxg==" saltValue="9/JREap4Hdpm+bjTnMchug==" spinCount="100000" sheet="1" objects="1" scenarios="1" autoFilter="0"/>
  <customSheetViews>
    <customSheetView guid="{B08879A4-635B-4C39-9937-AC7883D562FC}" fitToPage="1">
      <selection activeCell="A17" sqref="A17:C17"/>
      <pageMargins left="0.75" right="0.5" top="0.5" bottom="0.75" header="0.3" footer="0.3"/>
      <pageSetup scale="83" orientation="portrait" r:id="rId1"/>
      <headerFooter alignWithMargins="0">
        <oddFooter>&amp;R&amp;A</oddFooter>
      </headerFooter>
    </customSheetView>
    <customSheetView guid="{9FCFC836-1CA5-48BF-958D-24D2EA94B219}" fitToPage="1">
      <selection activeCell="A17" sqref="A17:C17"/>
      <pageMargins left="0.75" right="0.5" top="0.5" bottom="0.75" header="0.3" footer="0.3"/>
      <pageSetup scale="83" orientation="portrait" r:id="rId2"/>
      <headerFooter alignWithMargins="0">
        <oddFooter>&amp;R&amp;A</oddFooter>
      </headerFooter>
    </customSheetView>
  </customSheetViews>
  <mergeCells count="38">
    <mergeCell ref="A50:C50"/>
    <mergeCell ref="A36:C36"/>
    <mergeCell ref="A37:C37"/>
    <mergeCell ref="A38:C38"/>
    <mergeCell ref="J38:K39"/>
    <mergeCell ref="A39:C39"/>
    <mergeCell ref="D46:H46"/>
    <mergeCell ref="A27:C27"/>
    <mergeCell ref="A28:C28"/>
    <mergeCell ref="A30:C30"/>
    <mergeCell ref="A32:C32"/>
    <mergeCell ref="A34:C34"/>
    <mergeCell ref="A31:C31"/>
    <mergeCell ref="A33:C33"/>
    <mergeCell ref="A23:C23"/>
    <mergeCell ref="A24:C24"/>
    <mergeCell ref="A26:C26"/>
    <mergeCell ref="J20:K20"/>
    <mergeCell ref="J22:K25"/>
    <mergeCell ref="A21:C21"/>
    <mergeCell ref="A22:C22"/>
    <mergeCell ref="A14:H14"/>
    <mergeCell ref="A17:C17"/>
    <mergeCell ref="D18:D19"/>
    <mergeCell ref="A16:C16"/>
    <mergeCell ref="A20:C20"/>
    <mergeCell ref="E18:E19"/>
    <mergeCell ref="F18:F19"/>
    <mergeCell ref="G18:G19"/>
    <mergeCell ref="H18:H19"/>
    <mergeCell ref="F7:I7"/>
    <mergeCell ref="F8:I8"/>
    <mergeCell ref="F9:I9"/>
    <mergeCell ref="A1:H1"/>
    <mergeCell ref="A2:H2"/>
    <mergeCell ref="A3:H3"/>
    <mergeCell ref="A4:H4"/>
    <mergeCell ref="F6:I6"/>
  </mergeCells>
  <conditionalFormatting sqref="I1">
    <cfRule type="cellIs" dxfId="106" priority="2" stopIfTrue="1" operator="equal">
      <formula>"na"</formula>
    </cfRule>
  </conditionalFormatting>
  <conditionalFormatting sqref="H5">
    <cfRule type="cellIs" dxfId="105" priority="1" stopIfTrue="1" operator="equal">
      <formula>"na"</formula>
    </cfRule>
  </conditionalFormatting>
  <dataValidations count="5">
    <dataValidation type="decimal" operator="greaterThanOrEqual" allowBlank="1" showInputMessage="1" showErrorMessage="1" errorTitle="Invalid Data" error="Amount cannot be negative" sqref="D26:H28 D20:H24 D30:H34 D36:H37" xr:uid="{00000000-0002-0000-1C00-000000000000}">
      <formula1>0</formula1>
    </dataValidation>
    <dataValidation type="list" allowBlank="1" showInputMessage="1" showErrorMessage="1" sqref="A26:A28 B35:C35 B26:C29" xr:uid="{00000000-0002-0000-1C00-000001000000}">
      <formula1>function</formula1>
    </dataValidation>
    <dataValidation type="textLength" operator="equal" allowBlank="1" showInputMessage="1" showErrorMessage="1" errorTitle="Invalid data!" error="GASB number must be 4 digits." sqref="D17:H17" xr:uid="{00000000-0002-0000-1C00-000002000000}">
      <formula1>4</formula1>
    </dataValidation>
    <dataValidation type="list" allowBlank="1" showInputMessage="1" showErrorMessage="1" sqref="A30:A34 B30:C32 B34:C34" xr:uid="{00000000-0002-0000-1C00-000003000000}">
      <formula1>functionC</formula1>
    </dataValidation>
    <dataValidation type="list" allowBlank="1" showInputMessage="1" showErrorMessage="1" sqref="A36:C37" xr:uid="{00000000-0002-0000-1C00-000004000000}">
      <formula1>functionA</formula1>
    </dataValidation>
  </dataValidations>
  <hyperlinks>
    <hyperlink ref="A1:H1" location="Index!A1" display="Index!A1" xr:uid="{00000000-0004-0000-1C00-000000000000}"/>
    <hyperlink ref="D12" r:id="rId3" display="https://www.osc.nc.gov/1015-statewide-accounting-policy-fund-balance-reporting" xr:uid="{25D6A107-8A30-410F-BA63-98B35CCEBF2C}"/>
  </hyperlinks>
  <pageMargins left="0.75" right="0.5" top="0.5" bottom="0.75" header="0.3" footer="0.3"/>
  <pageSetup scale="83" orientation="portrait" r:id="rId4"/>
  <headerFooter alignWithMargins="0">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9">
    <pageSetUpPr fitToPage="1"/>
  </sheetPr>
  <dimension ref="A1:M47"/>
  <sheetViews>
    <sheetView topLeftCell="A22" workbookViewId="0">
      <selection activeCell="F55" sqref="F55"/>
    </sheetView>
  </sheetViews>
  <sheetFormatPr defaultColWidth="9.42578125" defaultRowHeight="15" x14ac:dyDescent="0.25"/>
  <cols>
    <col min="1" max="1" width="12.5703125" style="867" customWidth="1"/>
    <col min="2" max="2" width="8.5703125" style="867" customWidth="1"/>
    <col min="3" max="3" width="12.42578125" style="867" customWidth="1"/>
    <col min="4" max="8" width="15.5703125" style="867" customWidth="1"/>
    <col min="9" max="9" width="1.42578125" style="867" customWidth="1"/>
    <col min="10" max="10" width="4" style="867" customWidth="1"/>
    <col min="11" max="11" width="52.5703125" style="867" customWidth="1"/>
    <col min="12" max="12" width="15.7109375" style="867" customWidth="1"/>
    <col min="13" max="13" width="21" style="867" customWidth="1"/>
    <col min="14" max="16384" width="9.42578125" style="867"/>
  </cols>
  <sheetData>
    <row r="1" spans="1:9" ht="18" customHeight="1" x14ac:dyDescent="0.25">
      <c r="A1" s="2449" t="str">
        <f>Index!A1</f>
        <v xml:space="preserve">                                                               Office of the State Controller                                                                </v>
      </c>
      <c r="B1" s="2449"/>
      <c r="C1" s="2449"/>
      <c r="D1" s="2449"/>
      <c r="E1" s="2449"/>
      <c r="F1" s="2449"/>
      <c r="G1" s="2449"/>
      <c r="H1" s="2449"/>
      <c r="I1" s="910"/>
    </row>
    <row r="2" spans="1:9" ht="18" customHeight="1" x14ac:dyDescent="0.25">
      <c r="A2" s="2650" t="str">
        <f>Index!A2</f>
        <v>2022 ACFR Worksheets</v>
      </c>
      <c r="B2" s="2650"/>
      <c r="C2" s="2650"/>
      <c r="D2" s="2650"/>
      <c r="E2" s="2650"/>
      <c r="F2" s="2650"/>
      <c r="G2" s="2650"/>
      <c r="H2" s="2650"/>
    </row>
    <row r="3" spans="1:9" ht="18" customHeight="1" x14ac:dyDescent="0.25">
      <c r="A3" s="2650" t="s">
        <v>1437</v>
      </c>
      <c r="B3" s="2650"/>
      <c r="C3" s="2650"/>
      <c r="D3" s="2650"/>
      <c r="E3" s="2650"/>
      <c r="F3" s="2650"/>
      <c r="G3" s="2650"/>
      <c r="H3" s="2650"/>
    </row>
    <row r="4" spans="1:9" ht="18" customHeight="1" x14ac:dyDescent="0.25">
      <c r="A4" s="2650" t="s">
        <v>3507</v>
      </c>
      <c r="B4" s="2650"/>
      <c r="C4" s="2650"/>
      <c r="D4" s="2650"/>
      <c r="E4" s="2650"/>
      <c r="F4" s="2650"/>
      <c r="G4" s="2650"/>
      <c r="H4" s="2650"/>
      <c r="I4" s="984"/>
    </row>
    <row r="5" spans="1:9" ht="18" customHeight="1" x14ac:dyDescent="0.25">
      <c r="A5" s="985"/>
      <c r="B5" s="985"/>
      <c r="C5" s="985"/>
      <c r="D5" s="985"/>
      <c r="E5" s="985"/>
      <c r="F5" s="986" t="s">
        <v>1091</v>
      </c>
      <c r="G5" s="985"/>
      <c r="H5" s="1431" t="str">
        <f>IF(Index!$B$53="na","NA","")</f>
        <v/>
      </c>
      <c r="I5" s="985"/>
    </row>
    <row r="6" spans="1:9" ht="18" customHeight="1" x14ac:dyDescent="0.25">
      <c r="A6" s="985"/>
      <c r="B6" s="985"/>
      <c r="C6" s="987"/>
      <c r="D6" s="985"/>
      <c r="E6" s="988" t="s">
        <v>327</v>
      </c>
      <c r="F6" s="2437" t="str">
        <f>+Index!$E$10</f>
        <v>01</v>
      </c>
      <c r="G6" s="2437"/>
      <c r="H6" s="2437"/>
      <c r="I6" s="2437"/>
    </row>
    <row r="7" spans="1:9" ht="18" customHeight="1" x14ac:dyDescent="0.25">
      <c r="A7" s="985"/>
      <c r="B7" s="985"/>
      <c r="C7" s="985"/>
      <c r="D7" s="985"/>
      <c r="E7" s="988" t="s">
        <v>1154</v>
      </c>
      <c r="F7" s="2433" t="str">
        <f>+Index!$E$11</f>
        <v>North Carolina General Assembly</v>
      </c>
      <c r="G7" s="2433"/>
      <c r="H7" s="2433"/>
      <c r="I7" s="2433"/>
    </row>
    <row r="8" spans="1:9" ht="18" customHeight="1" x14ac:dyDescent="0.25">
      <c r="A8" s="985" t="s">
        <v>477</v>
      </c>
      <c r="B8" s="985"/>
      <c r="C8" s="989" t="s">
        <v>778</v>
      </c>
      <c r="D8" s="985"/>
      <c r="E8" s="988" t="s">
        <v>972</v>
      </c>
      <c r="F8" s="2434" t="str">
        <f>CONCATENATE(Index!$E$12," ",Index!$E$14)</f>
        <v xml:space="preserve"> </v>
      </c>
      <c r="G8" s="2434"/>
      <c r="H8" s="2434"/>
      <c r="I8" s="2434"/>
    </row>
    <row r="9" spans="1:9" ht="18" customHeight="1" x14ac:dyDescent="0.25">
      <c r="A9" s="985"/>
      <c r="B9" s="985"/>
      <c r="C9" s="987"/>
      <c r="D9" s="985"/>
      <c r="E9" s="988" t="s">
        <v>348</v>
      </c>
      <c r="F9" s="2434">
        <f>+Index!$E$13</f>
        <v>0</v>
      </c>
      <c r="G9" s="2434"/>
      <c r="H9" s="2434"/>
      <c r="I9" s="2434"/>
    </row>
    <row r="10" spans="1:9" ht="14.1" customHeight="1" thickBot="1" x14ac:dyDescent="0.3">
      <c r="A10" s="990"/>
      <c r="B10" s="990"/>
      <c r="C10" s="990"/>
      <c r="D10" s="990"/>
      <c r="E10" s="990"/>
      <c r="F10" s="990"/>
      <c r="G10" s="990"/>
      <c r="H10" s="990"/>
      <c r="I10" s="985"/>
    </row>
    <row r="11" spans="1:9" x14ac:dyDescent="0.25">
      <c r="A11" s="985"/>
      <c r="B11" s="985"/>
      <c r="C11" s="985"/>
      <c r="D11" s="985"/>
      <c r="E11" s="985"/>
      <c r="F11" s="985"/>
      <c r="G11" s="985"/>
      <c r="H11" s="985"/>
      <c r="I11" s="985"/>
    </row>
    <row r="12" spans="1:9" x14ac:dyDescent="0.25">
      <c r="B12" s="985"/>
      <c r="C12" s="1720" t="s">
        <v>4240</v>
      </c>
      <c r="D12" s="1161" t="s">
        <v>1438</v>
      </c>
      <c r="E12" s="985"/>
      <c r="G12" s="985"/>
      <c r="H12" s="985"/>
      <c r="I12" s="985"/>
    </row>
    <row r="13" spans="1:9" ht="17.100000000000001" customHeight="1" x14ac:dyDescent="0.25">
      <c r="A13" s="985"/>
      <c r="B13" s="985"/>
      <c r="C13" s="985"/>
      <c r="D13" s="985"/>
      <c r="E13" s="985"/>
      <c r="F13" s="985"/>
      <c r="G13" s="985"/>
      <c r="H13" s="985"/>
      <c r="I13" s="985"/>
    </row>
    <row r="14" spans="1:9" ht="30" customHeight="1" x14ac:dyDescent="0.25">
      <c r="A14" s="2651" t="s">
        <v>4883</v>
      </c>
      <c r="B14" s="2652"/>
      <c r="C14" s="2653"/>
      <c r="D14" s="2653"/>
      <c r="E14" s="2653"/>
      <c r="F14" s="2653"/>
      <c r="G14" s="2653"/>
      <c r="H14" s="2654"/>
      <c r="I14" s="992"/>
    </row>
    <row r="15" spans="1:9" ht="17.100000000000001" customHeight="1" x14ac:dyDescent="0.25">
      <c r="A15" s="991"/>
      <c r="B15" s="991"/>
      <c r="C15" s="992"/>
      <c r="D15" s="992"/>
      <c r="E15" s="992"/>
      <c r="F15" s="992"/>
      <c r="G15" s="992"/>
      <c r="H15" s="992"/>
      <c r="I15" s="992"/>
    </row>
    <row r="16" spans="1:9" x14ac:dyDescent="0.25">
      <c r="A16" s="985"/>
      <c r="B16" s="985"/>
      <c r="C16" s="985"/>
      <c r="D16" s="993" t="s">
        <v>1157</v>
      </c>
      <c r="E16" s="994" t="s">
        <v>1157</v>
      </c>
      <c r="F16" s="994" t="s">
        <v>1157</v>
      </c>
      <c r="G16" s="994" t="s">
        <v>1157</v>
      </c>
      <c r="H16" s="994" t="s">
        <v>1157</v>
      </c>
      <c r="I16" s="1011"/>
    </row>
    <row r="17" spans="1:13" x14ac:dyDescent="0.25">
      <c r="A17" s="2655" t="s">
        <v>902</v>
      </c>
      <c r="B17" s="2655"/>
      <c r="C17" s="2655"/>
      <c r="D17" s="995"/>
      <c r="E17" s="996"/>
      <c r="F17" s="995"/>
      <c r="G17" s="995"/>
      <c r="H17" s="997"/>
      <c r="I17" s="1012"/>
    </row>
    <row r="18" spans="1:13" ht="17.100000000000001" customHeight="1" x14ac:dyDescent="0.25">
      <c r="A18" s="868" t="s">
        <v>1439</v>
      </c>
      <c r="B18" s="998"/>
      <c r="C18" s="869"/>
      <c r="D18" s="2656"/>
      <c r="E18" s="2656"/>
      <c r="F18" s="2656"/>
      <c r="G18" s="2656"/>
      <c r="H18" s="2656"/>
      <c r="I18" s="1013"/>
    </row>
    <row r="19" spans="1:13" ht="17.100000000000001" customHeight="1" x14ac:dyDescent="0.25">
      <c r="A19" s="998" t="s">
        <v>1440</v>
      </c>
      <c r="B19" s="998"/>
      <c r="C19" s="869"/>
      <c r="D19" s="2657"/>
      <c r="E19" s="2657"/>
      <c r="F19" s="2657"/>
      <c r="G19" s="2657"/>
      <c r="H19" s="2657"/>
      <c r="I19" s="1013"/>
    </row>
    <row r="20" spans="1:13" ht="28.35" customHeight="1" x14ac:dyDescent="0.25">
      <c r="A20" s="2659" t="s">
        <v>1441</v>
      </c>
      <c r="B20" s="2659"/>
      <c r="C20" s="2659"/>
      <c r="D20" s="999"/>
      <c r="E20" s="999"/>
      <c r="F20" s="999"/>
      <c r="G20" s="999"/>
      <c r="H20" s="1000"/>
      <c r="I20" s="1013"/>
      <c r="J20" s="2665" t="s">
        <v>4884</v>
      </c>
      <c r="K20" s="2665"/>
      <c r="L20" s="2163" t="s">
        <v>5057</v>
      </c>
      <c r="M20" s="2163" t="s">
        <v>4969</v>
      </c>
    </row>
    <row r="21" spans="1:13" ht="17.100000000000001" customHeight="1" x14ac:dyDescent="0.25">
      <c r="A21" s="2670" t="s">
        <v>1742</v>
      </c>
      <c r="B21" s="2378"/>
      <c r="C21" s="2671"/>
      <c r="D21" s="999"/>
      <c r="E21" s="999"/>
      <c r="F21" s="999"/>
      <c r="G21" s="999"/>
      <c r="H21" s="1000"/>
      <c r="I21" s="1013"/>
      <c r="J21" s="2683" t="s">
        <v>1743</v>
      </c>
      <c r="K21" s="2498"/>
      <c r="L21" s="2163" t="s">
        <v>5058</v>
      </c>
      <c r="M21" s="2163" t="s">
        <v>4969</v>
      </c>
    </row>
    <row r="22" spans="1:13" ht="17.100000000000001" customHeight="1" x14ac:dyDescent="0.25">
      <c r="A22" s="998" t="s">
        <v>792</v>
      </c>
      <c r="B22" s="869"/>
      <c r="C22" s="869"/>
      <c r="D22" s="1002"/>
      <c r="E22" s="1003"/>
      <c r="F22" s="1003"/>
      <c r="G22" s="1003"/>
      <c r="H22" s="1003"/>
      <c r="I22" s="1013"/>
      <c r="J22" s="2668"/>
      <c r="K22" s="2668"/>
      <c r="L22" s="2163"/>
      <c r="M22" s="2163"/>
    </row>
    <row r="23" spans="1:13" ht="17.100000000000001" customHeight="1" x14ac:dyDescent="0.25">
      <c r="A23" s="2663" t="s">
        <v>1037</v>
      </c>
      <c r="B23" s="2664"/>
      <c r="C23" s="2664"/>
      <c r="D23" s="999"/>
      <c r="E23" s="999"/>
      <c r="F23" s="999"/>
      <c r="G23" s="999"/>
      <c r="H23" s="1000"/>
      <c r="I23" s="1013"/>
      <c r="J23" s="2668"/>
      <c r="K23" s="2668"/>
      <c r="L23" s="2163" t="s">
        <v>378</v>
      </c>
      <c r="M23" s="2163" t="str">
        <f>IF(A23="General Government","Gen Gov",
IF(A23="Primary and secondary education","Prim Sec Ed",
IF(A23="Higher Education","Higher Ed",
IF(A23="Higher education student aid","Higher Ed stu aid",
IF(A23="Health and human services","HHS",
IF(A23="Economic development","Econ Dev",
IF(A23="Environment and natural resources","ENR",
IF(A23="Public safety, corrections, and regulation","Public Safety",
IF(A23="Transportation","Trans",
IF(A23="Highway construction/preservation","Highway Const",
IF(A23="Highway maintenance","Highway Const",
IF(A23="Debt Service","Debt Serv",
IF(A23="Agriculture","Agric",
IF(A23="Capital projects/repairs and renovations","CapProjectsReno",
IF(A23="Disaster relief (OSC only)","Relief",
IF(A23="Subsequent year's budget (OSC only)","SubsYearBudget",
"No Function"))))))))))))))))</f>
        <v>Prim Sec Ed</v>
      </c>
    </row>
    <row r="24" spans="1:13" ht="17.100000000000001" customHeight="1" x14ac:dyDescent="0.25">
      <c r="A24" s="2663" t="s">
        <v>128</v>
      </c>
      <c r="B24" s="2664"/>
      <c r="C24" s="2664"/>
      <c r="D24" s="999"/>
      <c r="E24" s="999"/>
      <c r="F24" s="999"/>
      <c r="G24" s="999"/>
      <c r="H24" s="1000"/>
      <c r="I24" s="1013"/>
      <c r="J24" s="2669"/>
      <c r="K24" s="2669"/>
      <c r="L24" s="2163" t="s">
        <v>378</v>
      </c>
      <c r="M24" s="2163" t="str">
        <f t="shared" ref="M24:M34" si="0">IF(A24="General Government","Gen Gov",
IF(A24="Primary and secondary education","Prim Sec Ed",
IF(A24="Higher Education","Higher Ed",
IF(A24="Higher education student aid","Higher Ed stu aid",
IF(A24="Health and human services","HHS",
IF(A24="Economic development","Econ Dev",
IF(A24="Environment and natural resources","ENR",
IF(A24="Public safety, corrections, and regulation","Public Safety",
IF(A24="Transportation","Trans",
IF(A24="Highway construction/preservation","Highway Const",
IF(A24="Highway maintenance","Highway Const",
IF(A24="Debt Service","Debt Serv",
IF(A24="Agriculture","Agric",
IF(A24="Capital projects/repairs and renovations","CapProjectsReno",
IF(A24="Disaster relief (OSC only)","Relief",
IF(A24="Subsequent year's budget (OSC only)","SubsYearBudget",
"No Function"))))))))))))))))</f>
        <v>Gen Gov</v>
      </c>
    </row>
    <row r="25" spans="1:13" ht="17.100000000000001" customHeight="1" x14ac:dyDescent="0.25">
      <c r="A25" s="2663" t="s">
        <v>3851</v>
      </c>
      <c r="B25" s="2664"/>
      <c r="C25" s="2664"/>
      <c r="D25" s="999"/>
      <c r="E25" s="999"/>
      <c r="F25" s="999"/>
      <c r="G25" s="999"/>
      <c r="H25" s="1000"/>
      <c r="I25" s="1013"/>
      <c r="J25" s="1497"/>
      <c r="K25" s="1497"/>
      <c r="L25" s="2163" t="s">
        <v>378</v>
      </c>
      <c r="M25" s="2163" t="str">
        <f t="shared" si="0"/>
        <v>Higher Ed stu aid</v>
      </c>
    </row>
    <row r="26" spans="1:13" ht="17.100000000000001" customHeight="1" x14ac:dyDescent="0.25">
      <c r="A26" s="2663" t="s">
        <v>110</v>
      </c>
      <c r="B26" s="2664"/>
      <c r="C26" s="2664"/>
      <c r="D26" s="999"/>
      <c r="E26" s="999"/>
      <c r="F26" s="999"/>
      <c r="G26" s="999"/>
      <c r="H26" s="1000"/>
      <c r="I26" s="1013"/>
      <c r="L26" s="2163" t="s">
        <v>378</v>
      </c>
      <c r="M26" s="2163" t="str">
        <f t="shared" si="0"/>
        <v>Higher Ed</v>
      </c>
    </row>
    <row r="27" spans="1:13" ht="17.100000000000001" customHeight="1" x14ac:dyDescent="0.25">
      <c r="A27" s="998" t="s">
        <v>1443</v>
      </c>
      <c r="B27" s="1004"/>
      <c r="C27" s="1004"/>
      <c r="D27" s="1002"/>
      <c r="E27" s="1002"/>
      <c r="F27" s="1002"/>
      <c r="G27" s="1002"/>
      <c r="H27" s="1003"/>
      <c r="I27" s="1013"/>
      <c r="L27" s="2163"/>
      <c r="M27" s="2163"/>
    </row>
    <row r="28" spans="1:13" ht="17.100000000000001" customHeight="1" x14ac:dyDescent="0.25">
      <c r="A28" s="2663" t="s">
        <v>110</v>
      </c>
      <c r="B28" s="2664"/>
      <c r="C28" s="2664"/>
      <c r="D28" s="999"/>
      <c r="E28" s="999"/>
      <c r="F28" s="999"/>
      <c r="G28" s="999"/>
      <c r="H28" s="1000"/>
      <c r="I28" s="1013"/>
      <c r="L28" s="2163" t="s">
        <v>5062</v>
      </c>
      <c r="M28" s="2163" t="str">
        <f t="shared" si="0"/>
        <v>Higher Ed</v>
      </c>
    </row>
    <row r="29" spans="1:13" ht="17.100000000000001" customHeight="1" x14ac:dyDescent="0.25">
      <c r="A29" s="2663" t="s">
        <v>1038</v>
      </c>
      <c r="B29" s="2664"/>
      <c r="C29" s="2664"/>
      <c r="D29" s="999"/>
      <c r="E29" s="999"/>
      <c r="F29" s="999"/>
      <c r="G29" s="999"/>
      <c r="H29" s="1000"/>
      <c r="I29" s="1013"/>
      <c r="L29" s="2163" t="s">
        <v>5062</v>
      </c>
      <c r="M29" s="2163" t="str">
        <f t="shared" si="0"/>
        <v>HHS</v>
      </c>
    </row>
    <row r="30" spans="1:13" ht="17.100000000000001" customHeight="1" x14ac:dyDescent="0.25">
      <c r="A30" s="2663" t="s">
        <v>1037</v>
      </c>
      <c r="B30" s="2664"/>
      <c r="C30" s="2664"/>
      <c r="D30" s="999"/>
      <c r="E30" s="999"/>
      <c r="F30" s="999"/>
      <c r="G30" s="999"/>
      <c r="H30" s="1000"/>
      <c r="I30" s="1013"/>
      <c r="L30" s="2163" t="s">
        <v>5062</v>
      </c>
      <c r="M30" s="2163" t="str">
        <f t="shared" si="0"/>
        <v>Prim Sec Ed</v>
      </c>
    </row>
    <row r="31" spans="1:13" ht="17.100000000000001" customHeight="1" x14ac:dyDescent="0.25">
      <c r="A31" s="998" t="s">
        <v>1444</v>
      </c>
      <c r="B31" s="1004"/>
      <c r="C31" s="1004"/>
      <c r="D31" s="1002"/>
      <c r="E31" s="1002"/>
      <c r="F31" s="1002"/>
      <c r="G31" s="1002"/>
      <c r="H31" s="1003"/>
      <c r="I31" s="1013"/>
      <c r="L31" s="2163"/>
      <c r="M31" s="2163"/>
    </row>
    <row r="32" spans="1:13" ht="17.100000000000001" customHeight="1" x14ac:dyDescent="0.25">
      <c r="A32" s="2663" t="s">
        <v>1038</v>
      </c>
      <c r="B32" s="2664"/>
      <c r="C32" s="2664"/>
      <c r="D32" s="999"/>
      <c r="E32" s="999"/>
      <c r="F32" s="999"/>
      <c r="G32" s="999"/>
      <c r="H32" s="1000"/>
      <c r="I32" s="1013"/>
      <c r="L32" s="2163" t="s">
        <v>1735</v>
      </c>
      <c r="M32" s="2163" t="str">
        <f t="shared" si="0"/>
        <v>HHS</v>
      </c>
    </row>
    <row r="33" spans="1:13" ht="17.100000000000001" customHeight="1" x14ac:dyDescent="0.25">
      <c r="A33" s="2663" t="s">
        <v>1038</v>
      </c>
      <c r="B33" s="2664"/>
      <c r="C33" s="2664"/>
      <c r="D33" s="999"/>
      <c r="E33" s="999"/>
      <c r="F33" s="999"/>
      <c r="G33" s="999"/>
      <c r="H33" s="1000"/>
      <c r="I33" s="1013"/>
      <c r="L33" s="2163" t="s">
        <v>1735</v>
      </c>
      <c r="M33" s="2163" t="str">
        <f t="shared" si="0"/>
        <v>HHS</v>
      </c>
    </row>
    <row r="34" spans="1:13" ht="17.100000000000001" customHeight="1" x14ac:dyDescent="0.25">
      <c r="A34" s="2663" t="s">
        <v>128</v>
      </c>
      <c r="B34" s="2664"/>
      <c r="C34" s="2664"/>
      <c r="D34" s="999"/>
      <c r="E34" s="999"/>
      <c r="F34" s="999"/>
      <c r="G34" s="999"/>
      <c r="H34" s="1000"/>
      <c r="I34" s="1013"/>
      <c r="L34" s="2163" t="s">
        <v>1735</v>
      </c>
      <c r="M34" s="2163" t="str">
        <f t="shared" si="0"/>
        <v>Gen Gov</v>
      </c>
    </row>
    <row r="35" spans="1:13" ht="17.100000000000001" customHeight="1" x14ac:dyDescent="0.25">
      <c r="A35" s="2676" t="s">
        <v>1448</v>
      </c>
      <c r="B35" s="2677"/>
      <c r="C35" s="2678"/>
      <c r="D35" s="999"/>
      <c r="E35" s="999"/>
      <c r="F35" s="999"/>
      <c r="G35" s="999"/>
      <c r="H35" s="1000"/>
      <c r="I35" s="1013"/>
      <c r="J35" s="2679" t="s">
        <v>1449</v>
      </c>
      <c r="K35" s="2680"/>
      <c r="L35" s="2163" t="s">
        <v>1445</v>
      </c>
      <c r="M35" s="2163" t="s">
        <v>4969</v>
      </c>
    </row>
    <row r="36" spans="1:13" ht="27.75" customHeight="1" thickBot="1" x14ac:dyDescent="0.3">
      <c r="A36" s="2681" t="s">
        <v>4885</v>
      </c>
      <c r="B36" s="2680"/>
      <c r="C36" s="2672"/>
      <c r="D36" s="1005">
        <f>D20+D21+SUM(D23:D26)+SUM(D28:D30)+SUM(D32:D35)</f>
        <v>0</v>
      </c>
      <c r="E36" s="1005">
        <f>E20+E21+SUM(E23:E26)+SUM(E28:E30)+SUM(E32:E35)</f>
        <v>0</v>
      </c>
      <c r="F36" s="1005">
        <f>F20+F21+SUM(F23:F26)+SUM(F28:F30)+SUM(F32:F35)</f>
        <v>0</v>
      </c>
      <c r="G36" s="1005">
        <f>G20+G21+SUM(G23:G26)+SUM(G28:G30)+SUM(G32:G35)</f>
        <v>0</v>
      </c>
      <c r="H36" s="1005">
        <f>H20+H21+SUM(H23:H26)+SUM(H28:H30)+SUM(H32:H35)</f>
        <v>0</v>
      </c>
      <c r="I36" s="1014"/>
      <c r="J36" s="2680"/>
      <c r="K36" s="2680"/>
    </row>
    <row r="37" spans="1:13" ht="12.75" customHeight="1" thickTop="1" x14ac:dyDescent="0.25">
      <c r="A37" s="1006"/>
      <c r="B37" s="1006"/>
      <c r="C37" s="1006"/>
      <c r="D37" s="1006"/>
      <c r="E37" s="1006"/>
      <c r="F37" s="1006"/>
      <c r="G37" s="1006"/>
      <c r="H37" s="1006"/>
      <c r="I37" s="1006"/>
      <c r="J37" s="1015"/>
      <c r="K37" s="1015"/>
    </row>
    <row r="38" spans="1:13" ht="12.75" customHeight="1" x14ac:dyDescent="0.25">
      <c r="A38" s="868" t="s">
        <v>634</v>
      </c>
      <c r="B38" s="1007" t="s">
        <v>1446</v>
      </c>
      <c r="C38" s="869"/>
      <c r="D38" s="998"/>
      <c r="E38" s="998"/>
      <c r="F38" s="998"/>
      <c r="G38" s="998"/>
      <c r="H38" s="998"/>
      <c r="I38" s="998"/>
      <c r="J38" s="1016"/>
    </row>
    <row r="39" spans="1:13" ht="12.75" customHeight="1" x14ac:dyDescent="0.25">
      <c r="A39" s="868"/>
      <c r="B39" s="1007" t="s">
        <v>1447</v>
      </c>
      <c r="C39" s="869"/>
      <c r="D39" s="998"/>
      <c r="E39" s="998"/>
      <c r="F39" s="998"/>
      <c r="G39" s="998"/>
      <c r="H39" s="998"/>
      <c r="I39" s="998"/>
    </row>
    <row r="40" spans="1:13" ht="12.75" customHeight="1" x14ac:dyDescent="0.25">
      <c r="A40" s="868"/>
      <c r="B40" s="1007" t="s">
        <v>1291</v>
      </c>
      <c r="C40" s="869"/>
      <c r="D40" s="998"/>
      <c r="E40" s="998"/>
      <c r="F40" s="998"/>
      <c r="G40" s="998"/>
      <c r="H40" s="998"/>
      <c r="I40" s="998"/>
    </row>
    <row r="41" spans="1:13" ht="15" customHeight="1" x14ac:dyDescent="0.25">
      <c r="A41" s="868" t="s">
        <v>636</v>
      </c>
      <c r="B41" s="1007" t="s">
        <v>482</v>
      </c>
      <c r="C41" s="869"/>
      <c r="D41" s="998"/>
      <c r="E41" s="998"/>
      <c r="F41" s="998"/>
      <c r="G41" s="998"/>
      <c r="H41" s="998"/>
      <c r="I41" s="998"/>
    </row>
    <row r="42" spans="1:13" ht="12.75" customHeight="1" x14ac:dyDescent="0.25">
      <c r="A42" s="868"/>
      <c r="B42" s="869"/>
      <c r="C42" s="869"/>
      <c r="D42" s="998"/>
      <c r="E42" s="998"/>
      <c r="F42" s="998"/>
      <c r="G42" s="998"/>
      <c r="H42" s="998"/>
      <c r="I42" s="998"/>
    </row>
    <row r="43" spans="1:13" x14ac:dyDescent="0.25">
      <c r="D43" s="2682" t="s">
        <v>3505</v>
      </c>
      <c r="E43" s="2682"/>
      <c r="F43" s="2682"/>
      <c r="G43" s="2682"/>
      <c r="H43" s="2682"/>
      <c r="I43" s="1017"/>
    </row>
    <row r="44" spans="1:13" ht="17.100000000000001" customHeight="1" x14ac:dyDescent="0.25">
      <c r="A44" s="998" t="s">
        <v>378</v>
      </c>
      <c r="B44" s="998"/>
      <c r="C44" s="998"/>
      <c r="D44" s="1395">
        <f>D23+D24+D25+D26+D21</f>
        <v>0</v>
      </c>
      <c r="E44" s="1395">
        <f t="shared" ref="E44:H44" si="1">E23+E24+E25+E26+E21</f>
        <v>0</v>
      </c>
      <c r="F44" s="1395">
        <f t="shared" si="1"/>
        <v>0</v>
      </c>
      <c r="G44" s="1395">
        <f t="shared" si="1"/>
        <v>0</v>
      </c>
      <c r="H44" s="1395">
        <f t="shared" si="1"/>
        <v>0</v>
      </c>
      <c r="I44" s="1018"/>
    </row>
    <row r="45" spans="1:13" ht="17.100000000000001" customHeight="1" x14ac:dyDescent="0.25">
      <c r="A45" s="998" t="s">
        <v>923</v>
      </c>
      <c r="B45" s="998"/>
      <c r="C45" s="998"/>
      <c r="D45" s="1395">
        <f>D20+SUM(D28:D30)+SUM(D32:D35)</f>
        <v>0</v>
      </c>
      <c r="E45" s="1395">
        <f>E20+SUM(E28:E30)+SUM(E32:E35)</f>
        <v>0</v>
      </c>
      <c r="F45" s="1395">
        <f>F20+SUM(F28:F30)+SUM(F32:F35)</f>
        <v>0</v>
      </c>
      <c r="G45" s="1395">
        <f>G20+SUM(G28:G30)+SUM(G32:G35)</f>
        <v>0</v>
      </c>
      <c r="H45" s="1395">
        <f>H20+SUM(H28:H30)+SUM(H32:H35)</f>
        <v>0</v>
      </c>
      <c r="I45" s="1019"/>
    </row>
    <row r="46" spans="1:13" ht="17.100000000000001" customHeight="1" thickBot="1" x14ac:dyDescent="0.3">
      <c r="A46" s="998" t="s">
        <v>1889</v>
      </c>
      <c r="B46" s="998"/>
      <c r="C46" s="998"/>
      <c r="D46" s="1009">
        <f>SUM(D44:D45)</f>
        <v>0</v>
      </c>
      <c r="E46" s="1009">
        <f>SUM(E44:E45)</f>
        <v>0</v>
      </c>
      <c r="F46" s="1009">
        <f>SUM(F44:F45)</f>
        <v>0</v>
      </c>
      <c r="G46" s="1009">
        <f>SUM(G44:G45)</f>
        <v>0</v>
      </c>
      <c r="H46" s="1009">
        <f>SUM(H44:H45)</f>
        <v>0</v>
      </c>
      <c r="I46" s="1019"/>
    </row>
    <row r="47" spans="1:13" ht="17.100000000000001" customHeight="1" thickTop="1" x14ac:dyDescent="0.25">
      <c r="A47" s="2675" t="s">
        <v>593</v>
      </c>
      <c r="B47" s="2675"/>
      <c r="C47" s="2675"/>
      <c r="D47" s="1010"/>
      <c r="E47" s="1010" t="str">
        <f>IF(E48&lt;&gt;0,"Out of Balance","")</f>
        <v/>
      </c>
      <c r="F47" s="1010" t="str">
        <f>IF(F48&lt;&gt;0,"Out of Balance","")</f>
        <v/>
      </c>
      <c r="G47" s="1010" t="str">
        <f>IF(G48&lt;&gt;0,"Out of Balance","")</f>
        <v/>
      </c>
      <c r="H47" s="1010" t="str">
        <f>IF(H48&lt;&gt;0,"Out of Balance","")</f>
        <v/>
      </c>
      <c r="I47" s="1010"/>
    </row>
  </sheetData>
  <sheetProtection algorithmName="SHA-512" hashValue="UK2+rcxYBx/D2+UnNybjXB6vxrMAbrMuuI1FwAfEU/lKjqIcr9G5jMcPcvt83oX0TrED34YWAGl+ld7hWIbAfA==" saltValue="vN/zdMhYOv1v+fKWQuT2SA==" spinCount="100000" sheet="1" objects="1" scenarios="1" autoFilter="0"/>
  <customSheetViews>
    <customSheetView guid="{B08879A4-635B-4C39-9937-AC7883D562FC}" fitToPage="1" topLeftCell="A16">
      <selection activeCell="A26" sqref="A26:C26"/>
      <pageMargins left="0.75" right="0.5" top="0.5" bottom="0.75" header="0.3" footer="0.3"/>
      <pageSetup scale="83" orientation="portrait" r:id="rId1"/>
      <headerFooter>
        <oddFooter>&amp;R&amp;A</oddFooter>
      </headerFooter>
    </customSheetView>
    <customSheetView guid="{9FCFC836-1CA5-48BF-958D-24D2EA94B219}" fitToPage="1" topLeftCell="A16">
      <selection activeCell="A26" sqref="A26:C26"/>
      <pageMargins left="0.75" right="0.5" top="0.5" bottom="0.75" header="0.3" footer="0.3"/>
      <pageSetup scale="83" orientation="portrait" r:id="rId2"/>
      <headerFooter>
        <oddFooter>&amp;R&amp;A</oddFooter>
      </headerFooter>
    </customSheetView>
  </customSheetViews>
  <mergeCells count="35">
    <mergeCell ref="D43:H43"/>
    <mergeCell ref="A47:C47"/>
    <mergeCell ref="A30:C30"/>
    <mergeCell ref="A32:C32"/>
    <mergeCell ref="A33:C33"/>
    <mergeCell ref="A34:C34"/>
    <mergeCell ref="A35:C35"/>
    <mergeCell ref="J35:K36"/>
    <mergeCell ref="A36:C36"/>
    <mergeCell ref="A20:C20"/>
    <mergeCell ref="A23:C23"/>
    <mergeCell ref="A24:C24"/>
    <mergeCell ref="A26:C26"/>
    <mergeCell ref="A28:C28"/>
    <mergeCell ref="A29:C29"/>
    <mergeCell ref="J20:K20"/>
    <mergeCell ref="A21:C21"/>
    <mergeCell ref="A25:C25"/>
    <mergeCell ref="A1:H1"/>
    <mergeCell ref="A2:H2"/>
    <mergeCell ref="A3:H3"/>
    <mergeCell ref="A4:H4"/>
    <mergeCell ref="F6:I6"/>
    <mergeCell ref="A14:H14"/>
    <mergeCell ref="J22:K24"/>
    <mergeCell ref="J21:K21"/>
    <mergeCell ref="F7:I7"/>
    <mergeCell ref="F8:I8"/>
    <mergeCell ref="F9:I9"/>
    <mergeCell ref="A17:C17"/>
    <mergeCell ref="D18:D19"/>
    <mergeCell ref="E18:E19"/>
    <mergeCell ref="F18:F19"/>
    <mergeCell ref="G18:G19"/>
    <mergeCell ref="H18:H19"/>
  </mergeCells>
  <conditionalFormatting sqref="I2:J3 I1">
    <cfRule type="cellIs" dxfId="104" priority="3" stopIfTrue="1" operator="equal">
      <formula>"na"</formula>
    </cfRule>
  </conditionalFormatting>
  <conditionalFormatting sqref="I1">
    <cfRule type="cellIs" dxfId="103" priority="2" stopIfTrue="1" operator="equal">
      <formula>"na"</formula>
    </cfRule>
  </conditionalFormatting>
  <conditionalFormatting sqref="H5">
    <cfRule type="containsText" dxfId="102" priority="1" stopIfTrue="1" operator="containsText" text="NA">
      <formula>NOT(ISERROR(SEARCH("NA",H5)))</formula>
    </cfRule>
  </conditionalFormatting>
  <dataValidations count="6">
    <dataValidation type="textLength" operator="equal" allowBlank="1" showInputMessage="1" showErrorMessage="1" errorTitle="Invalid data!" error="GASB number must be 4 digits." sqref="D17:I17" xr:uid="{00000000-0002-0000-1D00-000000000000}">
      <formula1>4</formula1>
    </dataValidation>
    <dataValidation type="decimal" operator="lessThanOrEqual" allowBlank="1" showInputMessage="1" showErrorMessage="1" errorTitle="Invalid Data" error="Cannot have positive &quot;Unassigned&quot; fund balance in funds other than the General Fund" sqref="D35:I35" xr:uid="{00000000-0002-0000-1D00-000001000000}">
      <formula1>0</formula1>
    </dataValidation>
    <dataValidation type="list" allowBlank="1" showInputMessage="1" showErrorMessage="1" sqref="B31:C31 B23:C27 A23:A26" xr:uid="{00000000-0002-0000-1D00-000002000000}">
      <formula1>function</formula1>
    </dataValidation>
    <dataValidation type="decimal" operator="greaterThanOrEqual" allowBlank="1" showInputMessage="1" showErrorMessage="1" errorTitle="Invalid Data" error="Amount cannot be negative" sqref="D23:I26 D28:I30 D32:I34 D20:I21" xr:uid="{00000000-0002-0000-1D00-000003000000}">
      <formula1>0</formula1>
    </dataValidation>
    <dataValidation type="list" allowBlank="1" showInputMessage="1" showErrorMessage="1" sqref="A28:C30" xr:uid="{00000000-0002-0000-1D00-000004000000}">
      <formula1>functionC</formula1>
    </dataValidation>
    <dataValidation type="list" allowBlank="1" showInputMessage="1" showErrorMessage="1" sqref="A32:C34" xr:uid="{00000000-0002-0000-1D00-000005000000}">
      <formula1>functionA</formula1>
    </dataValidation>
  </dataValidations>
  <hyperlinks>
    <hyperlink ref="A1:H1" location="Index!A1" display="Index!A1" xr:uid="{00000000-0004-0000-1D00-000000000000}"/>
    <hyperlink ref="D12" r:id="rId3" xr:uid="{00000000-0004-0000-1D00-000001000000}"/>
  </hyperlinks>
  <pageMargins left="0.75" right="0.5" top="0.5" bottom="0.75" header="0.3" footer="0.3"/>
  <pageSetup scale="83" orientation="portrait" r:id="rId4"/>
  <headerFoot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dimension ref="A1:M54"/>
  <sheetViews>
    <sheetView zoomScaleNormal="100" workbookViewId="0">
      <selection activeCell="Q16" sqref="Q16"/>
    </sheetView>
  </sheetViews>
  <sheetFormatPr defaultColWidth="9.42578125" defaultRowHeight="15" x14ac:dyDescent="0.25"/>
  <cols>
    <col min="1" max="1" width="12.5703125" style="867" customWidth="1"/>
    <col min="2" max="2" width="8.5703125" style="867" customWidth="1"/>
    <col min="3" max="3" width="12.42578125" style="867" customWidth="1"/>
    <col min="4" max="8" width="15.5703125" style="867" customWidth="1"/>
    <col min="9" max="9" width="1.42578125" style="867" customWidth="1"/>
    <col min="10" max="10" width="4" style="867" customWidth="1"/>
    <col min="11" max="11" width="52.5703125" style="867" customWidth="1"/>
    <col min="12" max="16384" width="9.42578125" style="867"/>
  </cols>
  <sheetData>
    <row r="1" spans="1:9" ht="18" customHeight="1" x14ac:dyDescent="0.25">
      <c r="A1" s="2449" t="str">
        <f>Index!A1</f>
        <v xml:space="preserve">                                                               Office of the State Controller                                                                </v>
      </c>
      <c r="B1" s="2449"/>
      <c r="C1" s="2449"/>
      <c r="D1" s="2449"/>
      <c r="E1" s="2449"/>
      <c r="F1" s="2449"/>
      <c r="G1" s="2449"/>
      <c r="H1" s="2449"/>
      <c r="I1" s="1424"/>
    </row>
    <row r="2" spans="1:9" ht="18" customHeight="1" x14ac:dyDescent="0.25">
      <c r="A2" s="2650" t="str">
        <f>Index!A2</f>
        <v>2022 ACFR Worksheets</v>
      </c>
      <c r="B2" s="2650"/>
      <c r="C2" s="2650"/>
      <c r="D2" s="2650"/>
      <c r="E2" s="2650"/>
      <c r="F2" s="2650"/>
      <c r="G2" s="2650"/>
      <c r="H2" s="2650"/>
    </row>
    <row r="3" spans="1:9" ht="18" customHeight="1" x14ac:dyDescent="0.25">
      <c r="A3" s="2650" t="s">
        <v>1437</v>
      </c>
      <c r="B3" s="2650"/>
      <c r="C3" s="2650"/>
      <c r="D3" s="2650"/>
      <c r="E3" s="2650"/>
      <c r="F3" s="2650"/>
      <c r="G3" s="2650"/>
      <c r="H3" s="2650"/>
    </row>
    <row r="4" spans="1:9" ht="18" customHeight="1" x14ac:dyDescent="0.25">
      <c r="A4" s="2650" t="s">
        <v>3508</v>
      </c>
      <c r="B4" s="2650"/>
      <c r="C4" s="2650"/>
      <c r="D4" s="2650"/>
      <c r="E4" s="2650"/>
      <c r="F4" s="2650"/>
      <c r="G4" s="2650"/>
      <c r="H4" s="2650"/>
    </row>
    <row r="5" spans="1:9" ht="18" customHeight="1" x14ac:dyDescent="0.25">
      <c r="A5" s="985"/>
      <c r="B5" s="985"/>
      <c r="C5" s="985"/>
      <c r="D5" s="985"/>
      <c r="E5" s="985"/>
      <c r="F5" s="986" t="s">
        <v>1091</v>
      </c>
      <c r="G5" s="985"/>
      <c r="H5" s="910" t="str">
        <f>IF(Index!$B$54="na","NA","")</f>
        <v/>
      </c>
    </row>
    <row r="6" spans="1:9" ht="18" customHeight="1" x14ac:dyDescent="0.25">
      <c r="A6" s="985"/>
      <c r="B6" s="985"/>
      <c r="C6" s="987"/>
      <c r="D6" s="985"/>
      <c r="E6" s="988" t="s">
        <v>327</v>
      </c>
      <c r="F6" s="2437" t="str">
        <f>+Index!$E$10</f>
        <v>01</v>
      </c>
      <c r="G6" s="2437"/>
      <c r="H6" s="2437"/>
      <c r="I6" s="2437"/>
    </row>
    <row r="7" spans="1:9" ht="18" customHeight="1" x14ac:dyDescent="0.25">
      <c r="A7" s="985"/>
      <c r="B7" s="985"/>
      <c r="C7" s="985"/>
      <c r="D7" s="985"/>
      <c r="E7" s="988" t="s">
        <v>1154</v>
      </c>
      <c r="F7" s="2433" t="str">
        <f>+Index!$E$11</f>
        <v>North Carolina General Assembly</v>
      </c>
      <c r="G7" s="2433"/>
      <c r="H7" s="2433"/>
      <c r="I7" s="2433"/>
    </row>
    <row r="8" spans="1:9" ht="18" customHeight="1" x14ac:dyDescent="0.25">
      <c r="A8" s="985" t="s">
        <v>477</v>
      </c>
      <c r="B8" s="985"/>
      <c r="C8" s="989" t="s">
        <v>779</v>
      </c>
      <c r="D8" s="985"/>
      <c r="E8" s="988" t="s">
        <v>972</v>
      </c>
      <c r="F8" s="2434" t="str">
        <f>CONCATENATE(Index!$E$12," ",Index!$E$14)</f>
        <v xml:space="preserve"> </v>
      </c>
      <c r="G8" s="2434"/>
      <c r="H8" s="2434"/>
      <c r="I8" s="2434"/>
    </row>
    <row r="9" spans="1:9" ht="18" customHeight="1" x14ac:dyDescent="0.25">
      <c r="A9" s="985"/>
      <c r="B9" s="985"/>
      <c r="C9" s="987"/>
      <c r="D9" s="985"/>
      <c r="E9" s="988" t="s">
        <v>348</v>
      </c>
      <c r="F9" s="2434">
        <f>+Index!$E$13</f>
        <v>0</v>
      </c>
      <c r="G9" s="2434"/>
      <c r="H9" s="2434"/>
      <c r="I9" s="2434"/>
    </row>
    <row r="10" spans="1:9" ht="14.1" customHeight="1" thickBot="1" x14ac:dyDescent="0.3">
      <c r="A10" s="990"/>
      <c r="B10" s="990"/>
      <c r="C10" s="990"/>
      <c r="D10" s="990"/>
      <c r="E10" s="990"/>
      <c r="F10" s="990"/>
      <c r="G10" s="990"/>
      <c r="H10" s="990"/>
    </row>
    <row r="11" spans="1:9" x14ac:dyDescent="0.25">
      <c r="A11" s="985"/>
      <c r="B11" s="985"/>
      <c r="C11" s="985"/>
      <c r="D11" s="985"/>
      <c r="E11" s="985"/>
      <c r="F11" s="985"/>
      <c r="G11" s="985"/>
      <c r="H11" s="985"/>
    </row>
    <row r="12" spans="1:9" x14ac:dyDescent="0.25">
      <c r="C12" s="1720" t="s">
        <v>4280</v>
      </c>
      <c r="D12" s="1161" t="s">
        <v>1438</v>
      </c>
      <c r="E12" s="985"/>
      <c r="G12" s="985"/>
      <c r="H12" s="985"/>
    </row>
    <row r="13" spans="1:9" ht="17.100000000000001" customHeight="1" x14ac:dyDescent="0.25">
      <c r="A13" s="985"/>
      <c r="B13" s="985"/>
      <c r="C13" s="985"/>
      <c r="D13" s="985"/>
      <c r="E13" s="985"/>
      <c r="F13" s="985"/>
      <c r="G13" s="985"/>
      <c r="H13" s="985"/>
    </row>
    <row r="14" spans="1:9" ht="30" customHeight="1" x14ac:dyDescent="0.25">
      <c r="A14" s="2651" t="s">
        <v>4883</v>
      </c>
      <c r="B14" s="2652"/>
      <c r="C14" s="2653"/>
      <c r="D14" s="2653"/>
      <c r="E14" s="2653"/>
      <c r="F14" s="2653"/>
      <c r="G14" s="2653"/>
      <c r="H14" s="2654"/>
    </row>
    <row r="15" spans="1:9" ht="17.100000000000001" customHeight="1" x14ac:dyDescent="0.25">
      <c r="A15" s="991"/>
      <c r="B15" s="991"/>
      <c r="C15" s="992"/>
      <c r="D15" s="992"/>
      <c r="E15" s="992"/>
      <c r="F15" s="992"/>
      <c r="G15" s="992"/>
      <c r="H15" s="992"/>
    </row>
    <row r="16" spans="1:9" x14ac:dyDescent="0.25">
      <c r="A16" s="985"/>
      <c r="B16" s="985"/>
      <c r="C16" s="985"/>
      <c r="D16" s="993" t="s">
        <v>1157</v>
      </c>
      <c r="E16" s="994" t="s">
        <v>1157</v>
      </c>
      <c r="F16" s="994" t="s">
        <v>1157</v>
      </c>
      <c r="G16" s="994" t="s">
        <v>1157</v>
      </c>
      <c r="H16" s="994" t="s">
        <v>1157</v>
      </c>
    </row>
    <row r="17" spans="1:13" x14ac:dyDescent="0.25">
      <c r="A17" s="2655" t="s">
        <v>902</v>
      </c>
      <c r="B17" s="2655"/>
      <c r="C17" s="2655"/>
      <c r="D17" s="995"/>
      <c r="E17" s="996"/>
      <c r="F17" s="995"/>
      <c r="G17" s="995"/>
      <c r="H17" s="997"/>
    </row>
    <row r="18" spans="1:13" ht="17.100000000000001" customHeight="1" x14ac:dyDescent="0.25">
      <c r="A18" s="868" t="s">
        <v>1439</v>
      </c>
      <c r="B18" s="998"/>
      <c r="C18" s="869"/>
      <c r="D18" s="2656"/>
      <c r="E18" s="2656"/>
      <c r="F18" s="2656"/>
      <c r="G18" s="2656"/>
      <c r="H18" s="2656"/>
    </row>
    <row r="19" spans="1:13" ht="17.100000000000001" customHeight="1" x14ac:dyDescent="0.25">
      <c r="A19" s="998" t="s">
        <v>1440</v>
      </c>
      <c r="B19" s="998"/>
      <c r="C19" s="869"/>
      <c r="D19" s="2657"/>
      <c r="E19" s="2657"/>
      <c r="F19" s="2657"/>
      <c r="G19" s="2657"/>
      <c r="H19" s="2657"/>
    </row>
    <row r="20" spans="1:13" ht="28.35" customHeight="1" x14ac:dyDescent="0.25">
      <c r="A20" s="2659" t="s">
        <v>1441</v>
      </c>
      <c r="B20" s="2659"/>
      <c r="C20" s="2659"/>
      <c r="D20" s="999"/>
      <c r="E20" s="999"/>
      <c r="F20" s="999"/>
      <c r="G20" s="999"/>
      <c r="H20" s="1000"/>
      <c r="J20" s="2665" t="s">
        <v>4884</v>
      </c>
      <c r="K20" s="2665"/>
      <c r="L20" s="2164" t="s">
        <v>5057</v>
      </c>
      <c r="M20" s="2164" t="s">
        <v>4969</v>
      </c>
    </row>
    <row r="21" spans="1:13" ht="17.100000000000001" customHeight="1" x14ac:dyDescent="0.25">
      <c r="A21" s="2670" t="s">
        <v>1742</v>
      </c>
      <c r="B21" s="2378"/>
      <c r="C21" s="2671"/>
      <c r="D21" s="999"/>
      <c r="E21" s="999"/>
      <c r="F21" s="999"/>
      <c r="G21" s="999"/>
      <c r="H21" s="1000"/>
      <c r="J21" s="2683" t="s">
        <v>1743</v>
      </c>
      <c r="K21" s="2498"/>
      <c r="L21" s="2164" t="s">
        <v>5058</v>
      </c>
      <c r="M21" s="2164" t="s">
        <v>4969</v>
      </c>
    </row>
    <row r="22" spans="1:13" ht="17.100000000000001" customHeight="1" x14ac:dyDescent="0.25">
      <c r="A22" s="998" t="s">
        <v>792</v>
      </c>
      <c r="B22" s="869"/>
      <c r="C22" s="869"/>
      <c r="D22" s="1002"/>
      <c r="E22" s="1003"/>
      <c r="F22" s="1003"/>
      <c r="G22" s="1003"/>
      <c r="H22" s="1003"/>
      <c r="J22" s="1496"/>
      <c r="K22" s="1496"/>
      <c r="L22" s="2164"/>
      <c r="M22" s="2164"/>
    </row>
    <row r="23" spans="1:13" ht="17.100000000000001" customHeight="1" x14ac:dyDescent="0.25">
      <c r="A23" s="2670" t="s">
        <v>4170</v>
      </c>
      <c r="B23" s="2684"/>
      <c r="C23" s="2684"/>
      <c r="D23" s="999"/>
      <c r="E23" s="999"/>
      <c r="F23" s="999"/>
      <c r="G23" s="999"/>
      <c r="H23" s="1000"/>
      <c r="J23" s="1496"/>
      <c r="K23" s="1496"/>
      <c r="L23" s="2164" t="s">
        <v>378</v>
      </c>
      <c r="M23" s="2164" t="s">
        <v>5064</v>
      </c>
    </row>
    <row r="24" spans="1:13" ht="17.100000000000001" customHeight="1" x14ac:dyDescent="0.25">
      <c r="A24" s="2670" t="s">
        <v>4281</v>
      </c>
      <c r="B24" s="2684"/>
      <c r="C24" s="2684"/>
      <c r="D24" s="999"/>
      <c r="E24" s="999"/>
      <c r="F24" s="999"/>
      <c r="G24" s="999"/>
      <c r="H24" s="1000"/>
      <c r="J24" s="1497"/>
      <c r="K24" s="1497"/>
      <c r="L24" s="2164" t="s">
        <v>378</v>
      </c>
      <c r="M24" s="2164" t="s">
        <v>5065</v>
      </c>
    </row>
    <row r="25" spans="1:13" ht="17.100000000000001" customHeight="1" x14ac:dyDescent="0.25">
      <c r="A25" s="2670" t="s">
        <v>4171</v>
      </c>
      <c r="B25" s="2684"/>
      <c r="C25" s="2684"/>
      <c r="D25" s="999"/>
      <c r="E25" s="999"/>
      <c r="F25" s="999"/>
      <c r="G25" s="999"/>
      <c r="H25" s="1000"/>
      <c r="L25" s="2164" t="s">
        <v>378</v>
      </c>
      <c r="M25" s="2164" t="s">
        <v>5066</v>
      </c>
    </row>
    <row r="26" spans="1:13" ht="17.100000000000001" customHeight="1" x14ac:dyDescent="0.25">
      <c r="A26" s="998" t="s">
        <v>1443</v>
      </c>
      <c r="B26" s="1004"/>
      <c r="C26" s="1004"/>
      <c r="D26" s="1002"/>
      <c r="E26" s="1002"/>
      <c r="F26" s="1002"/>
      <c r="G26" s="1002"/>
      <c r="H26" s="1003"/>
      <c r="L26" s="2164"/>
      <c r="M26" s="2164"/>
    </row>
    <row r="27" spans="1:13" ht="17.100000000000001" customHeight="1" x14ac:dyDescent="0.25">
      <c r="A27" s="2670" t="s">
        <v>4170</v>
      </c>
      <c r="B27" s="2684"/>
      <c r="C27" s="2684"/>
      <c r="D27" s="999"/>
      <c r="E27" s="999"/>
      <c r="F27" s="999"/>
      <c r="G27" s="999"/>
      <c r="H27" s="1000"/>
      <c r="L27" s="2164" t="s">
        <v>5062</v>
      </c>
      <c r="M27" s="2164" t="s">
        <v>5064</v>
      </c>
    </row>
    <row r="28" spans="1:13" ht="17.100000000000001" customHeight="1" x14ac:dyDescent="0.25">
      <c r="A28" s="2670" t="s">
        <v>128</v>
      </c>
      <c r="B28" s="2684"/>
      <c r="C28" s="2684"/>
      <c r="D28" s="999"/>
      <c r="E28" s="999"/>
      <c r="F28" s="999"/>
      <c r="G28" s="999"/>
      <c r="H28" s="1000"/>
      <c r="L28" s="2164" t="s">
        <v>5062</v>
      </c>
      <c r="M28" s="2164" t="s">
        <v>4979</v>
      </c>
    </row>
    <row r="29" spans="1:13" ht="17.100000000000001" customHeight="1" x14ac:dyDescent="0.25">
      <c r="A29" s="2670" t="s">
        <v>4171</v>
      </c>
      <c r="B29" s="2684"/>
      <c r="C29" s="2684"/>
      <c r="D29" s="999"/>
      <c r="E29" s="999"/>
      <c r="F29" s="999"/>
      <c r="G29" s="999"/>
      <c r="H29" s="1000"/>
      <c r="L29" s="2164" t="s">
        <v>5062</v>
      </c>
      <c r="M29" s="2164" t="s">
        <v>5066</v>
      </c>
    </row>
    <row r="30" spans="1:13" ht="17.100000000000001" customHeight="1" x14ac:dyDescent="0.25">
      <c r="A30" s="998" t="s">
        <v>1444</v>
      </c>
      <c r="B30" s="1004"/>
      <c r="C30" s="1004"/>
      <c r="D30" s="1002"/>
      <c r="E30" s="1002"/>
      <c r="F30" s="1002"/>
      <c r="G30" s="1002"/>
      <c r="H30" s="1003"/>
      <c r="L30" s="2164"/>
      <c r="M30" s="2164"/>
    </row>
    <row r="31" spans="1:13" ht="17.100000000000001" customHeight="1" x14ac:dyDescent="0.25">
      <c r="A31" s="2670" t="s">
        <v>4170</v>
      </c>
      <c r="B31" s="2684"/>
      <c r="C31" s="2684"/>
      <c r="D31" s="999"/>
      <c r="E31" s="999"/>
      <c r="F31" s="999"/>
      <c r="G31" s="999"/>
      <c r="H31" s="1000"/>
      <c r="L31" s="2164" t="s">
        <v>1735</v>
      </c>
      <c r="M31" s="2164" t="s">
        <v>5064</v>
      </c>
    </row>
    <row r="32" spans="1:13" ht="17.100000000000001" customHeight="1" x14ac:dyDescent="0.25">
      <c r="A32" s="2670" t="s">
        <v>128</v>
      </c>
      <c r="B32" s="2684"/>
      <c r="C32" s="2684"/>
      <c r="D32" s="999"/>
      <c r="E32" s="999"/>
      <c r="F32" s="999"/>
      <c r="G32" s="999"/>
      <c r="H32" s="1000"/>
      <c r="L32" s="2164" t="s">
        <v>1735</v>
      </c>
      <c r="M32" s="2164" t="s">
        <v>4979</v>
      </c>
    </row>
    <row r="33" spans="1:13" ht="17.100000000000001" customHeight="1" x14ac:dyDescent="0.25">
      <c r="A33" s="2670" t="s">
        <v>4171</v>
      </c>
      <c r="B33" s="2684"/>
      <c r="C33" s="2684"/>
      <c r="D33" s="999"/>
      <c r="E33" s="999"/>
      <c r="F33" s="999"/>
      <c r="G33" s="999"/>
      <c r="H33" s="1000"/>
      <c r="L33" s="2164" t="s">
        <v>1735</v>
      </c>
      <c r="M33" s="2164" t="s">
        <v>5066</v>
      </c>
    </row>
    <row r="34" spans="1:13" ht="17.100000000000001" customHeight="1" x14ac:dyDescent="0.25">
      <c r="A34" s="2676" t="s">
        <v>1448</v>
      </c>
      <c r="B34" s="2677"/>
      <c r="C34" s="2678"/>
      <c r="D34" s="999"/>
      <c r="E34" s="999"/>
      <c r="F34" s="999"/>
      <c r="G34" s="999"/>
      <c r="H34" s="1000"/>
      <c r="I34" s="1001"/>
      <c r="J34" s="2679" t="s">
        <v>1449</v>
      </c>
      <c r="K34" s="2680"/>
      <c r="L34" s="2164" t="s">
        <v>1445</v>
      </c>
      <c r="M34" s="2164" t="s">
        <v>4969</v>
      </c>
    </row>
    <row r="35" spans="1:13" ht="29.25" customHeight="1" thickBot="1" x14ac:dyDescent="0.3">
      <c r="A35" s="2681" t="s">
        <v>4885</v>
      </c>
      <c r="B35" s="2680"/>
      <c r="C35" s="2672"/>
      <c r="D35" s="1005">
        <f>SUM(D20:D21)+SUM(D23:D25)+SUM(D27:D29)+SUM(D31:D34)</f>
        <v>0</v>
      </c>
      <c r="E35" s="1005">
        <f>SUM(E20:E21)+SUM(E23:E25)+SUM(E27:E29)+SUM(E31:E34)</f>
        <v>0</v>
      </c>
      <c r="F35" s="1005">
        <f>SUM(F20:F21)+SUM(F23:F25)+SUM(F27:F29)+SUM(F31:F34)</f>
        <v>0</v>
      </c>
      <c r="G35" s="1005">
        <f>SUM(G20:G21)+SUM(G23:G25)+SUM(G27:G29)+SUM(G31:G34)</f>
        <v>0</v>
      </c>
      <c r="H35" s="1005">
        <f>SUM(H20:H21)+SUM(H23:H25)+SUM(H27:H29)+SUM(H31:H34)</f>
        <v>0</v>
      </c>
      <c r="J35" s="2680"/>
      <c r="K35" s="2680"/>
    </row>
    <row r="36" spans="1:13" ht="12.75" customHeight="1" thickTop="1" x14ac:dyDescent="0.25">
      <c r="A36" s="1006"/>
      <c r="B36" s="1006"/>
      <c r="C36" s="1006"/>
      <c r="D36" s="1006"/>
      <c r="E36" s="1006"/>
      <c r="F36" s="1006"/>
      <c r="G36" s="1006"/>
      <c r="H36" s="1006"/>
    </row>
    <row r="37" spans="1:13" ht="12.75" customHeight="1" x14ac:dyDescent="0.25">
      <c r="A37" s="868" t="s">
        <v>634</v>
      </c>
      <c r="B37" s="1007" t="s">
        <v>1446</v>
      </c>
      <c r="C37" s="869"/>
      <c r="D37" s="998"/>
      <c r="E37" s="998"/>
      <c r="F37" s="998"/>
      <c r="G37" s="998"/>
      <c r="H37" s="998"/>
    </row>
    <row r="38" spans="1:13" ht="12.75" customHeight="1" x14ac:dyDescent="0.25">
      <c r="A38" s="868"/>
      <c r="B38" s="1007" t="s">
        <v>1447</v>
      </c>
      <c r="C38" s="869"/>
      <c r="D38" s="998"/>
      <c r="E38" s="998"/>
      <c r="F38" s="998"/>
      <c r="G38" s="998"/>
      <c r="H38" s="998"/>
    </row>
    <row r="39" spans="1:13" ht="12.75" customHeight="1" x14ac:dyDescent="0.25">
      <c r="A39" s="868"/>
      <c r="B39" s="1007" t="s">
        <v>1291</v>
      </c>
      <c r="C39" s="869"/>
      <c r="D39" s="998"/>
      <c r="E39" s="998"/>
      <c r="F39" s="998"/>
      <c r="G39" s="998"/>
      <c r="H39" s="998"/>
    </row>
    <row r="40" spans="1:13" ht="15" customHeight="1" x14ac:dyDescent="0.25">
      <c r="A40" s="868" t="s">
        <v>636</v>
      </c>
      <c r="B40" s="1007" t="s">
        <v>482</v>
      </c>
      <c r="C40" s="869"/>
      <c r="D40" s="998"/>
      <c r="E40" s="998"/>
      <c r="F40" s="998"/>
      <c r="G40" s="998"/>
      <c r="H40" s="998"/>
    </row>
    <row r="41" spans="1:13" ht="12.75" customHeight="1" x14ac:dyDescent="0.25">
      <c r="A41" s="868"/>
      <c r="B41" s="869"/>
      <c r="C41" s="869"/>
      <c r="D41" s="998"/>
      <c r="E41" s="998"/>
      <c r="F41" s="998"/>
      <c r="G41" s="998"/>
      <c r="H41" s="998"/>
    </row>
    <row r="42" spans="1:13" x14ac:dyDescent="0.25">
      <c r="D42" s="2682" t="s">
        <v>3505</v>
      </c>
      <c r="E42" s="2682"/>
      <c r="F42" s="2682"/>
      <c r="G42" s="2682"/>
      <c r="H42" s="2682"/>
    </row>
    <row r="43" spans="1:13" ht="17.100000000000001" customHeight="1" x14ac:dyDescent="0.25">
      <c r="A43" s="998" t="s">
        <v>378</v>
      </c>
      <c r="B43" s="998"/>
      <c r="C43" s="998"/>
      <c r="D43" s="1395">
        <f>D23+D24+D25+D21</f>
        <v>0</v>
      </c>
      <c r="E43" s="1395">
        <f>E23+E24+E25+E21</f>
        <v>0</v>
      </c>
      <c r="F43" s="1395">
        <f>F23+F24+F25+F21</f>
        <v>0</v>
      </c>
      <c r="G43" s="1395">
        <f>G23+G24+G25+G21</f>
        <v>0</v>
      </c>
      <c r="H43" s="1395">
        <f>H23+H24+H25+H21</f>
        <v>0</v>
      </c>
    </row>
    <row r="44" spans="1:13" ht="17.100000000000001" customHeight="1" thickBot="1" x14ac:dyDescent="0.3">
      <c r="A44" s="998" t="s">
        <v>923</v>
      </c>
      <c r="B44" s="998"/>
      <c r="C44" s="998"/>
      <c r="D44" s="1008">
        <f>D20+SUM(D27:D29)+SUM(D31:D34)</f>
        <v>0</v>
      </c>
      <c r="E44" s="1008">
        <f>E20+SUM(E27:E29)+SUM(E31:E34)</f>
        <v>0</v>
      </c>
      <c r="F44" s="1008">
        <f>F20+SUM(F27:F29)+SUM(F31:F34)</f>
        <v>0</v>
      </c>
      <c r="G44" s="1008">
        <f>G20+SUM(G27:G29)+SUM(G31:G34)</f>
        <v>0</v>
      </c>
      <c r="H44" s="1008">
        <f>H20+SUM(H27:H29)+SUM(H31:H34)</f>
        <v>0</v>
      </c>
    </row>
    <row r="45" spans="1:13" ht="17.100000000000001" customHeight="1" thickBot="1" x14ac:dyDescent="0.3">
      <c r="A45" s="998" t="s">
        <v>1889</v>
      </c>
      <c r="B45" s="998"/>
      <c r="C45" s="998"/>
      <c r="D45" s="1009">
        <f>SUM(D43:D44)</f>
        <v>0</v>
      </c>
      <c r="E45" s="1009">
        <f>SUM(E43:E44)</f>
        <v>0</v>
      </c>
      <c r="F45" s="1009">
        <f>SUM(F43:F44)</f>
        <v>0</v>
      </c>
      <c r="G45" s="1009">
        <f>SUM(G43:G44)</f>
        <v>0</v>
      </c>
      <c r="H45" s="1009">
        <f>SUM(H43:H44)</f>
        <v>0</v>
      </c>
    </row>
    <row r="46" spans="1:13" ht="17.100000000000001" customHeight="1" thickTop="1" x14ac:dyDescent="0.25">
      <c r="A46" s="2675" t="s">
        <v>593</v>
      </c>
      <c r="B46" s="2675"/>
      <c r="C46" s="2675"/>
      <c r="D46" s="1010"/>
      <c r="E46" s="1010" t="str">
        <f>IF(E47&lt;&gt;0,"Out of Balance","")</f>
        <v/>
      </c>
      <c r="F46" s="1010" t="str">
        <f>IF(F47&lt;&gt;0,"Out of Balance","")</f>
        <v/>
      </c>
      <c r="G46" s="1010" t="str">
        <f>IF(G47&lt;&gt;0,"Out of Balance","")</f>
        <v/>
      </c>
      <c r="H46" s="1010" t="str">
        <f>IF(H47&lt;&gt;0,"Out of Balance","")</f>
        <v/>
      </c>
    </row>
    <row r="48" spans="1:13" x14ac:dyDescent="0.25">
      <c r="A48" s="272" t="s">
        <v>4172</v>
      </c>
      <c r="B48"/>
      <c r="C48"/>
      <c r="D48"/>
      <c r="E48"/>
      <c r="F48"/>
    </row>
    <row r="49" spans="1:8" x14ac:dyDescent="0.25">
      <c r="A49" s="272" t="s">
        <v>4173</v>
      </c>
      <c r="B49"/>
      <c r="C49"/>
      <c r="D49"/>
      <c r="E49"/>
      <c r="F49"/>
    </row>
    <row r="50" spans="1:8" ht="7.5" customHeight="1" x14ac:dyDescent="0.25">
      <c r="A50" s="272"/>
      <c r="B50"/>
      <c r="C50"/>
      <c r="D50"/>
      <c r="E50"/>
      <c r="F50"/>
    </row>
    <row r="51" spans="1:8" x14ac:dyDescent="0.25">
      <c r="A51" s="1584"/>
      <c r="B51" s="1584"/>
      <c r="C51" s="1584"/>
      <c r="D51" s="1584"/>
      <c r="E51" s="1584"/>
      <c r="F51" s="1584"/>
      <c r="G51" s="1584"/>
      <c r="H51" s="1584"/>
    </row>
    <row r="52" spans="1:8" x14ac:dyDescent="0.25">
      <c r="A52" s="1585"/>
      <c r="B52" s="1585"/>
      <c r="C52" s="1585"/>
      <c r="D52" s="1585"/>
      <c r="E52" s="1585"/>
      <c r="F52" s="1585"/>
      <c r="G52" s="1585"/>
      <c r="H52" s="1585"/>
    </row>
    <row r="53" spans="1:8" x14ac:dyDescent="0.25">
      <c r="A53" s="1585"/>
      <c r="B53" s="1585"/>
      <c r="C53" s="1585"/>
      <c r="D53" s="1585"/>
      <c r="E53" s="1585"/>
      <c r="F53" s="1585"/>
      <c r="G53" s="1585"/>
      <c r="H53" s="1585"/>
    </row>
    <row r="54" spans="1:8" x14ac:dyDescent="0.25">
      <c r="A54" s="1585"/>
      <c r="B54" s="1585"/>
      <c r="C54" s="1585"/>
      <c r="D54" s="1585"/>
      <c r="E54" s="1585"/>
      <c r="F54" s="1585"/>
      <c r="G54" s="1585"/>
      <c r="H54" s="1585"/>
    </row>
  </sheetData>
  <sheetProtection algorithmName="SHA-512" hashValue="mj0QatZVGjx+bPuZs3cHZQKm/LoqcNVtc52GXvbGOcz4NcbAQviCs+WK36XLSoeAEzXMD+ZZ6m8j0B6oyxSeXQ==" saltValue="OXGvZUiviOJfg3kbOUP1/A==" spinCount="100000" sheet="1" objects="1" scenarios="1" autoFilter="0"/>
  <customSheetViews>
    <customSheetView guid="{B08879A4-635B-4C39-9937-AC7883D562FC}" fitToPage="1" topLeftCell="A13">
      <selection activeCell="A28" sqref="A28:C28"/>
      <pageMargins left="0.75" right="0.5" top="0.5" bottom="0.75" header="0.3" footer="0.3"/>
      <pageSetup scale="83" orientation="portrait" r:id="rId1"/>
      <headerFooter>
        <oddFooter>&amp;R&amp;A</oddFooter>
      </headerFooter>
    </customSheetView>
    <customSheetView guid="{9FCFC836-1CA5-48BF-958D-24D2EA94B219}" fitToPage="1" topLeftCell="A13">
      <selection activeCell="A28" sqref="A28:C28"/>
      <pageMargins left="0.75" right="0.5" top="0.5" bottom="0.75" header="0.3" footer="0.3"/>
      <pageSetup scale="83" orientation="portrait" r:id="rId2"/>
      <headerFooter>
        <oddFooter>&amp;R&amp;A</oddFooter>
      </headerFooter>
    </customSheetView>
  </customSheetViews>
  <mergeCells count="33">
    <mergeCell ref="D42:H42"/>
    <mergeCell ref="A46:C46"/>
    <mergeCell ref="A29:C29"/>
    <mergeCell ref="A31:C31"/>
    <mergeCell ref="A32:C32"/>
    <mergeCell ref="A33:C33"/>
    <mergeCell ref="A34:C34"/>
    <mergeCell ref="J34:K35"/>
    <mergeCell ref="A35:C35"/>
    <mergeCell ref="A20:C20"/>
    <mergeCell ref="A23:C23"/>
    <mergeCell ref="A24:C24"/>
    <mergeCell ref="A25:C25"/>
    <mergeCell ref="A27:C27"/>
    <mergeCell ref="A28:C28"/>
    <mergeCell ref="J20:K20"/>
    <mergeCell ref="A21:C21"/>
    <mergeCell ref="A1:H1"/>
    <mergeCell ref="A2:H2"/>
    <mergeCell ref="A3:H3"/>
    <mergeCell ref="A4:H4"/>
    <mergeCell ref="F6:I6"/>
    <mergeCell ref="A14:H14"/>
    <mergeCell ref="J21:K21"/>
    <mergeCell ref="F7:I7"/>
    <mergeCell ref="F8:I8"/>
    <mergeCell ref="F9:I9"/>
    <mergeCell ref="A17:C17"/>
    <mergeCell ref="D18:D19"/>
    <mergeCell ref="E18:E19"/>
    <mergeCell ref="F18:F19"/>
    <mergeCell ref="G18:G19"/>
    <mergeCell ref="H18:H19"/>
  </mergeCells>
  <conditionalFormatting sqref="I1:I3">
    <cfRule type="cellIs" dxfId="101" priority="6" stopIfTrue="1" operator="equal">
      <formula>"na"</formula>
    </cfRule>
  </conditionalFormatting>
  <conditionalFormatting sqref="I2:J3 I1">
    <cfRule type="cellIs" dxfId="100" priority="5" stopIfTrue="1" operator="equal">
      <formula>"na"</formula>
    </cfRule>
  </conditionalFormatting>
  <conditionalFormatting sqref="I1">
    <cfRule type="cellIs" dxfId="99" priority="4" stopIfTrue="1" operator="equal">
      <formula>"na"</formula>
    </cfRule>
  </conditionalFormatting>
  <conditionalFormatting sqref="H5">
    <cfRule type="cellIs" dxfId="98" priority="3" stopIfTrue="1" operator="equal">
      <formula>"na"</formula>
    </cfRule>
  </conditionalFormatting>
  <conditionalFormatting sqref="H5">
    <cfRule type="cellIs" dxfId="97" priority="2" stopIfTrue="1" operator="equal">
      <formula>"na"</formula>
    </cfRule>
  </conditionalFormatting>
  <conditionalFormatting sqref="H5">
    <cfRule type="cellIs" dxfId="96" priority="1" stopIfTrue="1" operator="equal">
      <formula>"na"</formula>
    </cfRule>
  </conditionalFormatting>
  <dataValidations count="4">
    <dataValidation type="decimal" operator="greaterThanOrEqual" allowBlank="1" showInputMessage="1" showErrorMessage="1" errorTitle="Invalid Data" error="Amount cannot be negative" sqref="D23:H25 D20:H21 D31:H33 D27:H29" xr:uid="{00000000-0002-0000-1E00-000000000000}">
      <formula1>0</formula1>
    </dataValidation>
    <dataValidation type="list" allowBlank="1" showInputMessage="1" showErrorMessage="1" sqref="B30:C30 B26:C26" xr:uid="{00000000-0002-0000-1E00-000001000000}">
      <formula1>function</formula1>
    </dataValidation>
    <dataValidation type="decimal" operator="lessThanOrEqual" allowBlank="1" showInputMessage="1" showErrorMessage="1" errorTitle="Invalid Data" error="Cannot have positive &quot;Unassigned&quot; fund balance in funds other than the General Fund" sqref="D34:H34" xr:uid="{00000000-0002-0000-1E00-000002000000}">
      <formula1>0</formula1>
    </dataValidation>
    <dataValidation type="textLength" operator="equal" allowBlank="1" showInputMessage="1" showErrorMessage="1" errorTitle="Invalid data!" error="GASB number must be 4 digits." sqref="D17:H17" xr:uid="{00000000-0002-0000-1E00-000003000000}">
      <formula1>4</formula1>
    </dataValidation>
  </dataValidations>
  <hyperlinks>
    <hyperlink ref="A1:H1" location="Index!A1" display="Index!A1" xr:uid="{00000000-0004-0000-1E00-000000000000}"/>
    <hyperlink ref="D12" r:id="rId3" xr:uid="{E2ABBDA3-5EAB-42B5-B541-EF5D7E55E48E}"/>
  </hyperlinks>
  <pageMargins left="0.75" right="0.5" top="0.5" bottom="0.75" header="0.3" footer="0.3"/>
  <pageSetup scale="79" orientation="portrait" r:id="rId4"/>
  <headerFooter>
    <oddFooter>&amp;R&amp;A</oddFooter>
  </headerFooter>
  <rowBreaks count="1" manualBreakCount="1">
    <brk id="55" max="8"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pageSetUpPr fitToPage="1"/>
  </sheetPr>
  <dimension ref="A1:M49"/>
  <sheetViews>
    <sheetView workbookViewId="0">
      <selection activeCell="O19" sqref="O19"/>
    </sheetView>
  </sheetViews>
  <sheetFormatPr defaultColWidth="9.42578125" defaultRowHeight="15" x14ac:dyDescent="0.25"/>
  <cols>
    <col min="1" max="1" width="12.5703125" style="867" customWidth="1"/>
    <col min="2" max="2" width="8.5703125" style="867" customWidth="1"/>
    <col min="3" max="3" width="12.42578125" style="867" customWidth="1"/>
    <col min="4" max="8" width="15.5703125" style="867" customWidth="1"/>
    <col min="9" max="9" width="1.42578125" style="867" customWidth="1"/>
    <col min="10" max="10" width="4" style="867" customWidth="1"/>
    <col min="11" max="11" width="52.5703125" style="867" customWidth="1"/>
    <col min="12" max="13" width="11.85546875" style="867" bestFit="1" customWidth="1"/>
    <col min="14" max="16384" width="9.42578125" style="867"/>
  </cols>
  <sheetData>
    <row r="1" spans="1:9" ht="18" customHeight="1" x14ac:dyDescent="0.25">
      <c r="A1" s="2449" t="str">
        <f>Index!A1</f>
        <v xml:space="preserve">                                                               Office of the State Controller                                                                </v>
      </c>
      <c r="B1" s="2449"/>
      <c r="C1" s="2449"/>
      <c r="D1" s="2449"/>
      <c r="E1" s="2449"/>
      <c r="F1" s="2449"/>
      <c r="G1" s="2449"/>
      <c r="H1" s="2449"/>
      <c r="I1" s="1424"/>
    </row>
    <row r="2" spans="1:9" ht="18" customHeight="1" x14ac:dyDescent="0.25">
      <c r="A2" s="2650" t="str">
        <f>Index!A2</f>
        <v>2022 ACFR Worksheets</v>
      </c>
      <c r="B2" s="2650"/>
      <c r="C2" s="2650"/>
      <c r="D2" s="2650"/>
      <c r="E2" s="2650"/>
      <c r="F2" s="2650"/>
      <c r="G2" s="2650"/>
      <c r="H2" s="2650"/>
    </row>
    <row r="3" spans="1:9" ht="18" customHeight="1" x14ac:dyDescent="0.25">
      <c r="A3" s="2650" t="s">
        <v>1437</v>
      </c>
      <c r="B3" s="2650"/>
      <c r="C3" s="2650"/>
      <c r="D3" s="2650"/>
      <c r="E3" s="2650"/>
      <c r="F3" s="2650"/>
      <c r="G3" s="2650"/>
      <c r="H3" s="2650"/>
    </row>
    <row r="4" spans="1:9" ht="18" customHeight="1" x14ac:dyDescent="0.25">
      <c r="A4" s="2650" t="s">
        <v>3509</v>
      </c>
      <c r="B4" s="2650"/>
      <c r="C4" s="2650"/>
      <c r="D4" s="2650"/>
      <c r="E4" s="2650"/>
      <c r="F4" s="2650"/>
      <c r="G4" s="2650"/>
      <c r="H4" s="2650"/>
    </row>
    <row r="5" spans="1:9" ht="18" customHeight="1" x14ac:dyDescent="0.25">
      <c r="A5" s="985"/>
      <c r="B5" s="985"/>
      <c r="C5" s="985"/>
      <c r="D5" s="985"/>
      <c r="E5" s="985"/>
      <c r="F5" s="986" t="s">
        <v>1091</v>
      </c>
      <c r="G5" s="985"/>
      <c r="H5" s="1431" t="str">
        <f>IF(Index!$B$55="na", "NA", "")</f>
        <v/>
      </c>
    </row>
    <row r="6" spans="1:9" ht="18" customHeight="1" x14ac:dyDescent="0.25">
      <c r="A6" s="985"/>
      <c r="B6" s="985"/>
      <c r="C6" s="987"/>
      <c r="D6" s="985"/>
      <c r="E6" s="988" t="s">
        <v>327</v>
      </c>
      <c r="F6" s="2437" t="str">
        <f>+Index!$E$10</f>
        <v>01</v>
      </c>
      <c r="G6" s="2437"/>
      <c r="H6" s="2437"/>
      <c r="I6" s="2437"/>
    </row>
    <row r="7" spans="1:9" ht="18" customHeight="1" x14ac:dyDescent="0.25">
      <c r="A7" s="985"/>
      <c r="B7" s="985"/>
      <c r="C7" s="985"/>
      <c r="D7" s="985"/>
      <c r="E7" s="988" t="s">
        <v>1154</v>
      </c>
      <c r="F7" s="2433" t="str">
        <f>+Index!$E$11</f>
        <v>North Carolina General Assembly</v>
      </c>
      <c r="G7" s="2433"/>
      <c r="H7" s="2433"/>
      <c r="I7" s="2433"/>
    </row>
    <row r="8" spans="1:9" ht="18" customHeight="1" x14ac:dyDescent="0.25">
      <c r="A8" s="985" t="s">
        <v>477</v>
      </c>
      <c r="B8" s="985"/>
      <c r="C8" s="989" t="s">
        <v>146</v>
      </c>
      <c r="D8" s="985"/>
      <c r="E8" s="988" t="s">
        <v>972</v>
      </c>
      <c r="F8" s="2434" t="str">
        <f>CONCATENATE(Index!$E$12," ",Index!$E$14)</f>
        <v xml:space="preserve"> </v>
      </c>
      <c r="G8" s="2434"/>
      <c r="H8" s="2434"/>
      <c r="I8" s="2434"/>
    </row>
    <row r="9" spans="1:9" ht="18" customHeight="1" x14ac:dyDescent="0.25">
      <c r="A9" s="985"/>
      <c r="B9" s="985"/>
      <c r="C9" s="987"/>
      <c r="D9" s="985"/>
      <c r="E9" s="988" t="s">
        <v>348</v>
      </c>
      <c r="F9" s="2434">
        <f>+Index!$E$13</f>
        <v>0</v>
      </c>
      <c r="G9" s="2434"/>
      <c r="H9" s="2434"/>
      <c r="I9" s="2434"/>
    </row>
    <row r="10" spans="1:9" ht="14.1" customHeight="1" thickBot="1" x14ac:dyDescent="0.3">
      <c r="A10" s="990"/>
      <c r="B10" s="990"/>
      <c r="C10" s="990"/>
      <c r="D10" s="990"/>
      <c r="E10" s="990"/>
      <c r="F10" s="990"/>
      <c r="G10" s="990"/>
      <c r="H10" s="990"/>
    </row>
    <row r="11" spans="1:9" x14ac:dyDescent="0.25">
      <c r="A11" s="985"/>
      <c r="B11" s="985"/>
      <c r="C11" s="985"/>
      <c r="D11" s="985"/>
      <c r="E11" s="985"/>
      <c r="F11" s="985"/>
      <c r="G11" s="985"/>
      <c r="H11" s="985"/>
    </row>
    <row r="12" spans="1:9" x14ac:dyDescent="0.25">
      <c r="A12" s="1721" t="s">
        <v>4240</v>
      </c>
      <c r="B12" s="985"/>
      <c r="C12" s="1161" t="s">
        <v>1438</v>
      </c>
      <c r="D12" s="1161"/>
      <c r="E12" s="985"/>
      <c r="G12" s="985"/>
      <c r="H12" s="985"/>
    </row>
    <row r="13" spans="1:9" ht="17.100000000000001" customHeight="1" x14ac:dyDescent="0.25">
      <c r="A13" s="985"/>
      <c r="B13" s="985"/>
      <c r="C13" s="985"/>
      <c r="D13" s="985"/>
      <c r="E13" s="985"/>
      <c r="F13" s="985"/>
      <c r="G13" s="985"/>
      <c r="H13" s="985"/>
    </row>
    <row r="14" spans="1:9" ht="30" customHeight="1" x14ac:dyDescent="0.25">
      <c r="A14" s="2651" t="s">
        <v>4883</v>
      </c>
      <c r="B14" s="2652"/>
      <c r="C14" s="2653"/>
      <c r="D14" s="2653"/>
      <c r="E14" s="2653"/>
      <c r="F14" s="2653"/>
      <c r="G14" s="2653"/>
      <c r="H14" s="2654"/>
    </row>
    <row r="15" spans="1:9" ht="17.100000000000001" customHeight="1" x14ac:dyDescent="0.25">
      <c r="A15" s="991"/>
      <c r="B15" s="991"/>
      <c r="C15" s="992"/>
      <c r="D15" s="992"/>
      <c r="E15" s="992"/>
      <c r="F15" s="992"/>
      <c r="G15" s="992"/>
      <c r="H15" s="992"/>
    </row>
    <row r="16" spans="1:9" x14ac:dyDescent="0.25">
      <c r="A16" s="985"/>
      <c r="B16" s="985"/>
      <c r="C16" s="985"/>
      <c r="D16" s="993" t="s">
        <v>1157</v>
      </c>
      <c r="E16" s="994" t="s">
        <v>1157</v>
      </c>
      <c r="F16" s="994" t="s">
        <v>1157</v>
      </c>
      <c r="G16" s="994" t="s">
        <v>1157</v>
      </c>
      <c r="H16" s="994" t="s">
        <v>1157</v>
      </c>
    </row>
    <row r="17" spans="1:13" x14ac:dyDescent="0.25">
      <c r="A17" s="2655" t="s">
        <v>902</v>
      </c>
      <c r="B17" s="2655"/>
      <c r="C17" s="2655"/>
      <c r="D17" s="995"/>
      <c r="E17" s="996"/>
      <c r="F17" s="995"/>
      <c r="G17" s="995"/>
      <c r="H17" s="997"/>
    </row>
    <row r="18" spans="1:13" ht="17.100000000000001" customHeight="1" x14ac:dyDescent="0.25">
      <c r="A18" s="868" t="s">
        <v>1439</v>
      </c>
      <c r="B18" s="998"/>
      <c r="C18" s="869"/>
      <c r="D18" s="2656"/>
      <c r="E18" s="2656"/>
      <c r="F18" s="2656"/>
      <c r="G18" s="2656"/>
      <c r="H18" s="2656"/>
    </row>
    <row r="19" spans="1:13" ht="17.100000000000001" customHeight="1" x14ac:dyDescent="0.25">
      <c r="A19" s="998" t="s">
        <v>1440</v>
      </c>
      <c r="B19" s="998"/>
      <c r="C19" s="869"/>
      <c r="D19" s="2657"/>
      <c r="E19" s="2657"/>
      <c r="F19" s="2657"/>
      <c r="G19" s="2657"/>
      <c r="H19" s="2657"/>
      <c r="L19" s="2163"/>
    </row>
    <row r="20" spans="1:13" ht="17.100000000000001" customHeight="1" x14ac:dyDescent="0.25">
      <c r="A20" s="2659" t="s">
        <v>1450</v>
      </c>
      <c r="B20" s="2659"/>
      <c r="C20" s="2659"/>
      <c r="D20" s="1002"/>
      <c r="E20" s="1003"/>
      <c r="F20" s="1003"/>
      <c r="G20" s="1003"/>
      <c r="H20" s="1003"/>
      <c r="L20" s="2163"/>
      <c r="M20" s="2163"/>
    </row>
    <row r="21" spans="1:13" ht="17.100000000000001" customHeight="1" x14ac:dyDescent="0.25">
      <c r="A21" s="2663" t="s">
        <v>3935</v>
      </c>
      <c r="B21" s="2664"/>
      <c r="C21" s="2664"/>
      <c r="D21" s="999"/>
      <c r="E21" s="999"/>
      <c r="F21" s="999"/>
      <c r="G21" s="999"/>
      <c r="H21" s="1000"/>
      <c r="L21" s="2163" t="s">
        <v>5058</v>
      </c>
      <c r="M21" s="2163" t="str">
        <f t="shared" ref="M21" si="0">IF(A21="General Government","Gen Gov",
IF(A21="Primary and secondary education","Prim Sec Ed",
IF(A21="Higher Education","Higher Ed",
IF(A21="Higher education student aid","Higher Ed stu aid",
IF(A21="Health and human services","HHS",
IF(A21="Economic development","Econ Dev",
IF(A21="Environment and natural resources","ENR",
IF(A21="Public safety, corrections, and regulation","Public Safety",
IF(A21="Transportation","Trans",
IF(A21="Highway construction/preservation","Highway Const",
IF(A21="Highway maintenance","Highway Const",
IF(A21="Debt Service","Debt Serv",
IF(A21="Agriculture","Agric",
IF(A21="Capital projects/repairs and renovations","CapProjectsReno",
IF(A21="Disaster relief (OSC only)","Relief",
IF(A21="Subsequent year's budget (OSC only)","SubsYearBudget",
"No Function"))))))))))))))))</f>
        <v>No Function</v>
      </c>
    </row>
    <row r="22" spans="1:13" ht="28.35" customHeight="1" x14ac:dyDescent="0.25">
      <c r="A22" s="2659" t="s">
        <v>1441</v>
      </c>
      <c r="B22" s="2659"/>
      <c r="C22" s="2659"/>
      <c r="D22" s="999"/>
      <c r="E22" s="999"/>
      <c r="F22" s="999"/>
      <c r="G22" s="999"/>
      <c r="H22" s="1000"/>
      <c r="J22" s="2665" t="s">
        <v>4884</v>
      </c>
      <c r="K22" s="2665"/>
      <c r="L22" s="2163" t="s">
        <v>5057</v>
      </c>
      <c r="M22" s="2163" t="s">
        <v>4969</v>
      </c>
    </row>
    <row r="23" spans="1:13" ht="17.100000000000001" customHeight="1" x14ac:dyDescent="0.25">
      <c r="A23" s="998" t="s">
        <v>792</v>
      </c>
      <c r="B23" s="869"/>
      <c r="C23" s="869"/>
      <c r="D23" s="1002"/>
      <c r="E23" s="1003"/>
      <c r="F23" s="1003"/>
      <c r="G23" s="1003"/>
      <c r="H23" s="1003"/>
      <c r="J23" s="2668"/>
      <c r="K23" s="2668"/>
      <c r="L23" s="2163"/>
      <c r="M23" s="2163"/>
    </row>
    <row r="24" spans="1:13" ht="17.100000000000001" customHeight="1" x14ac:dyDescent="0.25">
      <c r="A24" s="2663" t="s">
        <v>3935</v>
      </c>
      <c r="B24" s="2664"/>
      <c r="C24" s="2664"/>
      <c r="D24" s="999"/>
      <c r="E24" s="999"/>
      <c r="F24" s="999"/>
      <c r="G24" s="999"/>
      <c r="H24" s="999"/>
      <c r="J24" s="2668"/>
      <c r="K24" s="2668"/>
      <c r="L24" s="2163" t="s">
        <v>378</v>
      </c>
      <c r="M24" s="2163" t="str">
        <f>IF(A24="General Government","Gen Gov",
IF(A24="Primary and secondary education","Prim Sec Ed",
IF(A24="Higher Education","Higher Ed",
IF(A24="Higher education student aid","Higher Ed stu aid",
IF(A24="Health and human services","HHS",
IF(A24="Economic development","Econ Dev",
IF(A24="Environment and natural resources","ENR",
IF(A24="Public safety, corrections, and regulation","Public Safety",
IF(A24="Transportation","Trans",
IF(A24="Highway construction/preservation","Highway Const",
IF(A24="Highway maintenance","Highway Const",
IF(A24="Debt Service","Debt Serv",
IF(A24="Agriculture","Agric",
IF(A24="Capital projects/repairs and renovations","CapProjectsReno",
IF(A24="Disaster relief (OSC only)","Relief",
IF(A24="Subsequent year's budget (OSC only)","SubsYearBudget",
"No Function"))))))))))))))))</f>
        <v>No Function</v>
      </c>
    </row>
    <row r="25" spans="1:13" ht="17.100000000000001" customHeight="1" x14ac:dyDescent="0.25">
      <c r="A25" s="2663" t="s">
        <v>3935</v>
      </c>
      <c r="B25" s="2664"/>
      <c r="C25" s="2664"/>
      <c r="D25" s="999"/>
      <c r="E25" s="999"/>
      <c r="F25" s="999"/>
      <c r="G25" s="999"/>
      <c r="H25" s="1000"/>
      <c r="J25" s="2669"/>
      <c r="K25" s="2669"/>
      <c r="L25" s="2163" t="s">
        <v>378</v>
      </c>
      <c r="M25" s="2163" t="str">
        <f t="shared" ref="M25:M34" si="1">IF(A25="General Government","Gen Gov",
IF(A25="Primary and secondary education","Prim Sec Ed",
IF(A25="Higher Education","Higher Ed",
IF(A25="Higher education student aid","Higher Ed stu aid",
IF(A25="Health and human services","HHS",
IF(A25="Economic development","Econ Dev",
IF(A25="Environment and natural resources","ENR",
IF(A25="Public safety, corrections, and regulation","Public Safety",
IF(A25="Transportation","Trans",
IF(A25="Highway construction/preservation","Highway Const",
IF(A25="Highway maintenance","Highway Const",
IF(A25="Debt Service","Debt Serv",
IF(A25="Agriculture","Agric",
IF(A25="Capital projects/repairs and renovations","CapProjectsReno",
IF(A25="Disaster relief (OSC only)","Relief",
IF(A25="Subsequent year's budget (OSC only)","SubsYearBudget",
"No Function"))))))))))))))))</f>
        <v>No Function</v>
      </c>
    </row>
    <row r="26" spans="1:13" ht="17.100000000000001" customHeight="1" x14ac:dyDescent="0.25">
      <c r="A26" s="2663" t="s">
        <v>3935</v>
      </c>
      <c r="B26" s="2664"/>
      <c r="C26" s="2664"/>
      <c r="D26" s="999"/>
      <c r="E26" s="999"/>
      <c r="F26" s="999"/>
      <c r="G26" s="999"/>
      <c r="H26" s="1000"/>
      <c r="L26" s="2163" t="s">
        <v>378</v>
      </c>
      <c r="M26" s="2163" t="str">
        <f t="shared" si="1"/>
        <v>No Function</v>
      </c>
    </row>
    <row r="27" spans="1:13" ht="17.100000000000001" customHeight="1" x14ac:dyDescent="0.25">
      <c r="A27" s="998" t="s">
        <v>1443</v>
      </c>
      <c r="B27" s="1004"/>
      <c r="C27" s="1004"/>
      <c r="D27" s="1002"/>
      <c r="E27" s="1002"/>
      <c r="F27" s="1002"/>
      <c r="G27" s="1002"/>
      <c r="H27" s="1003"/>
      <c r="L27" s="2163"/>
      <c r="M27" s="2163"/>
    </row>
    <row r="28" spans="1:13" ht="17.100000000000001" customHeight="1" x14ac:dyDescent="0.25">
      <c r="A28" s="2663" t="s">
        <v>3935</v>
      </c>
      <c r="B28" s="2664"/>
      <c r="C28" s="2664"/>
      <c r="D28" s="999"/>
      <c r="E28" s="999"/>
      <c r="F28" s="999"/>
      <c r="G28" s="999"/>
      <c r="H28" s="1000"/>
      <c r="L28" s="2163" t="s">
        <v>5062</v>
      </c>
      <c r="M28" s="2163" t="str">
        <f t="shared" si="1"/>
        <v>No Function</v>
      </c>
    </row>
    <row r="29" spans="1:13" ht="17.100000000000001" customHeight="1" x14ac:dyDescent="0.25">
      <c r="A29" s="2663" t="s">
        <v>3935</v>
      </c>
      <c r="B29" s="2664"/>
      <c r="C29" s="2664"/>
      <c r="D29" s="999"/>
      <c r="E29" s="999"/>
      <c r="F29" s="999"/>
      <c r="G29" s="999"/>
      <c r="H29" s="999"/>
      <c r="L29" s="2163" t="s">
        <v>5062</v>
      </c>
      <c r="M29" s="2163" t="str">
        <f t="shared" si="1"/>
        <v>No Function</v>
      </c>
    </row>
    <row r="30" spans="1:13" ht="17.100000000000001" customHeight="1" x14ac:dyDescent="0.25">
      <c r="A30" s="2663" t="s">
        <v>3935</v>
      </c>
      <c r="B30" s="2664"/>
      <c r="C30" s="2664"/>
      <c r="D30" s="999"/>
      <c r="E30" s="999"/>
      <c r="F30" s="999"/>
      <c r="G30" s="999"/>
      <c r="H30" s="1000"/>
      <c r="L30" s="2163" t="s">
        <v>5062</v>
      </c>
      <c r="M30" s="2163" t="str">
        <f t="shared" si="1"/>
        <v>No Function</v>
      </c>
    </row>
    <row r="31" spans="1:13" ht="17.100000000000001" customHeight="1" x14ac:dyDescent="0.25">
      <c r="A31" s="998" t="s">
        <v>1444</v>
      </c>
      <c r="B31" s="1004"/>
      <c r="C31" s="1004"/>
      <c r="D31" s="1002"/>
      <c r="E31" s="1002"/>
      <c r="F31" s="1002"/>
      <c r="G31" s="1002"/>
      <c r="H31" s="1003"/>
      <c r="L31" s="2163"/>
      <c r="M31" s="2163"/>
    </row>
    <row r="32" spans="1:13" ht="17.100000000000001" customHeight="1" x14ac:dyDescent="0.25">
      <c r="A32" s="2663" t="s">
        <v>3935</v>
      </c>
      <c r="B32" s="2664"/>
      <c r="C32" s="2664"/>
      <c r="D32" s="999"/>
      <c r="E32" s="999"/>
      <c r="F32" s="999"/>
      <c r="G32" s="999"/>
      <c r="H32" s="1000"/>
      <c r="L32" s="2163" t="s">
        <v>1735</v>
      </c>
      <c r="M32" s="2163" t="str">
        <f t="shared" si="1"/>
        <v>No Function</v>
      </c>
    </row>
    <row r="33" spans="1:13" ht="17.100000000000001" customHeight="1" x14ac:dyDescent="0.25">
      <c r="A33" s="2663" t="s">
        <v>3935</v>
      </c>
      <c r="B33" s="2664"/>
      <c r="C33" s="2664"/>
      <c r="D33" s="999"/>
      <c r="E33" s="999"/>
      <c r="F33" s="999"/>
      <c r="G33" s="999"/>
      <c r="H33" s="1000"/>
      <c r="L33" s="2163" t="s">
        <v>1735</v>
      </c>
      <c r="M33" s="2163" t="str">
        <f t="shared" si="1"/>
        <v>No Function</v>
      </c>
    </row>
    <row r="34" spans="1:13" ht="17.100000000000001" customHeight="1" x14ac:dyDescent="0.25">
      <c r="A34" s="2663" t="s">
        <v>3935</v>
      </c>
      <c r="B34" s="2664"/>
      <c r="C34" s="2664"/>
      <c r="D34" s="999"/>
      <c r="E34" s="999"/>
      <c r="F34" s="999"/>
      <c r="G34" s="999"/>
      <c r="H34" s="1000"/>
      <c r="L34" s="2163" t="s">
        <v>1735</v>
      </c>
      <c r="M34" s="2163" t="str">
        <f t="shared" si="1"/>
        <v>No Function</v>
      </c>
    </row>
    <row r="35" spans="1:13" ht="17.100000000000001" customHeight="1" x14ac:dyDescent="0.25">
      <c r="A35" s="2676" t="s">
        <v>1448</v>
      </c>
      <c r="B35" s="2677"/>
      <c r="C35" s="2678"/>
      <c r="D35" s="999"/>
      <c r="E35" s="999"/>
      <c r="F35" s="999"/>
      <c r="G35" s="999"/>
      <c r="H35" s="1000"/>
      <c r="I35" s="1001"/>
      <c r="J35" s="2679" t="s">
        <v>1449</v>
      </c>
      <c r="K35" s="2680"/>
      <c r="L35" s="2163" t="s">
        <v>1445</v>
      </c>
      <c r="M35" s="2163" t="s">
        <v>4969</v>
      </c>
    </row>
    <row r="36" spans="1:13" ht="27.75" customHeight="1" thickBot="1" x14ac:dyDescent="0.3">
      <c r="A36" s="2681" t="s">
        <v>4885</v>
      </c>
      <c r="B36" s="2680"/>
      <c r="C36" s="2672"/>
      <c r="D36" s="1005">
        <f>SUM(D21:D22)+SUM(D24:D26)+SUM(D28:D30)+SUM(D32:D35)</f>
        <v>0</v>
      </c>
      <c r="E36" s="1005">
        <f t="shared" ref="E36:H36" si="2">SUM(E21:E22)+SUM(E24:E26)+SUM(E28:E30)+SUM(E32:E35)</f>
        <v>0</v>
      </c>
      <c r="F36" s="1005">
        <f t="shared" si="2"/>
        <v>0</v>
      </c>
      <c r="G36" s="1005">
        <f t="shared" si="2"/>
        <v>0</v>
      </c>
      <c r="H36" s="1005">
        <f t="shared" si="2"/>
        <v>0</v>
      </c>
      <c r="J36" s="2680"/>
      <c r="K36" s="2680"/>
    </row>
    <row r="37" spans="1:13" ht="12.75" customHeight="1" thickTop="1" x14ac:dyDescent="0.25">
      <c r="A37" s="1006"/>
      <c r="B37" s="1006"/>
      <c r="C37" s="1006"/>
      <c r="D37" s="1006"/>
      <c r="E37" s="1006"/>
      <c r="F37" s="1006"/>
      <c r="G37" s="1006"/>
      <c r="H37" s="1006"/>
    </row>
    <row r="38" spans="1:13" ht="12.75" customHeight="1" x14ac:dyDescent="0.25">
      <c r="A38" s="868" t="s">
        <v>634</v>
      </c>
      <c r="B38" s="1007" t="s">
        <v>1446</v>
      </c>
      <c r="C38" s="869"/>
      <c r="D38" s="998"/>
      <c r="E38" s="998"/>
      <c r="F38" s="998"/>
      <c r="G38" s="998"/>
      <c r="H38" s="998"/>
    </row>
    <row r="39" spans="1:13" ht="12.75" customHeight="1" x14ac:dyDescent="0.25">
      <c r="A39" s="868"/>
      <c r="B39" s="1007" t="s">
        <v>1447</v>
      </c>
      <c r="C39" s="869"/>
      <c r="D39" s="998"/>
      <c r="E39" s="998"/>
      <c r="F39" s="998"/>
      <c r="G39" s="998"/>
      <c r="H39" s="998"/>
    </row>
    <row r="40" spans="1:13" ht="12.75" customHeight="1" x14ac:dyDescent="0.25">
      <c r="A40" s="868"/>
      <c r="B40" s="1007" t="s">
        <v>1291</v>
      </c>
      <c r="C40" s="869"/>
      <c r="D40" s="998"/>
      <c r="E40" s="998"/>
      <c r="F40" s="998"/>
      <c r="G40" s="998"/>
      <c r="H40" s="998"/>
    </row>
    <row r="41" spans="1:13" ht="15" customHeight="1" x14ac:dyDescent="0.25">
      <c r="A41" s="868" t="s">
        <v>636</v>
      </c>
      <c r="B41" s="1007" t="s">
        <v>482</v>
      </c>
      <c r="C41" s="869"/>
      <c r="D41" s="998"/>
      <c r="E41" s="998"/>
      <c r="F41" s="998"/>
      <c r="G41" s="998"/>
      <c r="H41" s="998"/>
    </row>
    <row r="42" spans="1:13" ht="12.75" customHeight="1" x14ac:dyDescent="0.25">
      <c r="A42" s="868"/>
      <c r="B42" s="869"/>
      <c r="C42" s="869"/>
      <c r="D42" s="998"/>
      <c r="E42" s="998"/>
      <c r="F42" s="998"/>
      <c r="G42" s="998"/>
      <c r="H42" s="998"/>
    </row>
    <row r="43" spans="1:13" x14ac:dyDescent="0.25">
      <c r="D43" s="2682" t="s">
        <v>3505</v>
      </c>
      <c r="E43" s="2682"/>
      <c r="F43" s="2682"/>
      <c r="G43" s="2682"/>
      <c r="H43" s="2682"/>
    </row>
    <row r="44" spans="1:13" ht="17.100000000000001" customHeight="1" x14ac:dyDescent="0.25">
      <c r="A44" s="998" t="s">
        <v>378</v>
      </c>
      <c r="B44" s="998"/>
      <c r="C44" s="998"/>
      <c r="D44" s="1395">
        <f>D21+D24+D25+D26</f>
        <v>0</v>
      </c>
      <c r="E44" s="1395">
        <f t="shared" ref="E44:H44" si="3">E21+E24+E25+E26</f>
        <v>0</v>
      </c>
      <c r="F44" s="1395">
        <f t="shared" si="3"/>
        <v>0</v>
      </c>
      <c r="G44" s="1395">
        <f t="shared" si="3"/>
        <v>0</v>
      </c>
      <c r="H44" s="1395">
        <f t="shared" si="3"/>
        <v>0</v>
      </c>
    </row>
    <row r="45" spans="1:13" ht="17.100000000000001" customHeight="1" thickBot="1" x14ac:dyDescent="0.3">
      <c r="A45" s="998" t="s">
        <v>923</v>
      </c>
      <c r="B45" s="998"/>
      <c r="C45" s="998"/>
      <c r="D45" s="1396">
        <f>D22+SUM(D28:D30)+SUM(D32:D35)</f>
        <v>0</v>
      </c>
      <c r="E45" s="1396">
        <f>E22+SUM(E28:E30)+SUM(E32:E35)</f>
        <v>0</v>
      </c>
      <c r="F45" s="1396">
        <f>F22+SUM(F28:F30)+SUM(F32:F35)</f>
        <v>0</v>
      </c>
      <c r="G45" s="1396">
        <f>G22+SUM(G28:G30)+SUM(G32:G35)</f>
        <v>0</v>
      </c>
      <c r="H45" s="1396">
        <f>H22+SUM(H28:H30)+SUM(H32:H35)</f>
        <v>0</v>
      </c>
    </row>
    <row r="46" spans="1:13" ht="17.100000000000001" customHeight="1" thickBot="1" x14ac:dyDescent="0.3">
      <c r="A46" s="998" t="s">
        <v>1889</v>
      </c>
      <c r="B46" s="998"/>
      <c r="C46" s="998"/>
      <c r="D46" s="1009">
        <f>SUM(D44:D45)</f>
        <v>0</v>
      </c>
      <c r="E46" s="1009">
        <f>SUM(E44:E45)</f>
        <v>0</v>
      </c>
      <c r="F46" s="1009">
        <f>SUM(F44:F45)</f>
        <v>0</v>
      </c>
      <c r="G46" s="1009">
        <f>SUM(G44:G45)</f>
        <v>0</v>
      </c>
      <c r="H46" s="1009">
        <f>SUM(H44:H45)</f>
        <v>0</v>
      </c>
    </row>
    <row r="47" spans="1:13" ht="17.100000000000001" customHeight="1" thickTop="1" x14ac:dyDescent="0.25">
      <c r="A47" s="2675" t="s">
        <v>593</v>
      </c>
      <c r="B47" s="2675"/>
      <c r="C47" s="2675"/>
      <c r="D47" s="1010"/>
      <c r="E47" s="1010" t="str">
        <f>IF(E48&lt;&gt;0,"Out of Balance","")</f>
        <v/>
      </c>
      <c r="F47" s="1010" t="str">
        <f>IF(F48&lt;&gt;0,"Out of Balance","")</f>
        <v/>
      </c>
      <c r="G47" s="1010" t="str">
        <f>IF(G48&lt;&gt;0,"Out of Balance","")</f>
        <v/>
      </c>
      <c r="H47" s="1010" t="str">
        <f>IF(H48&lt;&gt;0,"Out of Balance","")</f>
        <v/>
      </c>
    </row>
    <row r="48" spans="1:13" x14ac:dyDescent="0.25">
      <c r="J48" s="2686" t="s">
        <v>3624</v>
      </c>
      <c r="K48" s="2686"/>
    </row>
    <row r="49" spans="1:11" x14ac:dyDescent="0.25">
      <c r="A49" s="2685" t="s">
        <v>3623</v>
      </c>
      <c r="B49" s="2685"/>
      <c r="C49" s="867" t="s">
        <v>3818</v>
      </c>
      <c r="G49" s="1442"/>
      <c r="H49" s="1473">
        <v>0</v>
      </c>
      <c r="J49" s="2686"/>
      <c r="K49" s="2686"/>
    </row>
  </sheetData>
  <sheetProtection algorithmName="SHA-512" hashValue="QXgmaZWO+Z2LQuocrq/Ihh71hqX53mVbSq5rrTBjJp431dpav+L1+RGf5UAmgsM75mRB7HP2ofSZZkCYTqe72Q==" saltValue="exmjqyMUVvrNsGDrlSeoiA==" spinCount="100000" sheet="1" objects="1" scenarios="1" autoFilter="0"/>
  <customSheetViews>
    <customSheetView guid="{B08879A4-635B-4C39-9937-AC7883D562FC}" fitToPage="1" topLeftCell="A16">
      <selection activeCell="A29" sqref="A29:C29"/>
      <pageMargins left="0.75" right="0.5" top="0.5" bottom="0.75" header="0.3" footer="0.3"/>
      <pageSetup scale="83" orientation="portrait" r:id="rId1"/>
      <headerFooter>
        <oddFooter>&amp;R&amp;A</oddFooter>
      </headerFooter>
    </customSheetView>
    <customSheetView guid="{9FCFC836-1CA5-48BF-958D-24D2EA94B219}" fitToPage="1" topLeftCell="A16">
      <selection activeCell="A29" sqref="A29:C29"/>
      <pageMargins left="0.75" right="0.5" top="0.5" bottom="0.75" header="0.3" footer="0.3"/>
      <pageSetup scale="83" orientation="portrait" r:id="rId2"/>
      <headerFooter>
        <oddFooter>&amp;R&amp;A</oddFooter>
      </headerFooter>
    </customSheetView>
  </customSheetViews>
  <mergeCells count="36">
    <mergeCell ref="J23:K25"/>
    <mergeCell ref="J22:K22"/>
    <mergeCell ref="J35:K36"/>
    <mergeCell ref="A36:C36"/>
    <mergeCell ref="D43:H43"/>
    <mergeCell ref="A28:C28"/>
    <mergeCell ref="A26:C26"/>
    <mergeCell ref="A47:C47"/>
    <mergeCell ref="A29:C29"/>
    <mergeCell ref="A30:C30"/>
    <mergeCell ref="A32:C32"/>
    <mergeCell ref="A33:C33"/>
    <mergeCell ref="A34:C34"/>
    <mergeCell ref="A35:C35"/>
    <mergeCell ref="A49:B49"/>
    <mergeCell ref="J48:K49"/>
    <mergeCell ref="F7:I7"/>
    <mergeCell ref="F8:I8"/>
    <mergeCell ref="F9:I9"/>
    <mergeCell ref="A14:H14"/>
    <mergeCell ref="A17:C17"/>
    <mergeCell ref="D18:D19"/>
    <mergeCell ref="E18:E19"/>
    <mergeCell ref="F18:F19"/>
    <mergeCell ref="G18:G19"/>
    <mergeCell ref="H18:H19"/>
    <mergeCell ref="A20:C20"/>
    <mergeCell ref="A22:C22"/>
    <mergeCell ref="A24:C24"/>
    <mergeCell ref="A25:C25"/>
    <mergeCell ref="A21:C21"/>
    <mergeCell ref="A1:H1"/>
    <mergeCell ref="A2:H2"/>
    <mergeCell ref="A3:H3"/>
    <mergeCell ref="A4:H4"/>
    <mergeCell ref="F6:I6"/>
  </mergeCells>
  <conditionalFormatting sqref="I1:I3">
    <cfRule type="cellIs" dxfId="95" priority="5" stopIfTrue="1" operator="equal">
      <formula>"na"</formula>
    </cfRule>
  </conditionalFormatting>
  <conditionalFormatting sqref="I1:I3">
    <cfRule type="cellIs" dxfId="94" priority="4" stopIfTrue="1" operator="equal">
      <formula>"na"</formula>
    </cfRule>
  </conditionalFormatting>
  <conditionalFormatting sqref="I2:J3 I1">
    <cfRule type="cellIs" dxfId="93" priority="3" stopIfTrue="1" operator="equal">
      <formula>"na"</formula>
    </cfRule>
  </conditionalFormatting>
  <conditionalFormatting sqref="I1">
    <cfRule type="cellIs" dxfId="92" priority="2" stopIfTrue="1" operator="equal">
      <formula>"na"</formula>
    </cfRule>
  </conditionalFormatting>
  <conditionalFormatting sqref="H5">
    <cfRule type="containsText" dxfId="91" priority="1" stopIfTrue="1" operator="containsText" text="NA">
      <formula>NOT(ISERROR(SEARCH("NA",H5)))</formula>
    </cfRule>
  </conditionalFormatting>
  <dataValidations count="6">
    <dataValidation type="textLength" operator="equal" allowBlank="1" showInputMessage="1" showErrorMessage="1" errorTitle="Invalid data!" error="GASB number must be 4 digits." sqref="D17:H17" xr:uid="{00000000-0002-0000-1F00-000000000000}">
      <formula1>4</formula1>
    </dataValidation>
    <dataValidation type="decimal" operator="lessThanOrEqual" allowBlank="1" showInputMessage="1" showErrorMessage="1" errorTitle="Invalid Data" error="Cannot have positive &quot;Unassigned&quot; fund balance in funds other than the General Fund" sqref="D35:H35" xr:uid="{00000000-0002-0000-1F00-000001000000}">
      <formula1>0</formula1>
    </dataValidation>
    <dataValidation type="list" allowBlank="1" showInputMessage="1" showErrorMessage="1" sqref="A24:A26 B31:C31 B24:C27" xr:uid="{00000000-0002-0000-1F00-000002000000}">
      <formula1>function</formula1>
    </dataValidation>
    <dataValidation type="decimal" operator="greaterThanOrEqual" allowBlank="1" showInputMessage="1" showErrorMessage="1" errorTitle="Invalid Data" error="Amount cannot be negative" sqref="D24:H26 D20:H22 D32:H34 D28:H30" xr:uid="{00000000-0002-0000-1F00-000003000000}">
      <formula1>0</formula1>
    </dataValidation>
    <dataValidation type="list" allowBlank="1" showInputMessage="1" showErrorMessage="1" sqref="A28:C30" xr:uid="{00000000-0002-0000-1F00-000004000000}">
      <formula1>functionC</formula1>
    </dataValidation>
    <dataValidation type="list" allowBlank="1" showInputMessage="1" showErrorMessage="1" sqref="A32:C34" xr:uid="{00000000-0002-0000-1F00-000005000000}">
      <formula1>functionA</formula1>
    </dataValidation>
  </dataValidations>
  <hyperlinks>
    <hyperlink ref="A1:H1" location="Index!A1" display="Index!A1" xr:uid="{00000000-0004-0000-1F00-000000000000}"/>
    <hyperlink ref="C12" r:id="rId3" xr:uid="{77930991-B629-4D77-9F2B-7C254676310D}"/>
  </hyperlinks>
  <pageMargins left="0.75" right="0.5" top="0.5" bottom="0.75" header="0.3" footer="0.3"/>
  <pageSetup scale="83" orientation="portrait" r:id="rId4"/>
  <headerFooter>
    <oddFooter>&amp;R&amp;A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39FD1D67-0F11-4339-B45B-E372FD100200}">
          <x14:formula1>
            <xm:f>Notes!$H$51:$H$53</xm:f>
          </x14:formula1>
          <xm:sqref>A21:C21</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pageSetUpPr fitToPage="1"/>
  </sheetPr>
  <dimension ref="A1:O37"/>
  <sheetViews>
    <sheetView topLeftCell="B9" zoomScaleNormal="100" workbookViewId="0">
      <selection activeCell="K30" sqref="K30"/>
    </sheetView>
  </sheetViews>
  <sheetFormatPr defaultRowHeight="12.75" x14ac:dyDescent="0.2"/>
  <cols>
    <col min="1" max="1" width="9.42578125" hidden="1" customWidth="1"/>
    <col min="2" max="2" width="13.5703125" customWidth="1"/>
    <col min="3" max="3" width="8.5703125" customWidth="1"/>
    <col min="4" max="4" width="15.42578125" customWidth="1"/>
    <col min="5" max="7" width="20.42578125" customWidth="1"/>
    <col min="8" max="8" width="20" customWidth="1"/>
    <col min="9" max="9" width="20.42578125" customWidth="1"/>
    <col min="10" max="10" width="4.42578125" customWidth="1"/>
    <col min="11" max="11" width="15.5703125" customWidth="1"/>
    <col min="12" max="12" width="27.42578125" bestFit="1" customWidth="1"/>
    <col min="13" max="13" width="11.85546875" bestFit="1" customWidth="1"/>
  </cols>
  <sheetData>
    <row r="1" spans="1:15" s="114" customFormat="1" ht="15" customHeight="1" x14ac:dyDescent="0.25">
      <c r="A1" s="750"/>
      <c r="B1" s="2449" t="str">
        <f>Index!A1</f>
        <v xml:space="preserve">                                                               Office of the State Controller                                                                </v>
      </c>
      <c r="C1" s="2449"/>
      <c r="D1" s="2449"/>
      <c r="E1" s="2449"/>
      <c r="F1" s="2449"/>
      <c r="G1" s="2449"/>
      <c r="H1" s="2449"/>
      <c r="I1" s="2449"/>
      <c r="J1" s="818"/>
      <c r="K1" s="818"/>
      <c r="L1" s="818"/>
      <c r="M1" s="2457" t="str">
        <f>IF([1]Index!$B$54="na","NA","")</f>
        <v/>
      </c>
      <c r="N1" s="130"/>
      <c r="O1" s="2201" t="s">
        <v>5168</v>
      </c>
    </row>
    <row r="2" spans="1:15" s="114" customFormat="1" ht="15" customHeight="1" x14ac:dyDescent="0.25">
      <c r="B2" s="2689" t="str">
        <f>+Index!$A$2</f>
        <v>2022 ACFR Worksheets</v>
      </c>
      <c r="C2" s="2689"/>
      <c r="D2" s="2689"/>
      <c r="E2" s="2689"/>
      <c r="F2" s="2689"/>
      <c r="G2" s="2689"/>
      <c r="H2" s="2689"/>
      <c r="I2" s="2689"/>
      <c r="J2" s="1965"/>
      <c r="K2" s="1965"/>
      <c r="L2" s="2202"/>
      <c r="M2" s="2457"/>
      <c r="N2" s="130"/>
      <c r="O2" s="130"/>
    </row>
    <row r="3" spans="1:15" s="114" customFormat="1" ht="15" customHeight="1" x14ac:dyDescent="0.25">
      <c r="C3" s="814"/>
      <c r="D3" s="814"/>
      <c r="E3" s="814"/>
      <c r="F3" s="814" t="s">
        <v>1887</v>
      </c>
      <c r="G3" s="814"/>
      <c r="H3" s="814"/>
      <c r="I3" s="1431" t="str">
        <f>IF(Index!$B$56="na", "NA", "")</f>
        <v/>
      </c>
      <c r="J3" s="1965"/>
      <c r="K3" s="1965"/>
      <c r="L3" s="2202"/>
      <c r="M3" s="2457"/>
      <c r="N3" s="130"/>
      <c r="O3" s="130"/>
    </row>
    <row r="4" spans="1:15" s="114" customFormat="1" ht="15" customHeight="1" x14ac:dyDescent="0.25">
      <c r="B4" s="2689" t="s">
        <v>3522</v>
      </c>
      <c r="C4" s="2689"/>
      <c r="D4" s="2689"/>
      <c r="E4" s="2689"/>
      <c r="F4" s="2689"/>
      <c r="G4" s="2689"/>
      <c r="H4" s="2689"/>
      <c r="I4" s="2689"/>
      <c r="J4" s="1965"/>
      <c r="K4" s="1965"/>
      <c r="L4" s="2202"/>
      <c r="M4" s="130"/>
      <c r="N4" s="130"/>
      <c r="O4" s="130"/>
    </row>
    <row r="5" spans="1:15" s="114" customFormat="1" ht="15" customHeight="1" x14ac:dyDescent="0.25">
      <c r="B5" s="814"/>
      <c r="C5" s="814"/>
      <c r="D5" s="814"/>
      <c r="E5" s="814"/>
      <c r="F5" s="814"/>
      <c r="G5" s="1964" t="s">
        <v>1458</v>
      </c>
      <c r="I5" s="814"/>
      <c r="J5" s="814"/>
      <c r="K5" s="814"/>
      <c r="L5" s="984"/>
      <c r="M5" s="130"/>
      <c r="N5" s="130"/>
      <c r="O5" s="130"/>
    </row>
    <row r="6" spans="1:15" s="114" customFormat="1" ht="16.5" customHeight="1" x14ac:dyDescent="0.25">
      <c r="B6" s="1966" t="s">
        <v>972</v>
      </c>
      <c r="C6" s="2694" t="str">
        <f>CONCATENATE(Index!$E$12," ",Index!$E$14)</f>
        <v xml:space="preserve"> </v>
      </c>
      <c r="D6" s="2694"/>
      <c r="E6" s="2694"/>
      <c r="F6" s="110" t="s">
        <v>327</v>
      </c>
      <c r="G6" s="2690" t="str">
        <f>+Index!$E$10</f>
        <v>01</v>
      </c>
      <c r="H6" s="2690"/>
      <c r="I6" s="2690"/>
      <c r="L6" s="984"/>
      <c r="M6" s="130"/>
      <c r="N6" s="130"/>
      <c r="O6" s="130"/>
    </row>
    <row r="7" spans="1:15" s="116" customFormat="1" ht="15.75" customHeight="1" x14ac:dyDescent="0.2">
      <c r="B7" s="110" t="s">
        <v>348</v>
      </c>
      <c r="C7" s="2695">
        <f>+Index!$E$13</f>
        <v>0</v>
      </c>
      <c r="D7" s="2695"/>
      <c r="E7" s="2695"/>
      <c r="F7" s="110" t="s">
        <v>1154</v>
      </c>
      <c r="G7" s="2691" t="str">
        <f>+Index!$E$11</f>
        <v>North Carolina General Assembly</v>
      </c>
      <c r="H7" s="2691"/>
      <c r="I7" s="2691"/>
      <c r="J7" s="115"/>
      <c r="K7" s="115"/>
      <c r="L7" s="1006"/>
      <c r="M7" s="272"/>
      <c r="N7" s="272"/>
      <c r="O7" s="272"/>
    </row>
    <row r="8" spans="1:15" s="111" customFormat="1" ht="18" hidden="1" customHeight="1" x14ac:dyDescent="0.2">
      <c r="J8" s="110"/>
      <c r="K8" s="2688"/>
      <c r="L8" s="2688"/>
      <c r="M8" s="272"/>
      <c r="N8" s="272"/>
      <c r="O8" s="272"/>
    </row>
    <row r="9" spans="1:15" s="111" customFormat="1" ht="9.75" customHeight="1" thickBot="1" x14ac:dyDescent="0.25">
      <c r="B9" s="119"/>
      <c r="C9" s="119"/>
      <c r="D9" s="119"/>
      <c r="E9" s="119"/>
      <c r="F9" s="119"/>
      <c r="G9" s="119"/>
      <c r="H9" s="119"/>
      <c r="I9" s="119"/>
      <c r="J9" s="110"/>
      <c r="K9" s="117"/>
      <c r="L9" s="2203"/>
      <c r="M9" s="272"/>
      <c r="N9" s="272"/>
      <c r="O9" s="272"/>
    </row>
    <row r="10" spans="1:15" s="111" customFormat="1" ht="15" customHeight="1" x14ac:dyDescent="0.25">
      <c r="B10" s="1721" t="s">
        <v>4240</v>
      </c>
      <c r="C10" s="985"/>
      <c r="D10" s="985"/>
      <c r="E10" s="1161" t="s">
        <v>4814</v>
      </c>
      <c r="F10" s="985"/>
      <c r="G10" s="867"/>
      <c r="H10" s="985"/>
      <c r="I10" s="985"/>
      <c r="K10" s="110"/>
      <c r="L10" s="2203"/>
      <c r="M10" s="272"/>
      <c r="N10" s="272"/>
      <c r="O10" s="272"/>
    </row>
    <row r="11" spans="1:15" s="111" customFormat="1" ht="18" customHeight="1" x14ac:dyDescent="0.2">
      <c r="B11" s="985"/>
      <c r="C11" s="985"/>
      <c r="D11" s="985"/>
      <c r="E11" s="985"/>
      <c r="F11" s="985"/>
      <c r="G11" s="985"/>
      <c r="H11" s="985"/>
      <c r="I11" s="985"/>
      <c r="J11"/>
      <c r="K11"/>
      <c r="L11"/>
      <c r="M11" s="272"/>
      <c r="N11" s="272"/>
      <c r="O11" s="272"/>
    </row>
    <row r="12" spans="1:15" s="111" customFormat="1" ht="15" customHeight="1" x14ac:dyDescent="0.2">
      <c r="B12" s="2651" t="s">
        <v>5642</v>
      </c>
      <c r="C12" s="2652"/>
      <c r="D12" s="2653"/>
      <c r="E12" s="2653"/>
      <c r="F12" s="2653"/>
      <c r="G12" s="2653"/>
      <c r="H12" s="2653"/>
      <c r="I12" s="2654"/>
      <c r="J12"/>
      <c r="K12"/>
      <c r="L12"/>
      <c r="M12" s="272"/>
      <c r="N12" s="272"/>
      <c r="O12" s="272"/>
    </row>
    <row r="13" spans="1:15" s="111" customFormat="1" ht="18" customHeight="1" x14ac:dyDescent="0.2">
      <c r="B13" s="991"/>
      <c r="C13" s="991"/>
      <c r="D13" s="1959" t="s">
        <v>4571</v>
      </c>
      <c r="E13" s="1992" t="s">
        <v>4579</v>
      </c>
      <c r="F13" s="1992" t="s">
        <v>4579</v>
      </c>
      <c r="G13" s="1992" t="s">
        <v>4579</v>
      </c>
      <c r="H13" s="1992" t="s">
        <v>4579</v>
      </c>
      <c r="I13" s="1992" t="s">
        <v>4579</v>
      </c>
      <c r="J13"/>
      <c r="K13"/>
      <c r="L13"/>
      <c r="M13" s="272"/>
      <c r="N13" s="272"/>
      <c r="O13" s="272"/>
    </row>
    <row r="14" spans="1:15" s="111" customFormat="1" ht="18" customHeight="1" x14ac:dyDescent="0.2">
      <c r="B14" s="2658"/>
      <c r="C14" s="2658"/>
      <c r="D14" s="2658"/>
      <c r="E14" s="993" t="s">
        <v>1157</v>
      </c>
      <c r="F14" s="993" t="s">
        <v>1157</v>
      </c>
      <c r="G14" s="993" t="s">
        <v>1157</v>
      </c>
      <c r="H14" s="993" t="s">
        <v>1157</v>
      </c>
      <c r="I14" s="993" t="s">
        <v>1157</v>
      </c>
      <c r="J14"/>
      <c r="K14"/>
      <c r="L14"/>
      <c r="M14" s="272"/>
      <c r="N14" s="272"/>
      <c r="O14" s="272"/>
    </row>
    <row r="15" spans="1:15" s="111" customFormat="1" ht="18" customHeight="1" x14ac:dyDescent="0.2">
      <c r="B15" s="2655" t="s">
        <v>902</v>
      </c>
      <c r="C15" s="2655"/>
      <c r="D15" s="2655"/>
      <c r="E15" s="1205"/>
      <c r="F15" s="1205"/>
      <c r="G15" s="1205"/>
      <c r="H15" s="1205"/>
      <c r="I15" s="1205"/>
      <c r="J15"/>
      <c r="K15"/>
      <c r="L15"/>
      <c r="M15" s="272"/>
      <c r="N15" s="272"/>
      <c r="O15" s="272"/>
    </row>
    <row r="16" spans="1:15" s="111" customFormat="1" ht="18" customHeight="1" x14ac:dyDescent="0.2">
      <c r="B16" s="868" t="s">
        <v>1905</v>
      </c>
      <c r="C16" s="998"/>
      <c r="D16" s="869"/>
      <c r="E16" s="1960"/>
      <c r="F16" s="1960"/>
      <c r="G16" s="1960"/>
      <c r="H16" s="1960"/>
      <c r="I16" s="1960"/>
      <c r="J16"/>
      <c r="K16"/>
      <c r="L16"/>
      <c r="M16" s="272"/>
      <c r="N16" s="272"/>
      <c r="O16" s="272"/>
    </row>
    <row r="17" spans="1:15" s="111" customFormat="1" ht="18" customHeight="1" x14ac:dyDescent="0.25">
      <c r="B17" s="2692" t="s">
        <v>5768</v>
      </c>
      <c r="C17" s="2659"/>
      <c r="D17" s="2693"/>
      <c r="E17" s="1207"/>
      <c r="F17" s="1207"/>
      <c r="G17" s="1207"/>
      <c r="H17" s="1207"/>
      <c r="I17" s="1207"/>
      <c r="J17"/>
      <c r="K17"/>
      <c r="L17" s="2163" t="s">
        <v>5110</v>
      </c>
      <c r="M17" s="2163" t="s">
        <v>4969</v>
      </c>
      <c r="N17" s="272"/>
      <c r="O17" s="272"/>
    </row>
    <row r="18" spans="1:15" s="111" customFormat="1" ht="18" customHeight="1" x14ac:dyDescent="0.25">
      <c r="B18" s="998" t="s">
        <v>4570</v>
      </c>
      <c r="C18" s="869"/>
      <c r="D18" s="869"/>
      <c r="E18" s="1003"/>
      <c r="F18" s="1003"/>
      <c r="G18" s="1003"/>
      <c r="H18" s="1003"/>
      <c r="I18" s="1003"/>
      <c r="J18"/>
      <c r="K18"/>
      <c r="L18" s="2163"/>
      <c r="M18" s="2163"/>
      <c r="N18" s="272"/>
      <c r="O18" s="272"/>
    </row>
    <row r="19" spans="1:15" s="111" customFormat="1" ht="18" customHeight="1" x14ac:dyDescent="0.25">
      <c r="B19" s="2663" t="s">
        <v>3935</v>
      </c>
      <c r="C19" s="2664"/>
      <c r="D19" s="2664"/>
      <c r="E19" s="1207"/>
      <c r="F19" s="1207"/>
      <c r="G19" s="1207"/>
      <c r="H19" s="1207"/>
      <c r="I19" s="1207"/>
      <c r="J19"/>
      <c r="K19"/>
      <c r="L19" s="2163" t="s">
        <v>1114</v>
      </c>
      <c r="M19" s="2163" t="str">
        <f>IF(B19="General Government","Gen Gov",
IF(B19="Primary and secondary education","Prim Sec Ed",
IF(B19="Higher Education","Higher Ed",
IF(B19="Higher education student aid","Higher Ed stu aid",
IF(B19="Health and human services","HHS",
IF(B19="Economic development","Econ Dev",
IF(B19="Environment and natural resources","ENR",
IF(B19="Public safety, corrections, and regulation","Public Safety",
IF(B19="Transportation","Trans",
IF(B19="Highway construction/preservation","Highway Const",
IF(B19="Highway maintenance","Highway Const",
IF(B19="Debt Service","Debt Serv",
IF(B19="Agriculture","Agric",
IF(B19="Capital projects/repairs and renovations","CapProjectsReno",
IF(B19="Disaster relief (OSC only)","Relief",
IF(B19="Subsequent year's budget (OSC only)","SubsYearBudget",
IF(B19="Other purposes","OthPur",
"No Function")))))))))))))))))</f>
        <v>No Function</v>
      </c>
      <c r="N19" s="272"/>
      <c r="O19" s="272"/>
    </row>
    <row r="20" spans="1:15" s="111" customFormat="1" ht="18" customHeight="1" x14ac:dyDescent="0.25">
      <c r="B20" s="2663" t="s">
        <v>3935</v>
      </c>
      <c r="C20" s="2664"/>
      <c r="D20" s="2664"/>
      <c r="E20" s="1207"/>
      <c r="F20" s="1207"/>
      <c r="G20" s="1207"/>
      <c r="H20" s="1207"/>
      <c r="I20" s="1207"/>
      <c r="J20"/>
      <c r="K20"/>
      <c r="L20" s="2163" t="s">
        <v>1114</v>
      </c>
      <c r="M20" s="2163" t="str">
        <f t="shared" ref="M20:M21" si="0">IF(B20="General Government","Gen Gov",
IF(B20="Primary and secondary education","Prim Sec Ed",
IF(B20="Higher Education","Higher Ed",
IF(B20="Higher education student aid","Higher Ed stu aid",
IF(B20="Health and human services","HHS",
IF(B20="Economic development","Econ Dev",
IF(B20="Environment and natural resources","ENR",
IF(B20="Public safety, corrections, and regulation","Public Safety",
IF(B20="Transportation","Trans",
IF(B20="Highway construction/preservation","Highway Const",
IF(B20="Highway maintenance","Highway Const",
IF(B20="Debt Service","Debt Serv",
IF(B20="Agriculture","Agric",
IF(B20="Capital projects/repairs and renovations","CapProjectsReno",
IF(B20="Disaster relief (OSC only)","Relief",
IF(B20="Subsequent year's budget (OSC only)","SubsYearBudget",
"No Function"))))))))))))))))</f>
        <v>No Function</v>
      </c>
      <c r="N20" s="272"/>
      <c r="O20" s="272"/>
    </row>
    <row r="21" spans="1:15" s="111" customFormat="1" ht="18" customHeight="1" x14ac:dyDescent="0.25">
      <c r="B21" s="2663" t="s">
        <v>3935</v>
      </c>
      <c r="C21" s="2664"/>
      <c r="D21" s="2664"/>
      <c r="E21" s="1207"/>
      <c r="F21" s="1207"/>
      <c r="G21" s="1207"/>
      <c r="H21" s="1207"/>
      <c r="I21" s="1207"/>
      <c r="J21"/>
      <c r="K21"/>
      <c r="L21" s="2163" t="s">
        <v>1114</v>
      </c>
      <c r="M21" s="2163" t="str">
        <f t="shared" si="0"/>
        <v>No Function</v>
      </c>
      <c r="N21" s="272"/>
      <c r="O21" s="272"/>
    </row>
    <row r="22" spans="1:15" ht="18" customHeight="1" x14ac:dyDescent="0.25">
      <c r="B22" s="2676" t="s">
        <v>4569</v>
      </c>
      <c r="C22" s="2677"/>
      <c r="D22" s="2678"/>
      <c r="E22" s="1208"/>
      <c r="F22" s="1208"/>
      <c r="G22" s="1208"/>
      <c r="H22" s="1208"/>
      <c r="I22" s="1208"/>
      <c r="L22" s="2163" t="s">
        <v>5112</v>
      </c>
      <c r="M22" s="2163" t="str">
        <f t="shared" ref="M22" si="1">IF(B22="Primary and secondary education","Prim Sec Ed",IF(B22="Economic development","Econ Dev",IF(B22="Environment and natural resources","ENR",IF(B22="Public safety, corrections, and regulation","Public Safety",IF(B22="Transportation","Trans",IF(B22="Agriculture","Agric",IF(B22="Debt service","Debt Serv",IF(B22="Other purposes","OthPur",IF(B22="Capital projects/repairs and renovations","CapProjectsReno","No Function")))))))))</f>
        <v>No Function</v>
      </c>
    </row>
    <row r="23" spans="1:15" ht="18" customHeight="1" thickBot="1" x14ac:dyDescent="0.3">
      <c r="B23" s="998" t="s">
        <v>1889</v>
      </c>
      <c r="C23" s="867"/>
      <c r="D23" s="1961"/>
      <c r="E23" s="1005">
        <f>SUM(E17:E17)+SUM(E19:E21)+SUM(E22:E22)</f>
        <v>0</v>
      </c>
      <c r="F23" s="1005">
        <f>SUM(F17:F17)+SUM(F19:F21)+SUM(F22:F22)</f>
        <v>0</v>
      </c>
      <c r="G23" s="1005">
        <f>SUM(G17:G17)+SUM(G19:G21)+SUM(G22:G22)</f>
        <v>0</v>
      </c>
      <c r="H23" s="1005">
        <f>SUM(H17:H17)+SUM(H19:H21)+SUM(H22:H22)</f>
        <v>0</v>
      </c>
      <c r="I23" s="1005">
        <f>SUM(I17:I17)+SUM(I19:I21)+SUM(I22:I22)</f>
        <v>0</v>
      </c>
    </row>
    <row r="24" spans="1:15" ht="18" customHeight="1" thickTop="1" x14ac:dyDescent="0.2">
      <c r="B24" s="1963" t="s">
        <v>4881</v>
      </c>
      <c r="C24" s="1006"/>
      <c r="D24" s="1006"/>
      <c r="E24" s="1006"/>
      <c r="F24" s="1006"/>
      <c r="G24" s="1006"/>
      <c r="H24" s="1006"/>
      <c r="I24" s="1006"/>
    </row>
    <row r="25" spans="1:15" x14ac:dyDescent="0.2">
      <c r="B25" s="1963"/>
      <c r="C25" s="1006"/>
      <c r="D25" s="1006"/>
      <c r="E25" s="1006"/>
      <c r="F25" s="1006"/>
      <c r="G25" s="1006"/>
      <c r="H25" s="1006"/>
      <c r="I25" s="1006"/>
    </row>
    <row r="26" spans="1:15" ht="15" x14ac:dyDescent="0.2">
      <c r="A26" s="443" t="str">
        <f ca="1">MID(CELL("filename",A1),FIND("]",CELL("filename",A1))+1,256)</f>
        <v>420</v>
      </c>
      <c r="B26" s="868" t="s">
        <v>634</v>
      </c>
      <c r="C26" s="1007" t="s">
        <v>1446</v>
      </c>
      <c r="D26" s="869"/>
      <c r="E26" s="998"/>
      <c r="F26" s="998"/>
      <c r="G26" s="998"/>
      <c r="H26" s="998"/>
      <c r="I26" s="998"/>
    </row>
    <row r="27" spans="1:15" ht="15" x14ac:dyDescent="0.2">
      <c r="A27" s="443" t="s">
        <v>446</v>
      </c>
      <c r="B27" s="868"/>
      <c r="C27" s="1007" t="s">
        <v>1447</v>
      </c>
      <c r="D27" s="869"/>
      <c r="E27" s="998"/>
      <c r="F27" s="998"/>
      <c r="G27" s="998"/>
      <c r="H27" s="998"/>
      <c r="I27" s="998"/>
    </row>
    <row r="28" spans="1:15" ht="15" x14ac:dyDescent="0.2">
      <c r="A28" s="443" t="s">
        <v>447</v>
      </c>
      <c r="B28" s="868"/>
      <c r="C28" s="1007" t="s">
        <v>1291</v>
      </c>
      <c r="D28" s="869"/>
      <c r="E28" s="998"/>
      <c r="F28" s="998"/>
      <c r="G28" s="998"/>
      <c r="H28" s="998"/>
      <c r="I28" s="998"/>
    </row>
    <row r="29" spans="1:15" ht="15" x14ac:dyDescent="0.2">
      <c r="A29" s="443" t="s">
        <v>448</v>
      </c>
      <c r="B29" s="868" t="s">
        <v>636</v>
      </c>
      <c r="C29" s="1007" t="s">
        <v>482</v>
      </c>
      <c r="D29" s="869"/>
      <c r="E29" s="998"/>
      <c r="F29" s="998"/>
      <c r="G29" s="998"/>
      <c r="H29" s="998"/>
      <c r="I29" s="998"/>
    </row>
    <row r="30" spans="1:15" ht="15" x14ac:dyDescent="0.2">
      <c r="A30" s="443" t="s">
        <v>450</v>
      </c>
      <c r="B30" s="868"/>
      <c r="C30" s="869"/>
      <c r="D30" s="869"/>
      <c r="E30" s="998"/>
      <c r="F30" s="998"/>
      <c r="G30" s="998"/>
      <c r="H30" s="998"/>
      <c r="I30" s="998"/>
    </row>
    <row r="31" spans="1:15" ht="15" x14ac:dyDescent="0.2">
      <c r="A31" s="443" t="s">
        <v>456</v>
      </c>
      <c r="B31" s="2"/>
    </row>
    <row r="32" spans="1:15" x14ac:dyDescent="0.2">
      <c r="B32" s="2" t="s">
        <v>4670</v>
      </c>
    </row>
    <row r="33" spans="2:9" ht="17.25" customHeight="1" x14ac:dyDescent="0.2">
      <c r="B33" s="272" t="s">
        <v>4671</v>
      </c>
      <c r="E33" s="433" t="s">
        <v>1114</v>
      </c>
      <c r="F33" s="1993"/>
    </row>
    <row r="34" spans="2:9" ht="17.25" customHeight="1" x14ac:dyDescent="0.2">
      <c r="C34" s="272"/>
      <c r="E34" s="433" t="s">
        <v>1115</v>
      </c>
      <c r="F34" s="1993"/>
    </row>
    <row r="35" spans="2:9" ht="17.25" customHeight="1" thickBot="1" x14ac:dyDescent="0.25">
      <c r="C35" s="1962"/>
      <c r="E35" s="433" t="s">
        <v>4580</v>
      </c>
      <c r="F35" s="2208">
        <f>F33+F34</f>
        <v>0</v>
      </c>
    </row>
    <row r="36" spans="2:9" ht="13.5" thickTop="1" x14ac:dyDescent="0.2"/>
    <row r="37" spans="2:9" ht="39.75" customHeight="1" x14ac:dyDescent="0.2">
      <c r="B37" s="2687" t="s">
        <v>5767</v>
      </c>
      <c r="C37" s="2687"/>
      <c r="D37" s="2687"/>
      <c r="E37" s="2687"/>
      <c r="F37" s="2687"/>
      <c r="G37" s="2687"/>
      <c r="H37" s="2687"/>
      <c r="I37" s="2687"/>
    </row>
  </sheetData>
  <sheetProtection algorithmName="SHA-512" hashValue="K5ouTxwM1W7m+cZ601j8s6/wDy1QOeu50eYZ7WjLCe+kptrlBZ7g5HRtTn9UK4wQ++0cB8MtAygRyBIy6Abj1Q==" saltValue="so8dyDgl0ypApj1uggThAg==" spinCount="100000" sheet="1" objects="1" scenarios="1" autoFilter="0"/>
  <customSheetViews>
    <customSheetView guid="{B08879A4-635B-4C39-9937-AC7883D562FC}" showGridLines="0" fitToPage="1" hiddenColumns="1" topLeftCell="B1">
      <selection activeCell="B12" sqref="B12"/>
      <pageMargins left="0.75" right="0.5" top="0.5" bottom="0.5" header="0.5" footer="0.5"/>
      <pageSetup scale="94" orientation="portrait" r:id="rId1"/>
      <headerFooter alignWithMargins="0">
        <oddFooter>&amp;R&amp;A</oddFooter>
      </headerFooter>
    </customSheetView>
    <customSheetView guid="{1250FD07-FF56-4A9D-AF9E-C27124A7EBE9}" showGridLines="0" fitToPage="1" showRuler="0">
      <selection activeCell="A36" sqref="A36"/>
      <pageMargins left="0.75" right="0.5" top="0.5" bottom="0.5" header="0.5" footer="0.5"/>
      <pageSetup scale="96" orientation="portrait" r:id="rId2"/>
      <headerFooter alignWithMargins="0">
        <oddFooter>&amp;R&amp;A</oddFooter>
      </headerFooter>
    </customSheetView>
    <customSheetView guid="{BEA4BE86-04D1-4C96-9358-7A260B9D2B2D}" showGridLines="0" fitToPage="1" showRuler="0">
      <selection activeCell="A36" sqref="A36"/>
      <pageMargins left="0.75" right="0.5" top="0.5" bottom="0.5" header="0.5" footer="0.5"/>
      <pageSetup scale="96" orientation="portrait" r:id="rId3"/>
      <headerFooter alignWithMargins="0">
        <oddFooter>&amp;R&amp;A</oddFooter>
      </headerFooter>
    </customSheetView>
    <customSheetView guid="{9FCFC836-1CA5-48BF-958D-24D2EA94B219}" showGridLines="0" fitToPage="1" hiddenColumns="1" topLeftCell="B1">
      <selection activeCell="B12" sqref="B12"/>
      <pageMargins left="0.75" right="0.5" top="0.5" bottom="0.5" header="0.5" footer="0.5"/>
      <pageSetup scale="94" orientation="portrait" r:id="rId4"/>
      <headerFooter alignWithMargins="0">
        <oddFooter>&amp;R&amp;A</oddFooter>
      </headerFooter>
    </customSheetView>
  </customSheetViews>
  <mergeCells count="18">
    <mergeCell ref="G7:I7"/>
    <mergeCell ref="B17:D17"/>
    <mergeCell ref="C6:E6"/>
    <mergeCell ref="C7:E7"/>
    <mergeCell ref="B22:D22"/>
    <mergeCell ref="B20:D20"/>
    <mergeCell ref="B21:D21"/>
    <mergeCell ref="B19:D19"/>
    <mergeCell ref="M1:M3"/>
    <mergeCell ref="B1:I1"/>
    <mergeCell ref="B2:I2"/>
    <mergeCell ref="B4:I4"/>
    <mergeCell ref="G6:I6"/>
    <mergeCell ref="B37:I37"/>
    <mergeCell ref="K8:L8"/>
    <mergeCell ref="B12:I12"/>
    <mergeCell ref="B14:D14"/>
    <mergeCell ref="B15:D15"/>
  </mergeCells>
  <phoneticPr fontId="15" type="noConversion"/>
  <conditionalFormatting sqref="I3">
    <cfRule type="containsText" dxfId="90" priority="2" stopIfTrue="1" operator="containsText" text="NA">
      <formula>NOT(ISERROR(SEARCH("NA",I3)))</formula>
    </cfRule>
  </conditionalFormatting>
  <conditionalFormatting sqref="M1:M3">
    <cfRule type="cellIs" dxfId="89" priority="1" stopIfTrue="1" operator="equal">
      <formula>"na"</formula>
    </cfRule>
  </conditionalFormatting>
  <dataValidations count="2">
    <dataValidation type="textLength" operator="equal" allowBlank="1" showInputMessage="1" showErrorMessage="1" errorTitle="Invalid data!" error="GASB number must be 4 digits." sqref="E15:I15" xr:uid="{7155A138-E42D-47CC-A886-6B85227A4DC9}">
      <formula1>4</formula1>
    </dataValidation>
    <dataValidation type="decimal" operator="greaterThanOrEqual" allowBlank="1" showInputMessage="1" showErrorMessage="1" errorTitle="Invalid Data" error="Amount cannot be negative" sqref="E19:I21 E17:I17" xr:uid="{445D06A1-53BD-4D93-9BB3-E57278D13FEE}">
      <formula1>0</formula1>
    </dataValidation>
  </dataValidations>
  <hyperlinks>
    <hyperlink ref="E10" r:id="rId5" xr:uid="{FEC799E1-E6A4-4A0C-819E-5B52DCF7AAB0}"/>
    <hyperlink ref="B1:I1" location="Index!A1" display="Index!A1" xr:uid="{987435E2-D5ED-4401-AEC1-C3A2E73B08F7}"/>
  </hyperlinks>
  <pageMargins left="0.75" right="0.5" top="0.5" bottom="0.5" header="0.5" footer="0.5"/>
  <pageSetup scale="91" fitToHeight="0" orientation="landscape" r:id="rId6"/>
  <headerFooter alignWithMargins="0">
    <oddFooter>&amp;R&amp;A</oddFooter>
  </headerFooter>
  <extLst>
    <ext xmlns:x14="http://schemas.microsoft.com/office/spreadsheetml/2009/9/main" uri="{CCE6A557-97BC-4b89-ADB6-D9C93CAAB3DF}">
      <x14:dataValidations xmlns:xm="http://schemas.microsoft.com/office/excel/2006/main" count="2">
        <x14:dataValidation type="list" showErrorMessage="1" xr:uid="{02940D59-BBF4-4AF4-867B-64E88234B9FB}">
          <x14:formula1>
            <xm:f>Notes!$S$4:$S$8</xm:f>
          </x14:formula1>
          <xm:sqref>E13:I13</xm:sqref>
        </x14:dataValidation>
        <x14:dataValidation type="list" allowBlank="1" showInputMessage="1" showErrorMessage="1" xr:uid="{17AFD2D8-39BF-4E55-8A6C-1D2F3207E72B}">
          <x14:formula1>
            <xm:f>Notes!$S$11:$S$21</xm:f>
          </x14:formula1>
          <xm:sqref>B19:D21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9F27-0C6F-4870-BA55-887DBFDD3F09}">
  <sheetPr codeName="Sheet99"/>
  <dimension ref="A1:P101"/>
  <sheetViews>
    <sheetView zoomScale="120" zoomScaleNormal="120" workbookViewId="0">
      <selection activeCell="Q17" sqref="Q17"/>
    </sheetView>
  </sheetViews>
  <sheetFormatPr defaultRowHeight="12.75" x14ac:dyDescent="0.2"/>
  <sheetData>
    <row r="1" spans="1:14" ht="15.75" x14ac:dyDescent="0.25">
      <c r="A1" s="2431" t="s">
        <v>1007</v>
      </c>
      <c r="B1" s="2431"/>
      <c r="C1" s="2431"/>
      <c r="D1" s="2431"/>
      <c r="E1" s="2431"/>
      <c r="F1" s="2431"/>
      <c r="G1" s="2431"/>
      <c r="H1" s="2431"/>
      <c r="I1" s="2431"/>
      <c r="J1" s="2431"/>
      <c r="K1" s="2431"/>
      <c r="L1" s="2431"/>
      <c r="M1" s="2431"/>
      <c r="N1" s="2431"/>
    </row>
    <row r="2" spans="1:14" ht="15.75" x14ac:dyDescent="0.25">
      <c r="A2" s="2431" t="str">
        <f>CONCATENATE(YEAR(Data!A2)," ACFR Worksheets")</f>
        <v>2022 ACFR Worksheets</v>
      </c>
      <c r="B2" s="2431"/>
      <c r="C2" s="2431"/>
      <c r="D2" s="2431"/>
      <c r="E2" s="2431"/>
      <c r="F2" s="2431"/>
      <c r="G2" s="2431"/>
      <c r="H2" s="2431"/>
      <c r="I2" s="2431"/>
      <c r="J2" s="2431"/>
      <c r="K2" s="2431"/>
      <c r="L2" s="2431"/>
      <c r="M2" s="2431"/>
      <c r="N2" s="2244"/>
    </row>
    <row r="3" spans="1:14" ht="16.5" thickBot="1" x14ac:dyDescent="0.3">
      <c r="A3" s="2431" t="s">
        <v>5392</v>
      </c>
      <c r="B3" s="2431"/>
      <c r="C3" s="2431"/>
      <c r="D3" s="2431"/>
      <c r="E3" s="2431"/>
      <c r="F3" s="2431"/>
      <c r="G3" s="2431"/>
      <c r="H3" s="2431"/>
      <c r="I3" s="2431"/>
      <c r="J3" s="2431"/>
      <c r="K3" s="2431"/>
      <c r="L3" s="2431"/>
      <c r="M3" s="2431"/>
      <c r="N3" s="2244"/>
    </row>
    <row r="4" spans="1:14" x14ac:dyDescent="0.2">
      <c r="B4" s="2233"/>
      <c r="C4" s="2236"/>
      <c r="D4" s="2236"/>
      <c r="E4" s="2236"/>
      <c r="F4" s="2236"/>
      <c r="G4" s="2236"/>
      <c r="H4" s="2236"/>
      <c r="I4" s="2236"/>
      <c r="J4" s="2236"/>
      <c r="K4" s="2236"/>
      <c r="L4" s="2236"/>
      <c r="M4" s="2239"/>
    </row>
    <row r="5" spans="1:14" x14ac:dyDescent="0.2">
      <c r="B5" s="2234"/>
      <c r="M5" s="2240"/>
    </row>
    <row r="6" spans="1:14" ht="15.75" thickBot="1" x14ac:dyDescent="0.3">
      <c r="B6" s="2234"/>
      <c r="C6" s="2237" t="s">
        <v>5393</v>
      </c>
      <c r="D6" s="2237"/>
      <c r="M6" s="2241" t="str">
        <f>AgyIdx</f>
        <v>01</v>
      </c>
    </row>
    <row r="7" spans="1:14" ht="15" x14ac:dyDescent="0.25">
      <c r="B7" s="2234"/>
      <c r="C7" s="2237"/>
      <c r="D7" s="2237"/>
      <c r="M7" s="2240"/>
    </row>
    <row r="8" spans="1:14" ht="15.75" thickBot="1" x14ac:dyDescent="0.3">
      <c r="B8" s="2234"/>
      <c r="C8" s="2238" t="s">
        <v>5431</v>
      </c>
      <c r="D8" s="2237"/>
      <c r="M8" s="2242" t="str">
        <f>'905'!P1</f>
        <v/>
      </c>
    </row>
    <row r="9" spans="1:14" ht="15" x14ac:dyDescent="0.25">
      <c r="B9" s="2234"/>
      <c r="C9" s="2238" t="s">
        <v>5432</v>
      </c>
      <c r="D9" s="2237"/>
      <c r="M9" s="2240"/>
    </row>
    <row r="10" spans="1:14" ht="15.75" thickBot="1" x14ac:dyDescent="0.3">
      <c r="B10" s="2234"/>
      <c r="C10" s="2238" t="s">
        <v>5395</v>
      </c>
      <c r="D10" s="2237"/>
      <c r="M10" s="2242" t="str">
        <f>'905'!P2</f>
        <v>0100</v>
      </c>
    </row>
    <row r="11" spans="1:14" ht="15" x14ac:dyDescent="0.25">
      <c r="B11" s="2234"/>
      <c r="C11" s="2340" t="s">
        <v>5427</v>
      </c>
      <c r="D11" s="2237"/>
      <c r="E11" s="2237"/>
      <c r="F11" s="2237"/>
      <c r="G11" s="2237"/>
      <c r="H11" s="2237"/>
      <c r="I11" s="2237"/>
      <c r="J11" s="2237"/>
      <c r="K11" s="2237"/>
      <c r="L11" s="2237"/>
      <c r="M11" s="2240"/>
    </row>
    <row r="12" spans="1:14" ht="15" x14ac:dyDescent="0.25">
      <c r="B12" s="2234"/>
      <c r="C12" s="665" t="s">
        <v>5396</v>
      </c>
      <c r="D12" s="2237"/>
      <c r="M12" s="2245" t="str">
        <f>IF(ISBLANK('101'!F17),"ERROR","OK")</f>
        <v>ERROR</v>
      </c>
    </row>
    <row r="13" spans="1:14" ht="15" x14ac:dyDescent="0.25">
      <c r="B13" s="2234"/>
      <c r="C13" s="665" t="s">
        <v>5410</v>
      </c>
      <c r="D13" s="2237"/>
      <c r="M13" s="2243" t="str">
        <f>IF('101'!J25="",IF('101'!L25="","ERROR","OK"),IF('101'!L25="","OK","ERROR"))</f>
        <v>ERROR</v>
      </c>
    </row>
    <row r="14" spans="1:14" ht="15" x14ac:dyDescent="0.25">
      <c r="B14" s="2234"/>
      <c r="C14" s="665" t="s">
        <v>5435</v>
      </c>
      <c r="D14" s="2237"/>
      <c r="M14" s="2243" t="str">
        <f>IF('101'!L25="",IF('101'!J25="","ERROR",IF('101'!G26="","OK","ERROR")),IF('101'!G26="","ERROR","OK"))</f>
        <v>ERROR</v>
      </c>
    </row>
    <row r="15" spans="1:14" ht="15" x14ac:dyDescent="0.25">
      <c r="B15" s="2234"/>
      <c r="C15" s="665" t="s">
        <v>5680</v>
      </c>
      <c r="D15" s="2237"/>
      <c r="M15" s="2243" t="str">
        <f>IF('101'!J31="",IF('101'!L31="","ERROR","OK"),IF('101'!L31="","OK","ERROR"))</f>
        <v>ERROR</v>
      </c>
    </row>
    <row r="16" spans="1:14" ht="15" x14ac:dyDescent="0.25">
      <c r="B16" s="2234"/>
      <c r="C16" s="665" t="s">
        <v>5681</v>
      </c>
      <c r="D16" s="2237"/>
      <c r="M16" s="2243" t="str">
        <f>IF('101'!L31="",IF('101'!J31="","ERROR",IF('101'!G32="","OK","ERROR")),IF('101'!G32="","ERROR","OK"))</f>
        <v>ERROR</v>
      </c>
    </row>
    <row r="17" spans="2:13" ht="15" x14ac:dyDescent="0.25">
      <c r="B17" s="2234"/>
      <c r="C17" s="665" t="s">
        <v>5682</v>
      </c>
      <c r="D17" s="2237"/>
      <c r="M17" s="2243" t="str">
        <f>IF(ISBLANK('101'!D37),"ERROR","OK")</f>
        <v>ERROR</v>
      </c>
    </row>
    <row r="18" spans="2:13" ht="15" x14ac:dyDescent="0.25">
      <c r="B18" s="2234"/>
      <c r="C18" s="665" t="s">
        <v>5397</v>
      </c>
      <c r="D18" s="2237"/>
      <c r="M18" s="2243" t="str">
        <f>IF('101'!J50="",IF('101'!L50="","ERROR","OK"),IF('101'!L50="","OK","ERROR"))</f>
        <v>ERROR</v>
      </c>
    </row>
    <row r="19" spans="2:13" ht="15" x14ac:dyDescent="0.25">
      <c r="B19" s="2234"/>
      <c r="C19" s="665" t="s">
        <v>5436</v>
      </c>
      <c r="D19" s="2237"/>
      <c r="M19" s="2243" t="str">
        <f>IF('101'!J50="",IF('101'!L50="","ERROR",IF('101'!C52="","OK","ERROR")),IF('101'!C52="","ERROR","OK"))</f>
        <v>ERROR</v>
      </c>
    </row>
    <row r="20" spans="2:13" ht="15" x14ac:dyDescent="0.25">
      <c r="B20" s="2234"/>
      <c r="C20" s="665" t="s">
        <v>5413</v>
      </c>
      <c r="D20" s="2237"/>
      <c r="M20" s="2243" t="str">
        <f>IF(AND(ISBLANK('101'!H58),ISBLANK('101'!J58),ISBLANK('101'!L58))=TRUE,"ERROR",IF(COUNTIF('101'!H58:L58,"")&gt;1,"OK","ERROR"))</f>
        <v>ERROR</v>
      </c>
    </row>
    <row r="21" spans="2:13" ht="15" x14ac:dyDescent="0.25">
      <c r="B21" s="2234"/>
      <c r="C21" s="665" t="s">
        <v>5398</v>
      </c>
      <c r="D21" s="2237"/>
      <c r="M21" s="2243" t="str">
        <f>IF('101'!J62="",IF('101'!L62="","ERROR","OK"),IF('101'!L62="","OK","ERROR"))</f>
        <v>ERROR</v>
      </c>
    </row>
    <row r="22" spans="2:13" ht="15" x14ac:dyDescent="0.25">
      <c r="B22" s="2234"/>
      <c r="C22" s="665" t="s">
        <v>5437</v>
      </c>
      <c r="D22" s="2237"/>
      <c r="M22" s="2243" t="str">
        <f>IF('101'!J62="",IF('101'!L62="","ERROR",IF('101'!F63="","OK","ERROR")),IF('101'!F63="","ERROR","OK"))</f>
        <v>ERROR</v>
      </c>
    </row>
    <row r="23" spans="2:13" ht="15" x14ac:dyDescent="0.25">
      <c r="B23" s="2234"/>
      <c r="C23" s="665" t="s">
        <v>5414</v>
      </c>
      <c r="D23" s="2237"/>
      <c r="M23" s="2243" t="str">
        <f>IF(AND(ISBLANK('101'!H67),ISBLANK('101'!J67),ISBLANK('101'!L67))=TRUE,"ERROR",IF(COUNTIF('101'!H67:L67,"")&gt;1,"OK","ERROR"))</f>
        <v>ERROR</v>
      </c>
    </row>
    <row r="24" spans="2:13" ht="15" x14ac:dyDescent="0.25">
      <c r="B24" s="2234"/>
      <c r="C24" s="665" t="s">
        <v>5438</v>
      </c>
      <c r="D24" s="2237"/>
      <c r="M24" s="2243" t="str">
        <f>IF('101'!H67="","OK",IF('101'!E68="","ERROR","OK"))</f>
        <v>OK</v>
      </c>
    </row>
    <row r="25" spans="2:13" x14ac:dyDescent="0.2">
      <c r="B25" s="2234"/>
      <c r="C25" s="665" t="s">
        <v>5399</v>
      </c>
      <c r="D25" s="665"/>
      <c r="M25" s="2243" t="str">
        <f>IF('110'!E37="",IF('110'!E38="","ERROR","OK"),IF('110'!E38="","OK","ERROR"))</f>
        <v>ERROR</v>
      </c>
    </row>
    <row r="26" spans="2:13" x14ac:dyDescent="0.2">
      <c r="B26" s="2234"/>
      <c r="C26" s="665" t="s">
        <v>5402</v>
      </c>
      <c r="D26" s="665"/>
      <c r="M26" s="2243" t="str">
        <f>IF('120'!E31="",IF('120'!E32="","ERROR","OK"),IF('120'!E32="","OK","ERROR"))</f>
        <v>ERROR</v>
      </c>
    </row>
    <row r="27" spans="2:13" ht="15" x14ac:dyDescent="0.25">
      <c r="B27" s="2234"/>
      <c r="C27" s="665" t="s">
        <v>5439</v>
      </c>
      <c r="D27" s="2237"/>
      <c r="M27" s="2243" t="str">
        <f>IF('120'!E31="",IF(COUNTA('120'!D37:D40)&gt;0,"ERROR","OK"),IF(COUNTA('120'!D37:D40)=1,"OK","ERROR"))</f>
        <v>OK</v>
      </c>
    </row>
    <row r="28" spans="2:13" ht="15" x14ac:dyDescent="0.25">
      <c r="B28" s="2234"/>
      <c r="C28" s="665" t="s">
        <v>5440</v>
      </c>
      <c r="D28" s="2237"/>
      <c r="M28" s="2243" t="str">
        <f>IF('201'!R41=0,"OK","ERROR")</f>
        <v>OK</v>
      </c>
    </row>
    <row r="29" spans="2:13" x14ac:dyDescent="0.2">
      <c r="B29" s="2234"/>
      <c r="C29" s="665" t="s">
        <v>5411</v>
      </c>
      <c r="D29" s="665"/>
      <c r="M29" s="2243" t="str">
        <f>IF('202'!T1="NA","OK",IF('202'!E14="",IF('202'!I14="","ERROR","OK"),IF('202'!I14="","OK","ERROR")))</f>
        <v>ERROR</v>
      </c>
    </row>
    <row r="30" spans="2:13" ht="15" x14ac:dyDescent="0.25">
      <c r="B30" s="2234"/>
      <c r="C30" s="665" t="s">
        <v>5441</v>
      </c>
      <c r="D30" s="2237"/>
      <c r="M30" s="2243" t="str">
        <f>IF('202'!T1="NA","OK",IF('202'!E14="",IF('202'!I14="","ERROR",IF('202'!E18="","OK","ERROR")),IF('202'!E18="","ERROR","OK")))</f>
        <v>ERROR</v>
      </c>
    </row>
    <row r="31" spans="2:13" x14ac:dyDescent="0.2">
      <c r="B31" s="2234"/>
      <c r="C31" s="665" t="s">
        <v>5442</v>
      </c>
      <c r="D31" s="665"/>
      <c r="M31" s="2243" t="str">
        <f>IF('202'!T1="NA","OK",IF('202'!E14="",IF('202'!I14="","ERROR",IF('202'!G20="","OK","ERROR")),IF('202'!G20="","ERROR","OK")))</f>
        <v>ERROR</v>
      </c>
    </row>
    <row r="32" spans="2:13" x14ac:dyDescent="0.2">
      <c r="B32" s="2234"/>
      <c r="C32" s="665" t="s">
        <v>5412</v>
      </c>
      <c r="D32" s="665"/>
      <c r="M32" s="2243" t="str">
        <f>IF('202'!T1="NA","OK",IF(AND(ISBLANK('202'!E23),ISBLANK('202'!I23),ISBLANK('202'!M23))=TRUE,"ERROR",IF(COUNTIF('202'!E23:M23,"")&gt;1,"OK","ERROR")))</f>
        <v>ERROR</v>
      </c>
    </row>
    <row r="33" spans="2:14" ht="15" x14ac:dyDescent="0.25">
      <c r="B33" s="2234"/>
      <c r="C33" s="665" t="s">
        <v>5443</v>
      </c>
      <c r="D33" s="2237"/>
      <c r="M33" s="2243" t="str">
        <f>IF('202'!T1="NA","OK",IF('202'!I23="","OK",IF('202'!C26="","ERROR","OK")))</f>
        <v>OK</v>
      </c>
    </row>
    <row r="34" spans="2:14" x14ac:dyDescent="0.2">
      <c r="B34" s="2234"/>
      <c r="C34" s="665" t="s">
        <v>5415</v>
      </c>
      <c r="D34" s="665"/>
      <c r="M34" s="2243" t="str">
        <f>IF('202'!T1="NA","OK",IF('202'!M28="",IF('202'!Q28="","ERROR","OK"),IF('202'!Q28="","OK","ERROR")))</f>
        <v>ERROR</v>
      </c>
    </row>
    <row r="35" spans="2:14" ht="15" x14ac:dyDescent="0.25">
      <c r="B35" s="2234"/>
      <c r="C35" s="665" t="s">
        <v>5449</v>
      </c>
      <c r="D35" s="2237"/>
      <c r="M35" s="2243" t="str">
        <f>IF('202'!T1="NA","OK",IF('202'!M28="",IF('202'!Q28="","ERROR",IF('202'!E34="","OK","ERROR")),IF('202'!E34="","ERROR","OK")))</f>
        <v>ERROR</v>
      </c>
      <c r="N35" t="s">
        <v>973</v>
      </c>
    </row>
    <row r="36" spans="2:14" x14ac:dyDescent="0.2">
      <c r="B36" s="2234"/>
      <c r="C36" s="665" t="s">
        <v>5416</v>
      </c>
      <c r="D36" s="665"/>
      <c r="M36" s="2243" t="str">
        <f>IF('202'!T1="NA","OK",IF(AND(ISBLANK('202'!E44),ISBLANK('202'!I44),ISBLANK('202'!M44))=TRUE,"ERROR",IF(COUNTIF('202'!E44:M44,"")&gt;1,"OK","ERROR")))</f>
        <v>ERROR</v>
      </c>
    </row>
    <row r="37" spans="2:14" ht="15" x14ac:dyDescent="0.25">
      <c r="B37" s="2234"/>
      <c r="C37" s="665" t="s">
        <v>5450</v>
      </c>
      <c r="D37" s="2237"/>
      <c r="M37" s="2243" t="str">
        <f>IF('202'!T1="NA","OK",IF('202'!I44="","OK",IF('202'!C47="","ERROR","OK")))</f>
        <v>OK</v>
      </c>
    </row>
    <row r="38" spans="2:14" x14ac:dyDescent="0.2">
      <c r="B38" s="2234"/>
      <c r="C38" s="665" t="s">
        <v>5400</v>
      </c>
      <c r="D38" s="665"/>
      <c r="M38" s="2243" t="str">
        <f>IF('202'!T1="NA","OK",IF('202'!M49="",IF('202'!Q49="","ERROR","OK"),IF('202'!Q49="","OK","ERROR")))</f>
        <v>ERROR</v>
      </c>
    </row>
    <row r="39" spans="2:14" ht="15" x14ac:dyDescent="0.25">
      <c r="B39" s="2234"/>
      <c r="C39" s="665" t="s">
        <v>5446</v>
      </c>
      <c r="D39" s="2237"/>
      <c r="M39" s="2243" t="str">
        <f>IF('202'!T1="NA","OK",IF('202'!M49="",IF('202'!Q49="","ERROR",IF('202'!E55="","OK","ERROR")),IF('202'!E55="","ERROR","OK")))</f>
        <v>ERROR</v>
      </c>
    </row>
    <row r="40" spans="2:14" x14ac:dyDescent="0.2">
      <c r="B40" s="2234"/>
      <c r="C40" s="665" t="s">
        <v>5401</v>
      </c>
      <c r="D40" s="665"/>
      <c r="M40" s="2243" t="str">
        <f>IF('202'!T1="NA","OK",IF('202'!M57="",IF('202'!Q57="","ERROR","OK"),IF('202'!Q57="","OK","ERROR")))</f>
        <v>ERROR</v>
      </c>
    </row>
    <row r="41" spans="2:14" ht="15" x14ac:dyDescent="0.25">
      <c r="B41" s="2234"/>
      <c r="C41" s="665" t="s">
        <v>5447</v>
      </c>
      <c r="D41" s="2237"/>
      <c r="M41" s="2243" t="str">
        <f>IF('202'!T1="NA","OK",IF('202'!M57="",IF('202'!Q57="","ERROR",IF('202'!E63="","OK","ERROR")),IF('202'!E63="","ERROR","OK")))</f>
        <v>ERROR</v>
      </c>
    </row>
    <row r="42" spans="2:14" x14ac:dyDescent="0.2">
      <c r="B42" s="2234"/>
      <c r="C42" s="665" t="s">
        <v>5417</v>
      </c>
      <c r="D42" s="665"/>
      <c r="M42" s="2243" t="str">
        <f>IF('202'!T1="NA","OK",IF(AND(ISBLANK('202'!E69),ISBLANK('202'!I69),ISBLANK('202'!M69))=TRUE,"ERROR",IF(COUNTIF('202'!E69:M69,"")&gt;1,"OK","ERROR")))</f>
        <v>ERROR</v>
      </c>
    </row>
    <row r="43" spans="2:14" ht="15" x14ac:dyDescent="0.25">
      <c r="B43" s="2234"/>
      <c r="C43" s="665" t="s">
        <v>5448</v>
      </c>
      <c r="D43" s="2237"/>
      <c r="M43" s="2243" t="str">
        <f>IF('202'!T1="NA","OK",IF('202'!I69="","OK",IF('202'!C72="","ERROR","OK")))</f>
        <v>OK</v>
      </c>
    </row>
    <row r="44" spans="2:14" x14ac:dyDescent="0.2">
      <c r="B44" s="2234"/>
      <c r="C44" s="665" t="s">
        <v>5403</v>
      </c>
      <c r="D44" s="665"/>
      <c r="M44" s="2243" t="str">
        <f>IF('203'!T1="NA","OK",IF('203'!E16="",IF('203'!J16="","ERROR","OK"),IF('203'!Q16="","OK","ERROR")))</f>
        <v>ERROR</v>
      </c>
    </row>
    <row r="45" spans="2:14" x14ac:dyDescent="0.2">
      <c r="B45" s="2234"/>
      <c r="C45" s="665" t="s">
        <v>5404</v>
      </c>
      <c r="D45" s="665"/>
      <c r="M45" s="2243" t="str">
        <f>IF('203'!T1="NA","OK",IF('203'!E28="",IF('203'!J28="","ERROR","OK"),IF('203'!J28="","OK","ERROR")))</f>
        <v>ERROR</v>
      </c>
    </row>
    <row r="46" spans="2:14" ht="15" x14ac:dyDescent="0.25">
      <c r="B46" s="2234"/>
      <c r="C46" s="665" t="s">
        <v>5444</v>
      </c>
      <c r="D46" s="2237"/>
      <c r="M46" s="2243" t="str">
        <f>IF('203'!T1="NA","OK",IF('203'!E28="",IF('203'!J28="","ERROR",IF('203'!C35="","OK","ERROR")),IF('203'!C35="","ERROR","OK")))</f>
        <v>ERROR</v>
      </c>
    </row>
    <row r="47" spans="2:14" x14ac:dyDescent="0.2">
      <c r="B47" s="2234"/>
      <c r="C47" s="665" t="s">
        <v>5405</v>
      </c>
      <c r="D47" s="665"/>
      <c r="M47" s="2243" t="str">
        <f>IF('203'!T1="NA","OK",IF('203'!E50="",IF('203'!J50="","ERROR","OK"),IF('203'!J50="","OK","ERROR")))</f>
        <v>ERROR</v>
      </c>
    </row>
    <row r="48" spans="2:14" ht="15" x14ac:dyDescent="0.25">
      <c r="B48" s="2234"/>
      <c r="C48" s="665" t="s">
        <v>5445</v>
      </c>
      <c r="D48" s="2237"/>
      <c r="M48" s="2243" t="str">
        <f>IF('203'!T1="NA","OK",IF('203'!E50="",IF('203'!J50="","ERROR",IF('203'!C56="","OK","ERROR")),IF('203'!C56="","ERROR","OK")))</f>
        <v>ERROR</v>
      </c>
    </row>
    <row r="49" spans="2:16" x14ac:dyDescent="0.2">
      <c r="B49" s="2234"/>
      <c r="C49" s="665" t="s">
        <v>5683</v>
      </c>
      <c r="D49" s="665"/>
      <c r="M49" s="2243" t="str">
        <f>IF('203'!T1="NA","OK",IF('203'!E64="",IF('203'!J64="","ERROR","OK"),IF('203'!J64="","OK","ERROR")))</f>
        <v>ERROR</v>
      </c>
    </row>
    <row r="50" spans="2:16" x14ac:dyDescent="0.2">
      <c r="B50" s="2234"/>
      <c r="C50" s="665" t="s">
        <v>5684</v>
      </c>
      <c r="D50" s="665"/>
      <c r="M50" s="2243" t="str">
        <f>IF('203'!T1="NA","OK",IF('203'!E93="",IF('203'!J93="","ERROR","OK"),IF('203'!J93="","OK","ERROR")))</f>
        <v>ERROR</v>
      </c>
    </row>
    <row r="51" spans="2:16" x14ac:dyDescent="0.2">
      <c r="B51" s="2234"/>
      <c r="C51" s="665" t="s">
        <v>5433</v>
      </c>
      <c r="D51" s="665"/>
      <c r="M51" s="2245" t="str">
        <f>IF('203'!T1="NA","OK",IF(ISBLANK('203'!C120),"ERROR","OK"))</f>
        <v>ERROR</v>
      </c>
    </row>
    <row r="52" spans="2:16" x14ac:dyDescent="0.2">
      <c r="B52" s="2234"/>
      <c r="C52" s="665" t="s">
        <v>5686</v>
      </c>
      <c r="D52" s="665"/>
      <c r="E52" s="665"/>
      <c r="M52" s="2245" t="str">
        <f>IF('301'!AD1="NA","OK",IF('301'!G56="",IF('301'!K56="","ERROR","OK"),IF('301'!K56="","OK","ERROR")))</f>
        <v>ERROR</v>
      </c>
    </row>
    <row r="53" spans="2:16" x14ac:dyDescent="0.2">
      <c r="B53" s="2234"/>
      <c r="C53" s="665" t="s">
        <v>5687</v>
      </c>
      <c r="D53" s="665"/>
      <c r="E53" s="665"/>
      <c r="M53" s="2245" t="str">
        <f>IF('301'!AD1="NA","OK",IF('301'!G56="",IF('301'!K56="","ERROR",IF('301'!G58="","OK","ERROR")),IF('301'!G58="","ERROR","OK")))</f>
        <v>ERROR</v>
      </c>
    </row>
    <row r="54" spans="2:16" x14ac:dyDescent="0.2">
      <c r="B54" s="2234"/>
      <c r="C54" s="665" t="s">
        <v>5688</v>
      </c>
      <c r="D54" s="665"/>
      <c r="E54" s="665"/>
      <c r="M54" s="2245" t="str">
        <f>IF('301'!AD1="NA","OK",IF(AND(ISBLANK('301'!E63),ISBLANK('301'!G63),ISBLANK('301'!K63))=TRUE,"ERROR",IF(COUNTIF('301'!E63:K63,"")&gt;1,"OK","ERROR")))</f>
        <v>ERROR</v>
      </c>
    </row>
    <row r="55" spans="2:16" x14ac:dyDescent="0.2">
      <c r="B55" s="2234"/>
      <c r="C55" s="665" t="s">
        <v>5687</v>
      </c>
      <c r="D55" s="665"/>
      <c r="E55" s="665"/>
      <c r="M55" s="2245" t="str">
        <f>IF('301'!AD1="NA","OK",IF('301'!E53="","OK",IF('301'!G65="","ERROR","OK")))</f>
        <v>OK</v>
      </c>
      <c r="P55" t="s">
        <v>973</v>
      </c>
    </row>
    <row r="56" spans="2:16" x14ac:dyDescent="0.2">
      <c r="B56" s="2234"/>
      <c r="C56" s="665" t="s">
        <v>5691</v>
      </c>
      <c r="D56" s="665"/>
      <c r="E56" s="665"/>
      <c r="M56" s="2245" t="str">
        <f>IF('301'!AD1="NA","OK",IF('301'!G72="",IF('301'!K72="","ERROR","OK"),IF('301'!K72="","OK","ERROR")))</f>
        <v>ERROR</v>
      </c>
    </row>
    <row r="57" spans="2:16" x14ac:dyDescent="0.2">
      <c r="B57" s="2234"/>
      <c r="C57" s="665" t="s">
        <v>5689</v>
      </c>
      <c r="D57" s="665"/>
      <c r="E57" s="665"/>
      <c r="M57" s="2245" t="str">
        <f>IF('301'!AD1="NA","OK",IF('301'!G77="",IF('301'!K77="","ERROR","OK"),IF('301'!K77="","OK","ERROR")))</f>
        <v>ERROR</v>
      </c>
    </row>
    <row r="58" spans="2:16" x14ac:dyDescent="0.2">
      <c r="B58" s="2234"/>
      <c r="C58" s="665" t="s">
        <v>5687</v>
      </c>
      <c r="D58" s="665"/>
      <c r="E58" s="665"/>
      <c r="M58" s="2245" t="str">
        <f>IF('301'!AD1="NA","OK",IF('301'!G77="",IF('301'!K77="","ERROR",IF('301'!G79="","OK","ERROR")),IF('301'!G79="","ERROR","OK")))</f>
        <v>ERROR</v>
      </c>
    </row>
    <row r="59" spans="2:16" x14ac:dyDescent="0.2">
      <c r="B59" s="2234"/>
      <c r="C59" s="665" t="s">
        <v>5690</v>
      </c>
      <c r="D59" s="665"/>
      <c r="E59" s="665"/>
      <c r="M59" s="2245" t="str">
        <f>IF('301'!AD1="NA","OK",IF(AND(ISBLANK('301'!E84),ISBLANK('301'!G84),ISBLANK('301'!K84))=TRUE,"ERROR",IF(COUNTIF('301'!E84:K84,"")&gt;1,"OK","ERROR")))</f>
        <v>ERROR</v>
      </c>
    </row>
    <row r="60" spans="2:16" x14ac:dyDescent="0.2">
      <c r="B60" s="2234"/>
      <c r="C60" s="665" t="s">
        <v>5687</v>
      </c>
      <c r="D60" s="665"/>
      <c r="E60" s="665"/>
      <c r="M60" s="2245" t="str">
        <f>IF('301'!AD1="NA","OK",IF('301'!E84="","OK",IF('301'!G86="","ERROR","OK")))</f>
        <v>OK</v>
      </c>
    </row>
    <row r="61" spans="2:16" x14ac:dyDescent="0.2">
      <c r="B61" s="2234"/>
      <c r="C61" s="665" t="s">
        <v>5685</v>
      </c>
      <c r="D61" s="665"/>
      <c r="M61" s="2245" t="str">
        <f>IF('305'!P1="NA","OK",IF('305'!K43="",IF('305'!O43="","ERROR","OK"),IF('305'!O43="","OK","ERROR")))</f>
        <v>ERROR</v>
      </c>
    </row>
    <row r="62" spans="2:16" x14ac:dyDescent="0.2">
      <c r="B62" s="2234"/>
      <c r="C62" s="665" t="s">
        <v>5451</v>
      </c>
      <c r="D62" s="665"/>
      <c r="M62" s="2243" t="str">
        <f>IF('322'!N1="NA","OK",IF('322'!C28="",IF('322'!C29="","ERROR","OK"),IF('203'!C29="","OK","ERROR")))</f>
        <v>ERROR</v>
      </c>
    </row>
    <row r="63" spans="2:16" x14ac:dyDescent="0.2">
      <c r="B63" s="2234"/>
      <c r="C63" s="665" t="s">
        <v>5452</v>
      </c>
      <c r="D63" s="665"/>
      <c r="M63" s="2245" t="str">
        <f>IF('330'!O1="NA","OK",IF('330'!M58='330'!M63,"OK","ERROR"))</f>
        <v>OK</v>
      </c>
    </row>
    <row r="64" spans="2:16" x14ac:dyDescent="0.2">
      <c r="B64" s="2234"/>
      <c r="C64" s="665" t="s">
        <v>5434</v>
      </c>
      <c r="D64" s="665"/>
      <c r="M64" s="2243" t="str">
        <f>IF('338'!J1="NA","OK",IF('338'!D28="",IF('338'!D29="","ERROR","OK"),IF('338'!D29="","OK","ERROR")))</f>
        <v>ERROR</v>
      </c>
    </row>
    <row r="65" spans="2:13" x14ac:dyDescent="0.2">
      <c r="B65" s="2234"/>
      <c r="C65" s="665" t="s">
        <v>5407</v>
      </c>
      <c r="D65" s="665"/>
      <c r="M65" s="2243" t="str">
        <f>IF('345'!F30="",IF('345'!I30="","ERROR","OK"),IF('345'!I30="","OK","ERROR"))</f>
        <v>ERROR</v>
      </c>
    </row>
    <row r="66" spans="2:13" x14ac:dyDescent="0.2">
      <c r="B66" s="2234"/>
      <c r="C66" s="665" t="s">
        <v>5408</v>
      </c>
      <c r="D66" s="665"/>
      <c r="M66" s="2243" t="str">
        <f>IF('345'!F39="",IF('345'!I39="","ERROR","OK"),IF('345'!I39="","OK","ERROR"))</f>
        <v>ERROR</v>
      </c>
    </row>
    <row r="67" spans="2:13" ht="15" x14ac:dyDescent="0.25">
      <c r="B67" s="2234"/>
      <c r="C67" s="665" t="s">
        <v>5453</v>
      </c>
      <c r="D67" s="2237"/>
      <c r="M67" s="2243" t="str">
        <f>IF('345'!F39="",IF('345'!I39="","ERROR",IF('345'!D43="","OK","ERROR")),IF('345'!D43="","ERROR","OK"))</f>
        <v>ERROR</v>
      </c>
    </row>
    <row r="68" spans="2:13" x14ac:dyDescent="0.2">
      <c r="B68" s="2234"/>
      <c r="C68" s="665" t="s">
        <v>5406</v>
      </c>
      <c r="D68" s="665"/>
      <c r="M68" s="2243" t="str">
        <f>IF('345'!K52="",IF('345'!K53="","ERROR","OK"),IF('345'!K53="","OK","ERROR"))</f>
        <v>ERROR</v>
      </c>
    </row>
    <row r="69" spans="2:13" x14ac:dyDescent="0.2">
      <c r="B69" s="2234"/>
      <c r="C69" s="665" t="s">
        <v>5418</v>
      </c>
      <c r="D69" s="665"/>
      <c r="M69" s="2243" t="str">
        <f>IF('355'!C29="",IF('355'!E29="","ERROR","OK"),IF('355'!E29="","OK","ERROR"))</f>
        <v>ERROR</v>
      </c>
    </row>
    <row r="70" spans="2:13" x14ac:dyDescent="0.2">
      <c r="B70" s="2234"/>
      <c r="C70" s="665" t="s">
        <v>5419</v>
      </c>
      <c r="D70" s="665"/>
      <c r="M70" s="2243" t="str">
        <f>IF('355'!J43="",IF('355'!L43="","ERROR","OK"),IF('355'!L43="","OK","ERROR"))</f>
        <v>ERROR</v>
      </c>
    </row>
    <row r="71" spans="2:13" x14ac:dyDescent="0.2">
      <c r="B71" s="2234"/>
      <c r="C71" s="665" t="s">
        <v>5454</v>
      </c>
      <c r="D71" s="665"/>
      <c r="M71" s="2243" t="str">
        <f>IF('370'!J1="NA","OK",IF('370'!H18="",IF('370'!J18="","ERROR","OK"),IF('370'!J18="","OK","ERROR")))</f>
        <v>ERROR</v>
      </c>
    </row>
    <row r="72" spans="2:13" x14ac:dyDescent="0.2">
      <c r="B72" s="2234"/>
      <c r="C72" s="665" t="s">
        <v>5455</v>
      </c>
      <c r="D72" s="665"/>
      <c r="M72" s="2243" t="str">
        <f>IF('370'!J1="NA","OK",IF('370'!H20="",IF('370'!J20="","ERROR","OK"),IF('370'!J20="","OK","ERROR")))</f>
        <v>ERROR</v>
      </c>
    </row>
    <row r="73" spans="2:13" x14ac:dyDescent="0.2">
      <c r="B73" s="2234"/>
      <c r="C73" s="665" t="s">
        <v>5420</v>
      </c>
      <c r="D73" s="665"/>
      <c r="M73" s="2243" t="str">
        <f>IF('375-A'!L1="NA","OK",IF('375-A'!C21="",IF('375-A'!C22="","ERROR","OK"),IF('375-A'!C22="","OK","ERROR")))</f>
        <v>ERROR</v>
      </c>
    </row>
    <row r="74" spans="2:13" ht="15" x14ac:dyDescent="0.25">
      <c r="B74" s="2234"/>
      <c r="C74" s="665" t="s">
        <v>5456</v>
      </c>
      <c r="D74" s="2237"/>
      <c r="M74" s="2243" t="str">
        <f>IF('375-A'!L1="NA","OK",IF('375-A'!C21="",IF('375-A'!C22="","ERROR",IF('375-A'!A31="","OK","ERROR")),IF('375-A'!A31="","ERROR","OK")))</f>
        <v>ERROR</v>
      </c>
    </row>
    <row r="75" spans="2:13" x14ac:dyDescent="0.2">
      <c r="B75" s="2234"/>
      <c r="C75" s="665" t="s">
        <v>5421</v>
      </c>
      <c r="D75" s="665"/>
      <c r="M75" s="2243" t="str">
        <f>IF('375-B'!L1="NA","OK",IF('375-B'!C20="",IF('375-B'!C21="","ERROR","OK"),IF('375-B'!C21="","OK","ERROR")))</f>
        <v>ERROR</v>
      </c>
    </row>
    <row r="76" spans="2:13" ht="15" x14ac:dyDescent="0.25">
      <c r="B76" s="2234"/>
      <c r="C76" s="665" t="s">
        <v>5457</v>
      </c>
      <c r="D76" s="2237"/>
      <c r="M76" s="2243" t="str">
        <f>IF('375-B'!L1="NA","OK",IF('375-B'!C20="",IF('375-B'!C21="","ERROR",IF('375-B'!A30="","OK","ERROR")),IF('375-B'!A30="","ERROR","OK")))</f>
        <v>ERROR</v>
      </c>
    </row>
    <row r="77" spans="2:13" x14ac:dyDescent="0.2">
      <c r="B77" s="2234"/>
      <c r="C77" s="665" t="s">
        <v>5409</v>
      </c>
      <c r="D77" s="665"/>
      <c r="M77" s="2243" t="str">
        <f>IF('425'!D17="",IF('425'!H17="","ERROR","OK"),IF('425'!H17="","OK","ERROR"))</f>
        <v>ERROR</v>
      </c>
    </row>
    <row r="78" spans="2:13" ht="15" x14ac:dyDescent="0.25">
      <c r="B78" s="2234"/>
      <c r="C78" s="665" t="s">
        <v>5458</v>
      </c>
      <c r="D78" s="2237"/>
      <c r="M78" s="2243" t="str">
        <f>IF('425'!D17="",IF('425'!H17="","ERROR",IF('425'!B20="","ERROR","OK")),IF('425'!B20="","OK","ERROR"))</f>
        <v>ERROR</v>
      </c>
    </row>
    <row r="79" spans="2:13" x14ac:dyDescent="0.2">
      <c r="B79" s="2234"/>
      <c r="C79" s="665" t="s">
        <v>5424</v>
      </c>
      <c r="D79" s="665"/>
      <c r="M79" s="2243" t="str">
        <f>IF('501'!U1="NA","OK",IF('501'!H32='501'!R32,"OK","ERROR"))</f>
        <v>OK</v>
      </c>
    </row>
    <row r="80" spans="2:13" x14ac:dyDescent="0.2">
      <c r="B80" s="2234"/>
      <c r="C80" s="665" t="s">
        <v>5425</v>
      </c>
      <c r="D80" s="665"/>
      <c r="M80" s="2243" t="str">
        <f>IF('540'!AI1="NA","OK",IF('540'!H28='540'!P28,"OK","ERROR"))</f>
        <v>OK</v>
      </c>
    </row>
    <row r="81" spans="2:14" x14ac:dyDescent="0.2">
      <c r="B81" s="2234"/>
      <c r="C81" s="665" t="s">
        <v>5426</v>
      </c>
      <c r="M81" s="2243" t="str">
        <f>IF('545'!AF1="NA","OK",IF('545'!H33='545'!P33,"OK","ERROR"))</f>
        <v>OK</v>
      </c>
    </row>
    <row r="82" spans="2:14" x14ac:dyDescent="0.2">
      <c r="B82" s="2234"/>
      <c r="C82" s="665" t="s">
        <v>5394</v>
      </c>
      <c r="D82" s="665"/>
      <c r="M82" s="2243" t="str">
        <f>IF('602'!P1="NA","OK",IF('602'!K14&lt;0.01,"ERROR",IF('602'!K31&lt;0.01,"ERROR",IF('602'!K48&lt;0.01,"ERROR","OK"))))</f>
        <v>ERROR</v>
      </c>
    </row>
    <row r="83" spans="2:14" x14ac:dyDescent="0.2">
      <c r="B83" s="2234"/>
      <c r="C83" s="665" t="s">
        <v>5422</v>
      </c>
      <c r="D83" s="665"/>
      <c r="M83" s="2245" t="str">
        <f>IF('605'!P1="NA","OK",IF(ISBLANK('605'!M35),"ERROR","OK"))</f>
        <v>ERROR</v>
      </c>
    </row>
    <row r="84" spans="2:14" x14ac:dyDescent="0.2">
      <c r="B84" s="2234"/>
      <c r="C84" s="665" t="s">
        <v>5423</v>
      </c>
      <c r="D84" s="665"/>
      <c r="M84" s="2245" t="str">
        <f>IF('610'!I1="NA","OK",IF(ISBLANK('610'!G29),"ERROR","OK"))</f>
        <v>ERROR</v>
      </c>
    </row>
    <row r="85" spans="2:14" x14ac:dyDescent="0.2">
      <c r="B85" s="2234"/>
      <c r="C85" s="665" t="s">
        <v>5577</v>
      </c>
      <c r="D85" s="665"/>
      <c r="M85" s="2245" t="str">
        <f>IF('616'!K1="NA","OK",IF('616'!D30='905'!F25,"OK","ERROR"))</f>
        <v>OK</v>
      </c>
    </row>
    <row r="86" spans="2:14" x14ac:dyDescent="0.2">
      <c r="B86" s="2234"/>
      <c r="C86" s="665" t="s">
        <v>5578</v>
      </c>
      <c r="D86" s="665"/>
      <c r="M86" s="2245" t="str">
        <f>IF('616'!K1="NA","OK",IF('616'!D47='905'!F111,"OK","ERROR"))</f>
        <v>OK</v>
      </c>
    </row>
    <row r="87" spans="2:14" x14ac:dyDescent="0.2">
      <c r="B87" s="2234"/>
      <c r="C87" s="665" t="s">
        <v>5579</v>
      </c>
      <c r="M87" s="2245" t="str">
        <f>IF('710'!S1="NA","OK",IF('710'!K38=('710'!M38+'710'!O38+'710'!Q38),"OK","ERROR"))</f>
        <v>OK</v>
      </c>
    </row>
    <row r="88" spans="2:14" x14ac:dyDescent="0.2">
      <c r="B88" s="2234"/>
      <c r="C88" s="665" t="s">
        <v>5580</v>
      </c>
      <c r="M88" s="2245" t="str">
        <f ca="1">IF('720'!R1="NA","OK",IF('720'!I35=('720'!K35+'720'!M35+'720'!O35+'720'!Q35),"OK","ERROR"))</f>
        <v>OK</v>
      </c>
    </row>
    <row r="89" spans="2:14" x14ac:dyDescent="0.2">
      <c r="B89" s="2234"/>
      <c r="C89" s="665" t="s">
        <v>5581</v>
      </c>
      <c r="M89" s="2245" t="str">
        <f>IF('725'!R4="NA","OK",IF(AND(ISBLANK('725'!J37),ISBLANK('725'!N37),ISBLANK('725'!R37))=TRUE,"ERROR",IF(COUNTA('725'!J37:R37,"")&gt;4,"ERROR","OK")))</f>
        <v>ERROR</v>
      </c>
      <c r="N89" t="s">
        <v>973</v>
      </c>
    </row>
    <row r="90" spans="2:14" x14ac:dyDescent="0.2">
      <c r="B90" s="2234"/>
      <c r="C90" s="665" t="s">
        <v>5582</v>
      </c>
      <c r="M90" s="2245" t="str">
        <f>IF('725'!R4="NA","OK",IF('725'!J37="","OK",IF('725'!D42="","ERROR","OK")))</f>
        <v>OK</v>
      </c>
    </row>
    <row r="91" spans="2:14" x14ac:dyDescent="0.2">
      <c r="B91" s="2234"/>
      <c r="C91" s="665" t="s">
        <v>5583</v>
      </c>
      <c r="M91" s="2245" t="str">
        <f>IF('755'!U1="NA","OK",IF('755'!O80="",IF('755'!O81="","ERROR","OK"),IF('755'!O81="","OK","ERROR")))</f>
        <v>ERROR</v>
      </c>
    </row>
    <row r="92" spans="2:14" x14ac:dyDescent="0.2">
      <c r="B92" s="2234"/>
      <c r="C92" s="665" t="s">
        <v>5584</v>
      </c>
      <c r="M92" s="2245" t="str">
        <f>IF('755'!U1="NA","OK",IF('755'!O83="",IF('755'!O84="","ERROR","OK"),IF('755'!O84="","OK","ERROR")))</f>
        <v>ERROR</v>
      </c>
    </row>
    <row r="93" spans="2:14" x14ac:dyDescent="0.2">
      <c r="B93" s="2234"/>
      <c r="C93" s="665" t="s">
        <v>5585</v>
      </c>
      <c r="M93" s="2245" t="str">
        <f>IF('765'!J1="NA","OK",IF('765'!D33="",IF('765'!D34="","ERROR","OK"),IF('765'!D34="","OK","ERROR")))</f>
        <v>ERROR</v>
      </c>
    </row>
    <row r="94" spans="2:14" x14ac:dyDescent="0.2">
      <c r="B94" s="2234"/>
      <c r="C94" s="665" t="s">
        <v>5586</v>
      </c>
      <c r="M94" s="2245" t="str">
        <f>IF('765'!J1="NA","OK",IF('765'!D48="",IF('765'!D49="","ERROR","OK"),IF('765'!D49="","OK","ERROR")))</f>
        <v>ERROR</v>
      </c>
    </row>
    <row r="95" spans="2:14" x14ac:dyDescent="0.2">
      <c r="B95" s="2234"/>
      <c r="C95" s="665" t="s">
        <v>5428</v>
      </c>
      <c r="M95" s="2246" t="str">
        <f>IF('905'!H1="NA","OK",IF('905'!F189="0","OK","ERROR"))</f>
        <v>ERROR</v>
      </c>
    </row>
    <row r="96" spans="2:14" x14ac:dyDescent="0.2">
      <c r="B96" s="2234"/>
      <c r="C96" s="665" t="s">
        <v>5692</v>
      </c>
      <c r="M96" s="2246" t="str">
        <f>IF('905'!H1="NA","OK",IF('905'!F256="OK","OK","ERROR"))</f>
        <v>ERROR</v>
      </c>
    </row>
    <row r="97" spans="2:14" x14ac:dyDescent="0.2">
      <c r="B97" s="2234"/>
      <c r="C97" s="665" t="s">
        <v>5429</v>
      </c>
      <c r="M97" s="2245" t="str">
        <f>IF('905'!H1="NA","OK",IF(ISBLANK('905'!A265),"ERROR","OK"))</f>
        <v>ERROR</v>
      </c>
    </row>
    <row r="98" spans="2:14" x14ac:dyDescent="0.2">
      <c r="B98" s="2234"/>
      <c r="C98" s="665" t="s">
        <v>5587</v>
      </c>
      <c r="M98" s="2245" t="str">
        <f>IF('906-6B'!K1="NA","OK",IF('906-6B'!J87='906-6B'!J56,"OK","ERROR"))</f>
        <v>ERROR</v>
      </c>
    </row>
    <row r="99" spans="2:14" x14ac:dyDescent="0.2">
      <c r="B99" s="2234"/>
      <c r="C99" s="665" t="s">
        <v>5588</v>
      </c>
      <c r="M99" s="2245" t="str">
        <f>IF('906-6C'!K1="NA","OK",IF('906-6C'!J87='906-6C'!J56,"OK","ERROR"))</f>
        <v>ERROR</v>
      </c>
    </row>
    <row r="100" spans="2:14" x14ac:dyDescent="0.2">
      <c r="B100" s="2234"/>
      <c r="C100" s="665" t="s">
        <v>5589</v>
      </c>
      <c r="M100" s="2245" t="str">
        <f>IF('906-6BC'!K1="NA","OK",IF('906-6BC'!J88='906-6BC'!J57,"OK","ERROR"))</f>
        <v>ERROR</v>
      </c>
      <c r="N100" t="s">
        <v>973</v>
      </c>
    </row>
    <row r="101" spans="2:14" ht="13.5" thickBot="1" x14ac:dyDescent="0.25">
      <c r="B101" s="2235"/>
      <c r="C101" s="838"/>
      <c r="D101" s="838"/>
      <c r="E101" s="838"/>
      <c r="F101" s="838"/>
      <c r="G101" s="838"/>
      <c r="H101" s="838"/>
      <c r="I101" s="838"/>
      <c r="J101" s="838"/>
      <c r="K101" s="838"/>
      <c r="L101" s="838"/>
      <c r="M101" s="2242"/>
    </row>
  </sheetData>
  <sheetProtection algorithmName="SHA-512" hashValue="WPhrSMtlZAeOsQgRazs5RBp8/2Ky9xo52o/Oprdt/dBKLY2lWRcTayZTFbZ4zizBSZxeWmDZD6s6PU7pbWahPg==" saltValue="68klz/Mm4TDERS5ggC/FHA==" spinCount="100000" sheet="1" objects="1" scenarios="1" autoFilter="0"/>
  <mergeCells count="3">
    <mergeCell ref="A1:N1"/>
    <mergeCell ref="A2:M2"/>
    <mergeCell ref="A3:M3"/>
  </mergeCells>
  <conditionalFormatting sqref="M82 M79:M80 M13:M24">
    <cfRule type="cellIs" dxfId="271" priority="148" operator="equal">
      <formula>"ERROR"</formula>
    </cfRule>
    <cfRule type="cellIs" dxfId="270" priority="149" operator="equal">
      <formula>"OK"</formula>
    </cfRule>
  </conditionalFormatting>
  <conditionalFormatting sqref="M25">
    <cfRule type="cellIs" dxfId="269" priority="130" operator="equal">
      <formula>"ERROR"</formula>
    </cfRule>
    <cfRule type="cellIs" dxfId="268" priority="131" operator="equal">
      <formula>"OK"</formula>
    </cfRule>
  </conditionalFormatting>
  <conditionalFormatting sqref="M26:M28 M87:M96 M51:M61">
    <cfRule type="cellIs" dxfId="267" priority="115" operator="equal">
      <formula>"OK"</formula>
    </cfRule>
    <cfRule type="cellIs" dxfId="266" priority="116" operator="equal">
      <formula>"ERROR"</formula>
    </cfRule>
  </conditionalFormatting>
  <conditionalFormatting sqref="M29">
    <cfRule type="cellIs" dxfId="265" priority="93" operator="equal">
      <formula>"OK"</formula>
    </cfRule>
    <cfRule type="cellIs" dxfId="264" priority="94" operator="equal">
      <formula>"ERROR"</formula>
    </cfRule>
  </conditionalFormatting>
  <conditionalFormatting sqref="M34">
    <cfRule type="cellIs" dxfId="263" priority="87" operator="equal">
      <formula>"OK"</formula>
    </cfRule>
    <cfRule type="cellIs" dxfId="262" priority="88" operator="equal">
      <formula>"ERROR"</formula>
    </cfRule>
  </conditionalFormatting>
  <conditionalFormatting sqref="M38">
    <cfRule type="cellIs" dxfId="261" priority="85" operator="equal">
      <formula>"OK"</formula>
    </cfRule>
    <cfRule type="cellIs" dxfId="260" priority="86" operator="equal">
      <formula>"ERROR"</formula>
    </cfRule>
  </conditionalFormatting>
  <conditionalFormatting sqref="M40">
    <cfRule type="cellIs" dxfId="259" priority="83" operator="equal">
      <formula>"OK"</formula>
    </cfRule>
    <cfRule type="cellIs" dxfId="258" priority="84" operator="equal">
      <formula>"ERROR"</formula>
    </cfRule>
  </conditionalFormatting>
  <conditionalFormatting sqref="M44">
    <cfRule type="cellIs" dxfId="257" priority="79" operator="equal">
      <formula>"OK"</formula>
    </cfRule>
    <cfRule type="cellIs" dxfId="256" priority="80" operator="equal">
      <formula>"ERROR"</formula>
    </cfRule>
  </conditionalFormatting>
  <conditionalFormatting sqref="M45">
    <cfRule type="cellIs" dxfId="255" priority="77" operator="equal">
      <formula>"OK"</formula>
    </cfRule>
    <cfRule type="cellIs" dxfId="254" priority="78" operator="equal">
      <formula>"ERROR"</formula>
    </cfRule>
  </conditionalFormatting>
  <conditionalFormatting sqref="M47">
    <cfRule type="cellIs" dxfId="253" priority="75" operator="equal">
      <formula>"OK"</formula>
    </cfRule>
    <cfRule type="cellIs" dxfId="252" priority="76" operator="equal">
      <formula>"ERROR"</formula>
    </cfRule>
  </conditionalFormatting>
  <conditionalFormatting sqref="M12">
    <cfRule type="cellIs" dxfId="251" priority="73" operator="equal">
      <formula>"OK"</formula>
    </cfRule>
    <cfRule type="cellIs" dxfId="250" priority="74" operator="equal">
      <formula>"ERROR"</formula>
    </cfRule>
  </conditionalFormatting>
  <conditionalFormatting sqref="M32">
    <cfRule type="cellIs" dxfId="249" priority="71" operator="equal">
      <formula>"ERROR"</formula>
    </cfRule>
    <cfRule type="cellIs" dxfId="248" priority="72" operator="equal">
      <formula>"OK"</formula>
    </cfRule>
  </conditionalFormatting>
  <conditionalFormatting sqref="M36">
    <cfRule type="cellIs" dxfId="247" priority="69" operator="equal">
      <formula>"ERROR"</formula>
    </cfRule>
    <cfRule type="cellIs" dxfId="246" priority="70" operator="equal">
      <formula>"OK"</formula>
    </cfRule>
  </conditionalFormatting>
  <conditionalFormatting sqref="M42">
    <cfRule type="cellIs" dxfId="245" priority="63" operator="equal">
      <formula>"ERROR"</formula>
    </cfRule>
    <cfRule type="cellIs" dxfId="244" priority="64" operator="equal">
      <formula>"OK"</formula>
    </cfRule>
  </conditionalFormatting>
  <conditionalFormatting sqref="M65">
    <cfRule type="cellIs" dxfId="243" priority="61" operator="equal">
      <formula>"OK"</formula>
    </cfRule>
    <cfRule type="cellIs" dxfId="242" priority="62" operator="equal">
      <formula>"ERROR"</formula>
    </cfRule>
  </conditionalFormatting>
  <conditionalFormatting sqref="M66">
    <cfRule type="cellIs" dxfId="241" priority="59" operator="equal">
      <formula>"OK"</formula>
    </cfRule>
    <cfRule type="cellIs" dxfId="240" priority="60" operator="equal">
      <formula>"ERROR"</formula>
    </cfRule>
  </conditionalFormatting>
  <conditionalFormatting sqref="M68">
    <cfRule type="cellIs" dxfId="239" priority="57" operator="equal">
      <formula>"ERROR"</formula>
    </cfRule>
    <cfRule type="cellIs" dxfId="238" priority="58" operator="equal">
      <formula>"OK"</formula>
    </cfRule>
  </conditionalFormatting>
  <conditionalFormatting sqref="M69">
    <cfRule type="cellIs" dxfId="237" priority="55" operator="equal">
      <formula>"ERROR"</formula>
    </cfRule>
    <cfRule type="cellIs" dxfId="236" priority="56" operator="equal">
      <formula>"OK"</formula>
    </cfRule>
  </conditionalFormatting>
  <conditionalFormatting sqref="M70">
    <cfRule type="cellIs" dxfId="235" priority="53" operator="equal">
      <formula>"ERROR"</formula>
    </cfRule>
    <cfRule type="cellIs" dxfId="234" priority="54" operator="equal">
      <formula>"OK"</formula>
    </cfRule>
  </conditionalFormatting>
  <conditionalFormatting sqref="M77">
    <cfRule type="cellIs" dxfId="233" priority="51" operator="equal">
      <formula>"ERROR"</formula>
    </cfRule>
    <cfRule type="cellIs" dxfId="232" priority="52" operator="equal">
      <formula>"OK"</formula>
    </cfRule>
  </conditionalFormatting>
  <conditionalFormatting sqref="M73">
    <cfRule type="cellIs" dxfId="231" priority="49" operator="equal">
      <formula>"OK"</formula>
    </cfRule>
    <cfRule type="cellIs" dxfId="230" priority="50" operator="equal">
      <formula>"ERROR"</formula>
    </cfRule>
  </conditionalFormatting>
  <conditionalFormatting sqref="M75">
    <cfRule type="cellIs" dxfId="229" priority="47" operator="equal">
      <formula>"OK"</formula>
    </cfRule>
    <cfRule type="cellIs" dxfId="228" priority="48" operator="equal">
      <formula>"ERROR"</formula>
    </cfRule>
  </conditionalFormatting>
  <conditionalFormatting sqref="M83">
    <cfRule type="cellIs" dxfId="227" priority="45" operator="equal">
      <formula>"OK"</formula>
    </cfRule>
    <cfRule type="cellIs" dxfId="226" priority="46" operator="equal">
      <formula>"ERROR"</formula>
    </cfRule>
  </conditionalFormatting>
  <conditionalFormatting sqref="M84:M86">
    <cfRule type="cellIs" dxfId="225" priority="43" operator="equal">
      <formula>"OK"</formula>
    </cfRule>
    <cfRule type="cellIs" dxfId="224" priority="44" operator="equal">
      <formula>"ERROR"</formula>
    </cfRule>
  </conditionalFormatting>
  <conditionalFormatting sqref="M97:M100">
    <cfRule type="cellIs" dxfId="223" priority="41" operator="equal">
      <formula>"OK"</formula>
    </cfRule>
    <cfRule type="cellIs" dxfId="222" priority="42" operator="equal">
      <formula>"ERROR"</formula>
    </cfRule>
  </conditionalFormatting>
  <conditionalFormatting sqref="M81">
    <cfRule type="cellIs" dxfId="221" priority="37" operator="equal">
      <formula>"ERROR"</formula>
    </cfRule>
    <cfRule type="cellIs" dxfId="220" priority="38" operator="equal">
      <formula>"OK"</formula>
    </cfRule>
  </conditionalFormatting>
  <conditionalFormatting sqref="M63">
    <cfRule type="cellIs" dxfId="219" priority="35" operator="equal">
      <formula>"OK"</formula>
    </cfRule>
    <cfRule type="cellIs" dxfId="218" priority="36" operator="equal">
      <formula>"ERROR"</formula>
    </cfRule>
  </conditionalFormatting>
  <conditionalFormatting sqref="M64">
    <cfRule type="cellIs" dxfId="217" priority="33" operator="equal">
      <formula>"OK"</formula>
    </cfRule>
    <cfRule type="cellIs" dxfId="216" priority="34" operator="equal">
      <formula>"ERROR"</formula>
    </cfRule>
  </conditionalFormatting>
  <conditionalFormatting sqref="M30:M31">
    <cfRule type="cellIs" dxfId="215" priority="29" operator="equal">
      <formula>"ERROR"</formula>
    </cfRule>
    <cfRule type="cellIs" dxfId="214" priority="30" operator="equal">
      <formula>"OK"</formula>
    </cfRule>
  </conditionalFormatting>
  <conditionalFormatting sqref="M33">
    <cfRule type="cellIs" dxfId="213" priority="27" operator="equal">
      <formula>"ERROR"</formula>
    </cfRule>
    <cfRule type="cellIs" dxfId="212" priority="28" operator="equal">
      <formula>"OK"</formula>
    </cfRule>
  </conditionalFormatting>
  <conditionalFormatting sqref="M46">
    <cfRule type="cellIs" dxfId="211" priority="25" operator="equal">
      <formula>"ERROR"</formula>
    </cfRule>
    <cfRule type="cellIs" dxfId="210" priority="26" operator="equal">
      <formula>"OK"</formula>
    </cfRule>
  </conditionalFormatting>
  <conditionalFormatting sqref="M48:M50">
    <cfRule type="cellIs" dxfId="209" priority="23" operator="equal">
      <formula>"ERROR"</formula>
    </cfRule>
    <cfRule type="cellIs" dxfId="208" priority="24" operator="equal">
      <formula>"OK"</formula>
    </cfRule>
  </conditionalFormatting>
  <conditionalFormatting sqref="M39">
    <cfRule type="cellIs" dxfId="207" priority="21" operator="equal">
      <formula>"ERROR"</formula>
    </cfRule>
    <cfRule type="cellIs" dxfId="206" priority="22" operator="equal">
      <formula>"OK"</formula>
    </cfRule>
  </conditionalFormatting>
  <conditionalFormatting sqref="M41">
    <cfRule type="cellIs" dxfId="205" priority="19" operator="equal">
      <formula>"ERROR"</formula>
    </cfRule>
    <cfRule type="cellIs" dxfId="204" priority="20" operator="equal">
      <formula>"OK"</formula>
    </cfRule>
  </conditionalFormatting>
  <conditionalFormatting sqref="M43">
    <cfRule type="cellIs" dxfId="203" priority="17" operator="equal">
      <formula>"ERROR"</formula>
    </cfRule>
    <cfRule type="cellIs" dxfId="202" priority="18" operator="equal">
      <formula>"OK"</formula>
    </cfRule>
  </conditionalFormatting>
  <conditionalFormatting sqref="M35">
    <cfRule type="cellIs" dxfId="201" priority="15" operator="equal">
      <formula>"ERROR"</formula>
    </cfRule>
    <cfRule type="cellIs" dxfId="200" priority="16" operator="equal">
      <formula>"OK"</formula>
    </cfRule>
  </conditionalFormatting>
  <conditionalFormatting sqref="M37">
    <cfRule type="cellIs" dxfId="199" priority="13" operator="equal">
      <formula>"ERROR"</formula>
    </cfRule>
    <cfRule type="cellIs" dxfId="198" priority="14" operator="equal">
      <formula>"OK"</formula>
    </cfRule>
  </conditionalFormatting>
  <conditionalFormatting sqref="M62">
    <cfRule type="cellIs" dxfId="197" priority="11" operator="equal">
      <formula>"OK"</formula>
    </cfRule>
    <cfRule type="cellIs" dxfId="196" priority="12" operator="equal">
      <formula>"ERROR"</formula>
    </cfRule>
  </conditionalFormatting>
  <conditionalFormatting sqref="M67">
    <cfRule type="cellIs" dxfId="195" priority="9" operator="equal">
      <formula>"ERROR"</formula>
    </cfRule>
    <cfRule type="cellIs" dxfId="194" priority="10" operator="equal">
      <formula>"OK"</formula>
    </cfRule>
  </conditionalFormatting>
  <conditionalFormatting sqref="M71:M72">
    <cfRule type="cellIs" dxfId="193" priority="7" operator="equal">
      <formula>"OK"</formula>
    </cfRule>
    <cfRule type="cellIs" dxfId="192" priority="8" operator="equal">
      <formula>"ERROR"</formula>
    </cfRule>
  </conditionalFormatting>
  <conditionalFormatting sqref="M74">
    <cfRule type="cellIs" dxfId="191" priority="5" operator="equal">
      <formula>"ERROR"</formula>
    </cfRule>
    <cfRule type="cellIs" dxfId="190" priority="6" operator="equal">
      <formula>"OK"</formula>
    </cfRule>
  </conditionalFormatting>
  <conditionalFormatting sqref="M76">
    <cfRule type="cellIs" dxfId="189" priority="3" operator="equal">
      <formula>"ERROR"</formula>
    </cfRule>
    <cfRule type="cellIs" dxfId="188" priority="4" operator="equal">
      <formula>"OK"</formula>
    </cfRule>
  </conditionalFormatting>
  <conditionalFormatting sqref="M78">
    <cfRule type="cellIs" dxfId="187" priority="1" operator="equal">
      <formula>"ERROR"</formula>
    </cfRule>
    <cfRule type="cellIs" dxfId="186" priority="2" operator="equal">
      <formula>"OK"</formula>
    </cfRule>
  </conditionalFormatting>
  <pageMargins left="0.7" right="0.7" top="0.75" bottom="0.75" header="0.3" footer="0.3"/>
  <pageSetup scale="7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1">
    <pageSetUpPr fitToPage="1"/>
  </sheetPr>
  <dimension ref="A1:L35"/>
  <sheetViews>
    <sheetView showGridLines="0" zoomScaleNormal="100" workbookViewId="0">
      <selection activeCell="D18" sqref="D18"/>
    </sheetView>
  </sheetViews>
  <sheetFormatPr defaultColWidth="9.42578125" defaultRowHeight="12.75" x14ac:dyDescent="0.2"/>
  <cols>
    <col min="1" max="1" width="3.5703125" style="61" customWidth="1"/>
    <col min="2" max="2" width="10.42578125" style="61" customWidth="1"/>
    <col min="3" max="3" width="1.42578125" style="61" customWidth="1"/>
    <col min="4" max="4" width="6.5703125" style="61" customWidth="1"/>
    <col min="5" max="5" width="9.42578125" style="61"/>
    <col min="6" max="6" width="0.5703125" style="61" customWidth="1"/>
    <col min="7" max="7" width="13.42578125" style="61" customWidth="1"/>
    <col min="8" max="8" width="9.42578125" style="61"/>
    <col min="9" max="9" width="9" style="61" customWidth="1"/>
    <col min="10" max="10" width="9.42578125" style="61"/>
    <col min="11" max="11" width="16.42578125" style="61" customWidth="1"/>
    <col min="12" max="12" width="4.5703125" style="61" customWidth="1"/>
    <col min="13" max="16384" width="9.42578125" style="61"/>
  </cols>
  <sheetData>
    <row r="1" spans="1:12" s="63" customFormat="1" ht="15.75" x14ac:dyDescent="0.25">
      <c r="B1" s="2449" t="str">
        <f>+Index!$A$1</f>
        <v xml:space="preserve">                                                               Office of the State Controller                                                                </v>
      </c>
      <c r="C1" s="2449"/>
      <c r="D1" s="2449"/>
      <c r="E1" s="2449"/>
      <c r="F1" s="2449"/>
      <c r="G1" s="2449"/>
      <c r="H1" s="2449"/>
      <c r="I1" s="2449"/>
      <c r="J1" s="2449"/>
      <c r="K1" s="2449"/>
      <c r="L1" s="2450"/>
    </row>
    <row r="2" spans="1:12" s="63" customFormat="1" ht="15.75" x14ac:dyDescent="0.25">
      <c r="B2" s="2458" t="str">
        <f>+Index!$A$2</f>
        <v>2022 ACFR Worksheets</v>
      </c>
      <c r="C2" s="2696"/>
      <c r="D2" s="2696"/>
      <c r="E2" s="2696"/>
      <c r="F2" s="2696"/>
      <c r="G2" s="2696"/>
      <c r="H2" s="2696"/>
      <c r="I2" s="2696"/>
      <c r="J2" s="2696"/>
      <c r="K2" s="2696"/>
      <c r="L2" s="2450"/>
    </row>
    <row r="3" spans="1:12" s="63" customFormat="1" ht="15.75" x14ac:dyDescent="0.25">
      <c r="B3" s="2458" t="s">
        <v>3553</v>
      </c>
      <c r="C3" s="2696"/>
      <c r="D3" s="2696"/>
      <c r="E3" s="2696"/>
      <c r="F3" s="2696"/>
      <c r="G3" s="2696"/>
      <c r="H3" s="2696"/>
      <c r="I3" s="2696"/>
      <c r="J3" s="2696"/>
      <c r="K3" s="2696"/>
      <c r="L3" s="2450"/>
    </row>
    <row r="4" spans="1:12" ht="15.75" customHeight="1" x14ac:dyDescent="0.3">
      <c r="I4" s="64" t="s">
        <v>973</v>
      </c>
    </row>
    <row r="5" spans="1:12" ht="15.75" x14ac:dyDescent="0.25">
      <c r="B5" s="65" t="s">
        <v>246</v>
      </c>
      <c r="C5" s="66"/>
      <c r="D5" s="65" t="s">
        <v>971</v>
      </c>
      <c r="E5" s="66"/>
      <c r="H5" s="67" t="s">
        <v>327</v>
      </c>
      <c r="I5" s="2698" t="str">
        <f>+Index!$E$10</f>
        <v>01</v>
      </c>
      <c r="J5" s="2698"/>
      <c r="K5" s="2698"/>
      <c r="L5" s="68"/>
    </row>
    <row r="6" spans="1:12" ht="15.75" x14ac:dyDescent="0.25">
      <c r="C6" s="66"/>
      <c r="E6" s="69"/>
      <c r="H6" s="67" t="s">
        <v>1154</v>
      </c>
      <c r="I6" s="2698" t="str">
        <f>+Index!$E$11</f>
        <v>North Carolina General Assembly</v>
      </c>
      <c r="J6" s="2698"/>
      <c r="K6" s="2698"/>
      <c r="L6" s="68"/>
    </row>
    <row r="7" spans="1:12" ht="15.75" x14ac:dyDescent="0.25">
      <c r="B7" s="65"/>
      <c r="C7" s="66"/>
      <c r="E7" s="254"/>
      <c r="H7" s="67" t="s">
        <v>972</v>
      </c>
      <c r="I7" s="2701" t="str">
        <f>CONCATENATE(Index!$E$12," ",Index!$E$14)</f>
        <v xml:space="preserve"> </v>
      </c>
      <c r="J7" s="2701"/>
      <c r="K7" s="2701"/>
      <c r="L7" s="68"/>
    </row>
    <row r="8" spans="1:12" ht="15.75" x14ac:dyDescent="0.25">
      <c r="B8" s="65"/>
      <c r="C8" s="66"/>
      <c r="E8" s="254"/>
      <c r="H8" s="67" t="s">
        <v>348</v>
      </c>
      <c r="I8" s="2697">
        <f>+Index!$E$13</f>
        <v>0</v>
      </c>
      <c r="J8" s="2697"/>
      <c r="K8" s="2697"/>
      <c r="L8" s="68"/>
    </row>
    <row r="9" spans="1:12" ht="7.5" customHeight="1" thickBot="1" x14ac:dyDescent="0.3">
      <c r="A9" s="70"/>
      <c r="B9" s="70"/>
      <c r="C9" s="70"/>
      <c r="D9" s="70"/>
      <c r="E9" s="70"/>
      <c r="F9" s="70"/>
      <c r="G9" s="70"/>
      <c r="H9" s="70"/>
      <c r="I9" s="70"/>
      <c r="J9" s="70"/>
      <c r="K9" s="70"/>
    </row>
    <row r="10" spans="1:12" ht="7.5" customHeight="1" x14ac:dyDescent="0.25">
      <c r="B10" s="66"/>
      <c r="C10" s="66"/>
      <c r="D10" s="66"/>
      <c r="E10" s="66"/>
      <c r="F10" s="66"/>
      <c r="G10" s="66"/>
      <c r="H10" s="66"/>
      <c r="I10" s="66"/>
      <c r="J10" s="66"/>
      <c r="K10" s="66"/>
    </row>
    <row r="11" spans="1:12" ht="15" customHeight="1" x14ac:dyDescent="0.25">
      <c r="A11" s="240"/>
      <c r="B11" s="908" t="s">
        <v>1306</v>
      </c>
      <c r="C11" s="66"/>
      <c r="D11" s="66"/>
      <c r="E11" s="66"/>
      <c r="F11" s="66"/>
      <c r="G11" s="66"/>
      <c r="H11" s="66"/>
      <c r="I11" s="66"/>
      <c r="J11" s="66"/>
      <c r="K11" s="66"/>
    </row>
    <row r="12" spans="1:12" ht="15" customHeight="1" x14ac:dyDescent="0.25">
      <c r="A12" s="240"/>
      <c r="B12" s="908"/>
      <c r="C12" s="66"/>
      <c r="D12" s="66"/>
      <c r="E12" s="66"/>
      <c r="F12" s="66"/>
      <c r="G12" s="66"/>
      <c r="H12" s="66"/>
      <c r="I12" s="66"/>
      <c r="J12" s="66"/>
      <c r="K12" s="66"/>
    </row>
    <row r="13" spans="1:12" ht="12.75" customHeight="1" x14ac:dyDescent="0.25">
      <c r="B13" s="1089" t="s">
        <v>1847</v>
      </c>
      <c r="C13" s="66"/>
      <c r="D13" s="66"/>
      <c r="E13" s="66"/>
      <c r="F13" s="66"/>
      <c r="G13" s="66"/>
      <c r="H13" s="66"/>
      <c r="I13" s="66"/>
      <c r="J13" s="66"/>
      <c r="K13" s="66"/>
    </row>
    <row r="14" spans="1:12" ht="12.75" customHeight="1" x14ac:dyDescent="0.25">
      <c r="B14" s="71"/>
      <c r="C14" s="66"/>
      <c r="D14" s="66"/>
      <c r="E14" s="66"/>
      <c r="F14" s="66"/>
      <c r="G14" s="66"/>
      <c r="H14" s="66"/>
      <c r="I14" s="66"/>
      <c r="J14" s="66"/>
      <c r="K14" s="66"/>
    </row>
    <row r="15" spans="1:12" ht="110.25" customHeight="1" x14ac:dyDescent="0.2">
      <c r="B15" s="2703" t="s">
        <v>5643</v>
      </c>
      <c r="C15" s="2704"/>
      <c r="D15" s="2704"/>
      <c r="E15" s="2704"/>
      <c r="F15" s="2704"/>
      <c r="G15" s="2704"/>
      <c r="H15" s="2704"/>
      <c r="I15" s="2704"/>
      <c r="J15" s="2704"/>
      <c r="K15" s="2704"/>
    </row>
    <row r="16" spans="1:12" ht="15" customHeight="1" x14ac:dyDescent="0.2"/>
    <row r="17" spans="2:11" ht="15" customHeight="1" x14ac:dyDescent="0.25">
      <c r="B17" s="894" t="s">
        <v>970</v>
      </c>
      <c r="C17" s="893"/>
      <c r="D17" s="1402"/>
      <c r="G17" s="894" t="s">
        <v>969</v>
      </c>
      <c r="H17" s="1402"/>
      <c r="I17" s="896" t="s">
        <v>1848</v>
      </c>
      <c r="J17" s="66"/>
      <c r="K17" s="66"/>
    </row>
    <row r="18" spans="2:11" ht="15" customHeight="1" x14ac:dyDescent="0.25">
      <c r="B18" s="894"/>
      <c r="C18" s="893"/>
      <c r="D18" s="895"/>
      <c r="G18" s="895"/>
      <c r="H18" s="2702" t="str">
        <f>IF(AND(ISBLANK(D17),ISBLANK(H17))=TRUE,"Answer Missing"," ")</f>
        <v>Answer Missing</v>
      </c>
      <c r="I18" s="2588"/>
      <c r="J18" s="66"/>
      <c r="K18" s="66"/>
    </row>
    <row r="19" spans="2:11" ht="15" customHeight="1" x14ac:dyDescent="0.25">
      <c r="B19" s="2705" t="str">
        <f>IF(ISTEXT(H17), "Response for Yes needed", " ")</f>
        <v xml:space="preserve"> </v>
      </c>
      <c r="C19" s="2706"/>
      <c r="D19" s="2706"/>
      <c r="E19" s="2378"/>
      <c r="H19" s="895"/>
      <c r="I19" s="896"/>
      <c r="J19" s="66"/>
      <c r="K19" s="66"/>
    </row>
    <row r="20" spans="2:11" ht="18" customHeight="1" x14ac:dyDescent="0.2">
      <c r="B20" s="2699"/>
      <c r="C20" s="2700"/>
      <c r="D20" s="2700"/>
      <c r="E20" s="2700"/>
      <c r="F20" s="2700"/>
      <c r="G20" s="2700"/>
      <c r="H20" s="2700"/>
      <c r="I20" s="2700"/>
      <c r="J20" s="2700"/>
      <c r="K20" s="2700"/>
    </row>
    <row r="21" spans="2:11" ht="18" customHeight="1" x14ac:dyDescent="0.2">
      <c r="B21" s="2699"/>
      <c r="C21" s="2700"/>
      <c r="D21" s="2700"/>
      <c r="E21" s="2700"/>
      <c r="F21" s="2700"/>
      <c r="G21" s="2700"/>
      <c r="H21" s="2700"/>
      <c r="I21" s="2700"/>
      <c r="J21" s="2700"/>
      <c r="K21" s="2700"/>
    </row>
    <row r="22" spans="2:11" ht="18" customHeight="1" x14ac:dyDescent="0.2">
      <c r="B22" s="2699"/>
      <c r="C22" s="2700"/>
      <c r="D22" s="2700"/>
      <c r="E22" s="2700"/>
      <c r="F22" s="2700"/>
      <c r="G22" s="2700"/>
      <c r="H22" s="2700"/>
      <c r="I22" s="2700"/>
      <c r="J22" s="2700"/>
      <c r="K22" s="2700"/>
    </row>
    <row r="23" spans="2:11" ht="18" customHeight="1" x14ac:dyDescent="0.2">
      <c r="B23" s="2699"/>
      <c r="C23" s="2700"/>
      <c r="D23" s="2700"/>
      <c r="E23" s="2700"/>
      <c r="F23" s="2700"/>
      <c r="G23" s="2700"/>
      <c r="H23" s="2700"/>
      <c r="I23" s="2700"/>
      <c r="J23" s="2700"/>
      <c r="K23" s="2700"/>
    </row>
    <row r="24" spans="2:11" ht="18" customHeight="1" x14ac:dyDescent="0.2">
      <c r="B24" s="2699"/>
      <c r="C24" s="2700"/>
      <c r="D24" s="2700"/>
      <c r="E24" s="2700"/>
      <c r="F24" s="2700"/>
      <c r="G24" s="2700"/>
      <c r="H24" s="2700"/>
      <c r="I24" s="2700"/>
      <c r="J24" s="2700"/>
      <c r="K24" s="2700"/>
    </row>
    <row r="25" spans="2:11" ht="18" customHeight="1" x14ac:dyDescent="0.2">
      <c r="B25" s="2699"/>
      <c r="C25" s="2700"/>
      <c r="D25" s="2700"/>
      <c r="E25" s="2700"/>
      <c r="F25" s="2700"/>
      <c r="G25" s="2700"/>
      <c r="H25" s="2700"/>
      <c r="I25" s="2700"/>
      <c r="J25" s="2700"/>
      <c r="K25" s="2700"/>
    </row>
    <row r="26" spans="2:11" ht="18" customHeight="1" x14ac:dyDescent="0.2">
      <c r="B26" s="2699"/>
      <c r="C26" s="2700"/>
      <c r="D26" s="2700"/>
      <c r="E26" s="2700"/>
      <c r="F26" s="2700"/>
      <c r="G26" s="2700"/>
      <c r="H26" s="2700"/>
      <c r="I26" s="2700"/>
      <c r="J26" s="2700"/>
      <c r="K26" s="2700"/>
    </row>
    <row r="27" spans="2:11" ht="18" customHeight="1" x14ac:dyDescent="0.2">
      <c r="B27" s="2699"/>
      <c r="C27" s="2700"/>
      <c r="D27" s="2700"/>
      <c r="E27" s="2700"/>
      <c r="F27" s="2700"/>
      <c r="G27" s="2700"/>
      <c r="H27" s="2700"/>
      <c r="I27" s="2700"/>
      <c r="J27" s="2700"/>
      <c r="K27" s="2700"/>
    </row>
    <row r="28" spans="2:11" ht="18" customHeight="1" x14ac:dyDescent="0.2">
      <c r="B28" s="2699"/>
      <c r="C28" s="2700"/>
      <c r="D28" s="2700"/>
      <c r="E28" s="2700"/>
      <c r="F28" s="2700"/>
      <c r="G28" s="2700"/>
      <c r="H28" s="2700"/>
      <c r="I28" s="2700"/>
      <c r="J28" s="2700"/>
      <c r="K28" s="2700"/>
    </row>
    <row r="29" spans="2:11" ht="18" customHeight="1" x14ac:dyDescent="0.2">
      <c r="B29" s="2699"/>
      <c r="C29" s="2700"/>
      <c r="D29" s="2700"/>
      <c r="E29" s="2700"/>
      <c r="F29" s="2700"/>
      <c r="G29" s="2700"/>
      <c r="H29" s="2700"/>
      <c r="I29" s="2700"/>
      <c r="J29" s="2700"/>
      <c r="K29" s="2700"/>
    </row>
    <row r="30" spans="2:11" ht="18" customHeight="1" x14ac:dyDescent="0.2">
      <c r="B30" s="2699"/>
      <c r="C30" s="2700"/>
      <c r="D30" s="2700"/>
      <c r="E30" s="2700"/>
      <c r="F30" s="2700"/>
      <c r="G30" s="2700"/>
      <c r="H30" s="2700"/>
      <c r="I30" s="2700"/>
      <c r="J30" s="2700"/>
      <c r="K30" s="2700"/>
    </row>
    <row r="31" spans="2:11" ht="18" customHeight="1" x14ac:dyDescent="0.2">
      <c r="B31" s="2699"/>
      <c r="C31" s="2700"/>
      <c r="D31" s="2700"/>
      <c r="E31" s="2700"/>
      <c r="F31" s="2700"/>
      <c r="G31" s="2700"/>
      <c r="H31" s="2700"/>
      <c r="I31" s="2700"/>
      <c r="J31" s="2700"/>
      <c r="K31" s="2700"/>
    </row>
    <row r="32" spans="2:11" ht="18" customHeight="1" x14ac:dyDescent="0.2">
      <c r="B32" s="2699"/>
      <c r="C32" s="2700"/>
      <c r="D32" s="2700"/>
      <c r="E32" s="2700"/>
      <c r="F32" s="2700"/>
      <c r="G32" s="2700"/>
      <c r="H32" s="2700"/>
      <c r="I32" s="2700"/>
      <c r="J32" s="2700"/>
      <c r="K32" s="2700"/>
    </row>
    <row r="33" spans="2:11" ht="18" customHeight="1" x14ac:dyDescent="0.2">
      <c r="B33" s="2699"/>
      <c r="C33" s="2700"/>
      <c r="D33" s="2700"/>
      <c r="E33" s="2700"/>
      <c r="F33" s="2700"/>
      <c r="G33" s="2700"/>
      <c r="H33" s="2700"/>
      <c r="I33" s="2700"/>
      <c r="J33" s="2700"/>
      <c r="K33" s="2700"/>
    </row>
    <row r="34" spans="2:11" ht="18" customHeight="1" x14ac:dyDescent="0.2">
      <c r="B34" s="2699"/>
      <c r="C34" s="2700"/>
      <c r="D34" s="2700"/>
      <c r="E34" s="2700"/>
      <c r="F34" s="2700"/>
      <c r="G34" s="2700"/>
      <c r="H34" s="2700"/>
      <c r="I34" s="2700"/>
      <c r="J34" s="2700"/>
      <c r="K34" s="2700"/>
    </row>
    <row r="35" spans="2:11" ht="18" customHeight="1" x14ac:dyDescent="0.2">
      <c r="B35" s="2699"/>
      <c r="C35" s="2700"/>
      <c r="D35" s="2700"/>
      <c r="E35" s="2700"/>
      <c r="F35" s="2700"/>
      <c r="G35" s="2700"/>
      <c r="H35" s="2700"/>
      <c r="I35" s="2700"/>
      <c r="J35" s="2700"/>
      <c r="K35" s="2700"/>
    </row>
  </sheetData>
  <sheetProtection algorithmName="SHA-512" hashValue="ZK4eb521AC+FM9odgbKYHNLh+AZK8OqThQQoy4HYyfVlmGSuBMvtxpVxSVTyo1TcHYTSpsj+0S8B9viONVV7rQ==" saltValue="36GXmomAq6gevVaNAbOnew==" spinCount="100000" sheet="1" objects="1" scenarios="1" autoFilter="0"/>
  <customSheetViews>
    <customSheetView guid="{B08879A4-635B-4C39-9937-AC7883D562FC}" showGridLines="0" fitToPage="1">
      <pageMargins left="0.75" right="0.75" top="0.75" bottom="0.75" header="0.5" footer="0.5"/>
      <pageSetup scale="96" orientation="portrait" r:id="rId1"/>
      <headerFooter alignWithMargins="0">
        <oddFooter>&amp;R&amp;A</oddFooter>
      </headerFooter>
    </customSheetView>
    <customSheetView guid="{1250FD07-FF56-4A9D-AF9E-C27124A7EBE9}" showGridLines="0" fitToPage="1" showRuler="0">
      <selection sqref="A1:J1"/>
      <pageMargins left="0.75" right="0.75" top="0.75" bottom="0.75" header="0.5" footer="0.5"/>
      <pageSetup orientation="portrait" r:id="rId2"/>
      <headerFooter alignWithMargins="0">
        <oddFooter>&amp;R&amp;A</oddFooter>
      </headerFooter>
    </customSheetView>
    <customSheetView guid="{BEA4BE86-04D1-4C96-9358-7A260B9D2B2D}" showGridLines="0" fitToPage="1" showRuler="0">
      <selection sqref="A1:J1"/>
      <pageMargins left="0.75" right="0.75" top="0.75" bottom="0.75" header="0.5" footer="0.5"/>
      <pageSetup orientation="portrait" r:id="rId3"/>
      <headerFooter alignWithMargins="0">
        <oddFooter>&amp;R&amp;A</oddFooter>
      </headerFooter>
    </customSheetView>
    <customSheetView guid="{9FCFC836-1CA5-48BF-958D-24D2EA94B219}" showGridLines="0" fitToPage="1">
      <pageMargins left="0.75" right="0.75" top="0.75" bottom="0.75" header="0.5" footer="0.5"/>
      <pageSetup scale="96" orientation="portrait" r:id="rId4"/>
      <headerFooter alignWithMargins="0">
        <oddFooter>&amp;R&amp;A</oddFooter>
      </headerFooter>
    </customSheetView>
  </customSheetViews>
  <mergeCells count="27">
    <mergeCell ref="B26:K26"/>
    <mergeCell ref="B34:K34"/>
    <mergeCell ref="B35:K35"/>
    <mergeCell ref="B28:K28"/>
    <mergeCell ref="B29:K29"/>
    <mergeCell ref="B30:K30"/>
    <mergeCell ref="B31:K31"/>
    <mergeCell ref="B32:K32"/>
    <mergeCell ref="B33:K33"/>
    <mergeCell ref="B27:K27"/>
    <mergeCell ref="B25:K25"/>
    <mergeCell ref="I7:K7"/>
    <mergeCell ref="B20:K20"/>
    <mergeCell ref="H18:I18"/>
    <mergeCell ref="B15:K15"/>
    <mergeCell ref="B19:E19"/>
    <mergeCell ref="B21:K21"/>
    <mergeCell ref="B22:K22"/>
    <mergeCell ref="B23:K23"/>
    <mergeCell ref="B24:K24"/>
    <mergeCell ref="L1:L3"/>
    <mergeCell ref="B1:K1"/>
    <mergeCell ref="B2:K2"/>
    <mergeCell ref="B3:K3"/>
    <mergeCell ref="I8:K8"/>
    <mergeCell ref="I5:K5"/>
    <mergeCell ref="I6:K6"/>
  </mergeCells>
  <phoneticPr fontId="15" type="noConversion"/>
  <conditionalFormatting sqref="L1:L3">
    <cfRule type="cellIs" dxfId="88" priority="5" stopIfTrue="1" operator="equal">
      <formula>"na"</formula>
    </cfRule>
  </conditionalFormatting>
  <conditionalFormatting sqref="H18:I18">
    <cfRule type="containsText" dxfId="87" priority="4" stopIfTrue="1" operator="containsText" text="Answer Missing">
      <formula>NOT(ISERROR(SEARCH("Answer Missing",H18)))</formula>
    </cfRule>
  </conditionalFormatting>
  <conditionalFormatting sqref="B19">
    <cfRule type="containsText" dxfId="86" priority="3" stopIfTrue="1" operator="containsText" text="Response for Yes needed">
      <formula>NOT(ISERROR(SEARCH("Response for Yes needed",B19)))</formula>
    </cfRule>
  </conditionalFormatting>
  <conditionalFormatting sqref="B19">
    <cfRule type="containsText" dxfId="85" priority="2" stopIfTrue="1" operator="containsText" text="Response for Yes needed">
      <formula>NOT(ISERROR(SEARCH("Response for Yes needed",B19)))</formula>
    </cfRule>
  </conditionalFormatting>
  <conditionalFormatting sqref="B19:E19">
    <cfRule type="containsText" dxfId="84" priority="1" stopIfTrue="1" operator="containsText" text="Response for Yes needed">
      <formula>NOT(ISERROR(SEARCH("Response for Yes needed",B19)))</formula>
    </cfRule>
  </conditionalFormatting>
  <dataValidations count="1">
    <dataValidation allowBlank="1" sqref="B20:K35" xr:uid="{00000000-0002-0000-2100-000000000000}"/>
  </dataValidations>
  <hyperlinks>
    <hyperlink ref="B1:K1" location="Index!A1" display="Index!A1" xr:uid="{00000000-0004-0000-2100-000000000000}"/>
  </hyperlinks>
  <pageMargins left="0.75" right="0.75" top="0.75" bottom="0.75" header="0.5" footer="0.5"/>
  <pageSetup scale="96" orientation="portrait" r:id="rId5"/>
  <headerFooter alignWithMargins="0">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3">
    <pageSetUpPr fitToPage="1"/>
  </sheetPr>
  <dimension ref="A1:S53"/>
  <sheetViews>
    <sheetView zoomScale="90" zoomScaleNormal="90" workbookViewId="0">
      <selection activeCell="C27" sqref="C27:D27"/>
    </sheetView>
  </sheetViews>
  <sheetFormatPr defaultRowHeight="12.75" x14ac:dyDescent="0.2"/>
  <cols>
    <col min="2" max="2" width="0.5703125" customWidth="1"/>
    <col min="5" max="5" width="0.5703125" customWidth="1"/>
    <col min="7" max="7" width="12" customWidth="1"/>
    <col min="8" max="8" width="0.5703125" customWidth="1"/>
    <col min="10" max="10" width="16" customWidth="1"/>
    <col min="11" max="11" width="0.5703125" customWidth="1"/>
    <col min="13" max="13" width="14.5703125" customWidth="1"/>
    <col min="14" max="14" width="0.5703125" customWidth="1"/>
    <col min="17" max="17" width="9.42578125" customWidth="1"/>
    <col min="18" max="18" width="40.5703125" customWidth="1"/>
    <col min="19" max="19" width="7.5703125" customWidth="1"/>
  </cols>
  <sheetData>
    <row r="1" spans="1:19" ht="15.75" x14ac:dyDescent="0.25">
      <c r="A1" s="2449" t="str">
        <f>+Index!$A$1</f>
        <v xml:space="preserve">                                                               Office of the State Controller                                                                </v>
      </c>
      <c r="B1" s="2449"/>
      <c r="C1" s="2449"/>
      <c r="D1" s="2449"/>
      <c r="E1" s="2449"/>
      <c r="F1" s="2449"/>
      <c r="G1" s="2449"/>
      <c r="H1" s="2449"/>
      <c r="I1" s="2449"/>
      <c r="J1" s="2449"/>
      <c r="K1" s="2449"/>
      <c r="L1" s="2449"/>
      <c r="M1" s="2449"/>
      <c r="N1" s="2449"/>
      <c r="O1" s="2449"/>
      <c r="P1" s="2449"/>
      <c r="Q1" s="2449"/>
      <c r="R1" s="2449"/>
      <c r="S1" s="2457" t="s">
        <v>973</v>
      </c>
    </row>
    <row r="2" spans="1:19" ht="15.75" x14ac:dyDescent="0.25">
      <c r="A2" s="2708" t="str">
        <f>+Index!$A$2</f>
        <v>2022 ACFR Worksheets</v>
      </c>
      <c r="B2" s="2708"/>
      <c r="C2" s="2708"/>
      <c r="D2" s="2708"/>
      <c r="E2" s="2708"/>
      <c r="F2" s="2708"/>
      <c r="G2" s="2708"/>
      <c r="H2" s="2708"/>
      <c r="I2" s="2708"/>
      <c r="J2" s="2708"/>
      <c r="K2" s="2708"/>
      <c r="L2" s="2708"/>
      <c r="M2" s="2708"/>
      <c r="N2" s="2708"/>
      <c r="O2" s="2708"/>
      <c r="P2" s="2708"/>
      <c r="Q2" s="2708"/>
      <c r="R2" s="2708"/>
      <c r="S2" s="2450"/>
    </row>
    <row r="3" spans="1:19" ht="15.75" x14ac:dyDescent="0.25">
      <c r="A3" s="2632" t="s">
        <v>3713</v>
      </c>
      <c r="B3" s="2632"/>
      <c r="C3" s="2632"/>
      <c r="D3" s="2632"/>
      <c r="E3" s="2632"/>
      <c r="F3" s="2632"/>
      <c r="G3" s="2632"/>
      <c r="H3" s="2632"/>
      <c r="I3" s="2632"/>
      <c r="J3" s="2632"/>
      <c r="K3" s="2632"/>
      <c r="L3" s="2632"/>
      <c r="M3" s="2632"/>
      <c r="N3" s="2632"/>
      <c r="O3" s="2632"/>
      <c r="P3" s="2632"/>
      <c r="Q3" s="2632"/>
      <c r="R3" s="2632"/>
      <c r="S3" s="2450"/>
    </row>
    <row r="4" spans="1:19" ht="15.75" x14ac:dyDescent="0.25">
      <c r="A4" s="2709" t="s">
        <v>3712</v>
      </c>
      <c r="B4" s="2632"/>
      <c r="C4" s="2632"/>
      <c r="D4" s="2632"/>
      <c r="E4" s="2632"/>
      <c r="F4" s="2632"/>
      <c r="G4" s="2632"/>
      <c r="H4" s="2632"/>
      <c r="I4" s="2632"/>
      <c r="J4" s="2632"/>
      <c r="K4" s="2632"/>
      <c r="L4" s="2632"/>
      <c r="M4" s="2632"/>
      <c r="N4" s="2632"/>
      <c r="O4" s="2632"/>
      <c r="P4" s="2632"/>
      <c r="Q4" s="2632"/>
      <c r="R4" s="2632"/>
      <c r="S4" s="546"/>
    </row>
    <row r="5" spans="1:19" x14ac:dyDescent="0.2">
      <c r="A5" s="22"/>
      <c r="B5" s="22"/>
      <c r="C5" s="22"/>
      <c r="D5" s="22"/>
      <c r="E5" s="22"/>
      <c r="F5" s="22"/>
      <c r="G5" s="22"/>
      <c r="H5" s="22"/>
      <c r="I5" s="22"/>
      <c r="J5" s="22"/>
      <c r="K5" s="22"/>
      <c r="L5" s="22"/>
      <c r="M5" s="22"/>
      <c r="N5" s="22"/>
      <c r="O5" s="22"/>
      <c r="P5" s="22"/>
      <c r="Q5" s="22"/>
      <c r="R5" s="2450" t="str">
        <f>IF(Index!$B$58="na","NA","")</f>
        <v/>
      </c>
    </row>
    <row r="6" spans="1:19" x14ac:dyDescent="0.2">
      <c r="A6" s="1371" t="s">
        <v>327</v>
      </c>
      <c r="B6" s="1372"/>
      <c r="C6" s="1372"/>
      <c r="D6" s="2707" t="str">
        <f>+Index!$E$10</f>
        <v>01</v>
      </c>
      <c r="E6" s="2707"/>
      <c r="F6" s="2707"/>
      <c r="G6" s="1372"/>
      <c r="H6" s="1372"/>
      <c r="I6" s="1372"/>
      <c r="J6" s="1374" t="s">
        <v>1154</v>
      </c>
      <c r="K6" s="253"/>
      <c r="L6" s="2488" t="str">
        <f>+Index!$E$11</f>
        <v>North Carolina General Assembly</v>
      </c>
      <c r="M6" s="2488"/>
      <c r="N6" s="2488"/>
      <c r="O6" s="2488"/>
      <c r="P6" s="2488"/>
      <c r="R6" s="2450"/>
    </row>
    <row r="7" spans="1:19" x14ac:dyDescent="0.2">
      <c r="A7" s="272"/>
      <c r="B7" s="1372"/>
      <c r="C7" s="1372"/>
      <c r="D7" s="1372"/>
      <c r="E7" s="1372"/>
      <c r="F7" s="1372"/>
      <c r="G7" s="1372"/>
      <c r="H7" s="1372"/>
      <c r="I7" s="1372"/>
      <c r="J7" s="1374" t="s">
        <v>972</v>
      </c>
      <c r="K7" s="22"/>
      <c r="L7" s="2513" t="str">
        <f>CONCATENATE(Index!$E$12,"",Index!$E$14)</f>
        <v/>
      </c>
      <c r="M7" s="2513"/>
      <c r="N7" s="2513"/>
      <c r="O7" s="2513"/>
      <c r="P7" s="2513"/>
      <c r="R7" s="2450"/>
    </row>
    <row r="8" spans="1:19" x14ac:dyDescent="0.2">
      <c r="A8" s="1372" t="s">
        <v>477</v>
      </c>
      <c r="B8" s="1372"/>
      <c r="C8" s="1372"/>
      <c r="D8" s="2707" t="s">
        <v>805</v>
      </c>
      <c r="E8" s="2549"/>
      <c r="F8" s="2549"/>
      <c r="G8" s="1372"/>
      <c r="H8" s="1372"/>
      <c r="I8" s="1372"/>
      <c r="J8" s="1374" t="s">
        <v>348</v>
      </c>
      <c r="K8" s="253"/>
      <c r="L8" s="2513">
        <f>+Index!$E$13</f>
        <v>0</v>
      </c>
      <c r="M8" s="2513"/>
      <c r="N8" s="2513"/>
      <c r="O8" s="2513"/>
      <c r="P8" s="2513"/>
    </row>
    <row r="9" spans="1:19" ht="13.5" thickBot="1" x14ac:dyDescent="0.25">
      <c r="A9" s="120"/>
      <c r="B9" s="120"/>
      <c r="C9" s="120"/>
      <c r="D9" s="120"/>
      <c r="E9" s="120"/>
      <c r="F9" s="120"/>
      <c r="G9" s="120"/>
      <c r="H9" s="120"/>
      <c r="I9" s="120"/>
      <c r="J9" s="120"/>
      <c r="K9" s="120"/>
      <c r="L9" s="120"/>
      <c r="M9" s="120"/>
      <c r="N9" s="120"/>
      <c r="O9" s="120"/>
      <c r="P9" s="120"/>
      <c r="Q9" s="120"/>
      <c r="R9" s="120"/>
    </row>
    <row r="10" spans="1:19" x14ac:dyDescent="0.2">
      <c r="A10" s="22"/>
      <c r="B10" s="22"/>
      <c r="C10" s="22"/>
      <c r="D10" s="22"/>
      <c r="E10" s="22"/>
      <c r="F10" s="22"/>
      <c r="G10" s="22"/>
      <c r="H10" s="22"/>
      <c r="I10" s="22"/>
      <c r="J10" s="22"/>
      <c r="K10" s="22"/>
      <c r="L10" s="22"/>
      <c r="M10" s="22"/>
      <c r="N10" s="22"/>
      <c r="O10" s="22"/>
      <c r="P10" s="22"/>
      <c r="Q10" s="22"/>
      <c r="R10" s="22"/>
    </row>
    <row r="11" spans="1:19" x14ac:dyDescent="0.2">
      <c r="A11" s="2716" t="s">
        <v>1956</v>
      </c>
      <c r="B11" s="2716"/>
      <c r="C11" s="2716"/>
      <c r="D11" s="2716"/>
      <c r="E11" s="2716"/>
      <c r="F11" s="2716"/>
      <c r="G11" s="2716"/>
      <c r="H11" s="2716"/>
      <c r="I11" s="2716"/>
      <c r="J11" s="2716"/>
      <c r="K11" s="2716"/>
      <c r="L11" s="2716"/>
      <c r="M11" s="2716"/>
      <c r="N11" s="2716"/>
      <c r="O11" s="2716"/>
      <c r="P11" s="2716"/>
      <c r="Q11" s="2716"/>
      <c r="R11" s="1372"/>
    </row>
    <row r="12" spans="1:19" x14ac:dyDescent="0.2">
      <c r="A12" s="2716" t="s">
        <v>1958</v>
      </c>
      <c r="B12" s="2716"/>
      <c r="C12" s="2716"/>
      <c r="D12" s="2716"/>
      <c r="E12" s="2716"/>
      <c r="F12" s="2716"/>
      <c r="G12" s="2716"/>
      <c r="H12" s="2716"/>
      <c r="I12" s="2716"/>
      <c r="J12" s="2716"/>
      <c r="K12" s="2716"/>
      <c r="L12" s="2716"/>
      <c r="M12" s="2716"/>
      <c r="N12" s="2716"/>
      <c r="O12" s="2716"/>
      <c r="P12" s="2716"/>
      <c r="Q12" s="2716"/>
      <c r="R12" s="1372"/>
    </row>
    <row r="13" spans="1:19" x14ac:dyDescent="0.2">
      <c r="A13" s="1372" t="s">
        <v>1957</v>
      </c>
      <c r="B13" s="1372"/>
      <c r="C13" s="1372"/>
      <c r="D13" s="1372"/>
      <c r="E13" s="1372"/>
      <c r="F13" s="1372"/>
      <c r="G13" s="1372"/>
      <c r="H13" s="1372"/>
      <c r="I13" s="1372"/>
      <c r="J13" s="1372"/>
      <c r="K13" s="1372"/>
      <c r="L13" s="1372"/>
      <c r="M13" s="1372"/>
      <c r="N13" s="1372"/>
      <c r="O13" s="1372"/>
      <c r="P13" s="1372"/>
      <c r="Q13" s="1372"/>
      <c r="R13" s="1372"/>
    </row>
    <row r="14" spans="1:19" ht="11.1" customHeight="1" x14ac:dyDescent="0.2">
      <c r="A14" s="1372"/>
      <c r="B14" s="1372"/>
      <c r="C14" s="1372"/>
      <c r="D14" s="1372"/>
      <c r="E14" s="1372"/>
      <c r="F14" s="1372"/>
      <c r="G14" s="1372"/>
      <c r="H14" s="1372"/>
      <c r="I14" s="1372"/>
      <c r="J14" s="1372"/>
      <c r="K14" s="1372"/>
      <c r="L14" s="1372"/>
      <c r="M14" s="1372"/>
      <c r="N14" s="1372"/>
      <c r="O14" s="1372"/>
      <c r="P14" s="1372"/>
      <c r="Q14" s="1372"/>
      <c r="R14" s="1372"/>
    </row>
    <row r="15" spans="1:19" x14ac:dyDescent="0.2">
      <c r="A15" s="1372" t="s">
        <v>1322</v>
      </c>
      <c r="B15" s="1372"/>
      <c r="C15" s="1372"/>
      <c r="D15" s="1372"/>
      <c r="E15" s="1372"/>
      <c r="F15" s="1372"/>
      <c r="G15" s="1372"/>
      <c r="H15" s="1372"/>
      <c r="I15" s="1372"/>
      <c r="J15" s="1372"/>
      <c r="K15" s="1372"/>
      <c r="L15" s="1372"/>
      <c r="M15" s="1372"/>
      <c r="N15" s="1372"/>
      <c r="O15" s="1372"/>
      <c r="P15" s="1372"/>
      <c r="Q15" s="1372"/>
      <c r="R15" s="1372"/>
    </row>
    <row r="16" spans="1:19" x14ac:dyDescent="0.2">
      <c r="A16" s="1372"/>
      <c r="B16" s="1372"/>
      <c r="C16" s="1372"/>
      <c r="D16" s="1372"/>
      <c r="E16" s="1372"/>
      <c r="F16" s="1372"/>
      <c r="G16" s="1372"/>
      <c r="H16" s="1372"/>
      <c r="I16" s="1372"/>
      <c r="J16" s="1372"/>
      <c r="K16" s="1372"/>
      <c r="L16" s="1372"/>
      <c r="M16" s="1372"/>
      <c r="N16" s="1372"/>
      <c r="O16" s="1372"/>
      <c r="P16" s="1372"/>
      <c r="Q16" s="1372"/>
      <c r="R16" s="1372"/>
    </row>
    <row r="17" spans="1:18" x14ac:dyDescent="0.2">
      <c r="A17" s="1372"/>
      <c r="B17" s="1372"/>
      <c r="C17" s="2711" t="s">
        <v>1157</v>
      </c>
      <c r="D17" s="2711"/>
      <c r="E17" s="1372"/>
      <c r="F17" s="2711" t="s">
        <v>101</v>
      </c>
      <c r="G17" s="2711"/>
      <c r="H17" s="1372"/>
      <c r="I17" s="2711" t="s">
        <v>5471</v>
      </c>
      <c r="J17" s="2711"/>
      <c r="K17" s="1372"/>
      <c r="L17" s="2711"/>
      <c r="M17" s="2711"/>
      <c r="N17" s="1372"/>
      <c r="O17" s="1372"/>
      <c r="P17" s="1372"/>
      <c r="Q17" s="1372"/>
      <c r="R17" s="1372"/>
    </row>
    <row r="18" spans="1:18" ht="14.25" customHeight="1" x14ac:dyDescent="0.2">
      <c r="A18" s="1372"/>
      <c r="B18" s="1372"/>
      <c r="C18" s="2707" t="s">
        <v>649</v>
      </c>
      <c r="D18" s="2707"/>
      <c r="E18" s="1372"/>
      <c r="F18" s="2707" t="s">
        <v>1324</v>
      </c>
      <c r="G18" s="2707"/>
      <c r="H18" s="1372"/>
      <c r="I18" s="2707" t="s">
        <v>83</v>
      </c>
      <c r="J18" s="2707"/>
      <c r="K18" s="1372"/>
      <c r="L18" s="2707" t="s">
        <v>650</v>
      </c>
      <c r="M18" s="2707"/>
      <c r="N18" s="1372"/>
      <c r="O18" s="1372"/>
      <c r="P18" s="1372"/>
      <c r="Q18" s="1372"/>
      <c r="R18" s="1372"/>
    </row>
    <row r="19" spans="1:18" ht="12.75" hidden="1" customHeight="1" x14ac:dyDescent="0.2">
      <c r="A19" s="1372"/>
      <c r="B19" s="1372"/>
      <c r="C19" s="272"/>
      <c r="D19" s="272"/>
      <c r="E19" s="1372"/>
      <c r="F19" s="2718" t="s">
        <v>973</v>
      </c>
      <c r="G19" s="2718"/>
      <c r="H19" s="1372"/>
      <c r="I19" s="2718" t="s">
        <v>973</v>
      </c>
      <c r="J19" s="2718"/>
      <c r="K19" s="1372"/>
      <c r="L19" s="272"/>
      <c r="M19" s="272"/>
      <c r="N19" s="1372"/>
      <c r="O19" s="1372"/>
      <c r="P19" s="1372"/>
      <c r="Q19" s="1372"/>
      <c r="R19" s="1372"/>
    </row>
    <row r="20" spans="1:18" ht="13.5" hidden="1" thickBot="1" x14ac:dyDescent="0.25">
      <c r="A20" s="1372"/>
      <c r="B20" s="1372"/>
      <c r="C20" s="1376" t="s">
        <v>973</v>
      </c>
      <c r="D20" s="1376" t="s">
        <v>973</v>
      </c>
      <c r="E20" s="1372"/>
      <c r="F20" s="1376" t="s">
        <v>973</v>
      </c>
      <c r="G20" s="1376"/>
      <c r="H20" s="1372"/>
      <c r="I20" s="1376" t="s">
        <v>973</v>
      </c>
      <c r="J20" s="1376"/>
      <c r="K20" s="1372"/>
      <c r="L20" s="1376" t="s">
        <v>973</v>
      </c>
      <c r="M20" s="1376"/>
      <c r="N20" s="1372"/>
      <c r="O20" s="1372"/>
      <c r="P20" s="1372"/>
      <c r="Q20" s="1372"/>
      <c r="R20" s="1372"/>
    </row>
    <row r="21" spans="1:18" hidden="1" x14ac:dyDescent="0.2">
      <c r="A21" s="1372"/>
      <c r="B21" s="1372"/>
      <c r="C21" s="1377"/>
      <c r="D21" s="1377"/>
      <c r="E21" s="1372"/>
      <c r="F21" s="1377"/>
      <c r="G21" s="1377"/>
      <c r="H21" s="1372"/>
      <c r="I21" s="1377"/>
      <c r="J21" s="1377"/>
      <c r="K21" s="1372"/>
      <c r="L21" s="1377"/>
      <c r="M21" s="1377"/>
      <c r="N21" s="1372"/>
      <c r="O21" s="1372"/>
      <c r="P21" s="1372"/>
      <c r="Q21" s="1372"/>
      <c r="R21" s="1372"/>
    </row>
    <row r="22" spans="1:18" x14ac:dyDescent="0.2">
      <c r="A22" s="1375" t="s">
        <v>1157</v>
      </c>
      <c r="B22" s="1375"/>
      <c r="C22" s="2714" t="s">
        <v>4167</v>
      </c>
      <c r="D22" s="2714"/>
      <c r="E22" s="1375"/>
      <c r="F22" s="2714" t="s">
        <v>4167</v>
      </c>
      <c r="G22" s="2714"/>
      <c r="H22" s="1375"/>
      <c r="I22" s="2714" t="s">
        <v>4168</v>
      </c>
      <c r="J22" s="2714"/>
      <c r="K22" s="1375"/>
      <c r="L22" s="2714" t="s">
        <v>4167</v>
      </c>
      <c r="M22" s="2714"/>
      <c r="N22" s="1375"/>
      <c r="O22" s="1372"/>
      <c r="P22" s="1372"/>
      <c r="Q22" s="1372"/>
      <c r="R22" s="1372"/>
    </row>
    <row r="23" spans="1:18" x14ac:dyDescent="0.2">
      <c r="A23" s="1375" t="s">
        <v>795</v>
      </c>
      <c r="B23" s="1375"/>
      <c r="C23" s="2717">
        <v>44378</v>
      </c>
      <c r="D23" s="2717"/>
      <c r="E23" s="1375"/>
      <c r="F23" s="2717">
        <v>44378</v>
      </c>
      <c r="G23" s="2717"/>
      <c r="H23" s="1375"/>
      <c r="I23" s="2717">
        <v>44378</v>
      </c>
      <c r="J23" s="2717"/>
      <c r="K23" s="1375"/>
      <c r="L23" s="2717">
        <v>44378</v>
      </c>
      <c r="M23" s="2717"/>
      <c r="N23" s="1375"/>
      <c r="O23" s="1372"/>
      <c r="P23" s="1372"/>
      <c r="Q23" s="1372"/>
      <c r="R23" s="1372"/>
    </row>
    <row r="24" spans="1:18" x14ac:dyDescent="0.2">
      <c r="A24" s="1373" t="s">
        <v>808</v>
      </c>
      <c r="B24" s="1375"/>
      <c r="C24" s="1378" t="s">
        <v>809</v>
      </c>
      <c r="D24" s="1378"/>
      <c r="E24" s="1375"/>
      <c r="F24" s="1378" t="s">
        <v>1343</v>
      </c>
      <c r="G24" s="1378"/>
      <c r="H24" s="1375"/>
      <c r="I24" s="1378" t="s">
        <v>1343</v>
      </c>
      <c r="J24" s="1378"/>
      <c r="K24" s="1375"/>
      <c r="L24" s="2711" t="s">
        <v>809</v>
      </c>
      <c r="M24" s="2711"/>
      <c r="N24" s="1375"/>
      <c r="O24" s="2707" t="s">
        <v>810</v>
      </c>
      <c r="P24" s="2707"/>
      <c r="Q24" s="2707"/>
      <c r="R24" s="2707"/>
    </row>
    <row r="25" spans="1:18" ht="14.85" customHeight="1" x14ac:dyDescent="0.2">
      <c r="A25" s="1379"/>
      <c r="B25" s="1380"/>
      <c r="C25" s="2715" t="s">
        <v>973</v>
      </c>
      <c r="D25" s="2715"/>
      <c r="E25" s="1380"/>
      <c r="F25" s="2712">
        <v>0</v>
      </c>
      <c r="G25" s="2712"/>
      <c r="H25" s="1375"/>
      <c r="I25" s="2710" t="s">
        <v>973</v>
      </c>
      <c r="J25" s="2710"/>
      <c r="K25" s="1372"/>
      <c r="L25" s="2710">
        <v>0</v>
      </c>
      <c r="M25" s="2710"/>
      <c r="N25" s="1372" t="s">
        <v>973</v>
      </c>
      <c r="O25" s="2713" t="s">
        <v>5361</v>
      </c>
      <c r="P25" s="2713"/>
      <c r="Q25" s="2713"/>
      <c r="R25" s="2713"/>
    </row>
    <row r="26" spans="1:18" ht="14.85" customHeight="1" x14ac:dyDescent="0.2">
      <c r="A26" s="1379" t="s">
        <v>973</v>
      </c>
      <c r="B26" s="1380"/>
      <c r="C26" s="2715" t="s">
        <v>973</v>
      </c>
      <c r="D26" s="2715"/>
      <c r="E26" s="1380"/>
      <c r="F26" s="2710" t="s">
        <v>973</v>
      </c>
      <c r="G26" s="2710"/>
      <c r="H26" s="1375"/>
      <c r="I26" s="2712"/>
      <c r="J26" s="2712"/>
      <c r="K26" s="1372"/>
      <c r="L26" s="2710">
        <v>0</v>
      </c>
      <c r="M26" s="2710"/>
      <c r="N26" s="1372" t="s">
        <v>973</v>
      </c>
      <c r="O26" s="2713" t="s">
        <v>5362</v>
      </c>
      <c r="P26" s="2713"/>
      <c r="Q26" s="2713"/>
      <c r="R26" s="2713"/>
    </row>
    <row r="27" spans="1:18" ht="14.85" customHeight="1" x14ac:dyDescent="0.2">
      <c r="A27" s="1379" t="s">
        <v>973</v>
      </c>
      <c r="B27" s="1380"/>
      <c r="C27" s="2721" t="s">
        <v>973</v>
      </c>
      <c r="D27" s="2721"/>
      <c r="E27" s="1380"/>
      <c r="F27" s="2712">
        <v>0</v>
      </c>
      <c r="G27" s="2712"/>
      <c r="H27" s="1375"/>
      <c r="I27" s="2710"/>
      <c r="J27" s="2710"/>
      <c r="K27" s="1372"/>
      <c r="L27" s="2710"/>
      <c r="M27" s="2710"/>
      <c r="N27" s="1372"/>
      <c r="O27" s="2713" t="s">
        <v>5363</v>
      </c>
      <c r="P27" s="2713"/>
      <c r="Q27" s="2713"/>
      <c r="R27" s="2713"/>
    </row>
    <row r="28" spans="1:18" ht="14.85" customHeight="1" x14ac:dyDescent="0.2">
      <c r="A28" s="1379" t="s">
        <v>973</v>
      </c>
      <c r="B28" s="1380"/>
      <c r="C28" s="2721" t="s">
        <v>973</v>
      </c>
      <c r="D28" s="2721"/>
      <c r="E28" s="1380"/>
      <c r="F28" s="2710"/>
      <c r="G28" s="2710"/>
      <c r="H28" s="1375"/>
      <c r="I28" s="2712"/>
      <c r="J28" s="2712"/>
      <c r="K28" s="1372"/>
      <c r="L28" s="2710" t="s">
        <v>973</v>
      </c>
      <c r="M28" s="2710"/>
      <c r="N28" s="1372"/>
      <c r="O28" s="2713" t="s">
        <v>5364</v>
      </c>
      <c r="P28" s="2713"/>
      <c r="Q28" s="2713"/>
      <c r="R28" s="2713"/>
    </row>
    <row r="29" spans="1:18" ht="14.85" customHeight="1" x14ac:dyDescent="0.2">
      <c r="A29" s="1379"/>
      <c r="B29" s="1380"/>
      <c r="C29" s="2721"/>
      <c r="D29" s="2721"/>
      <c r="E29" s="1380"/>
      <c r="F29" s="2710"/>
      <c r="G29" s="2710"/>
      <c r="H29" s="1375"/>
      <c r="I29" s="2710">
        <v>0</v>
      </c>
      <c r="J29" s="2710"/>
      <c r="K29" s="1372"/>
      <c r="L29" s="2712"/>
      <c r="M29" s="2712"/>
      <c r="N29" s="1372"/>
      <c r="O29" s="2713" t="s">
        <v>5357</v>
      </c>
      <c r="P29" s="2713"/>
      <c r="Q29" s="2713"/>
      <c r="R29" s="2713"/>
    </row>
    <row r="30" spans="1:18" ht="14.85" customHeight="1" x14ac:dyDescent="0.2">
      <c r="A30" s="1379"/>
      <c r="B30" s="1380"/>
      <c r="C30" s="2721"/>
      <c r="D30" s="2721"/>
      <c r="E30" s="1380"/>
      <c r="F30" s="2710"/>
      <c r="G30" s="2710"/>
      <c r="H30" s="1375"/>
      <c r="I30" s="2710"/>
      <c r="J30" s="2710"/>
      <c r="K30" s="1372"/>
      <c r="L30" s="2712"/>
      <c r="M30" s="2712"/>
      <c r="N30" s="1372"/>
      <c r="O30" s="2713" t="s">
        <v>5358</v>
      </c>
      <c r="P30" s="2713"/>
      <c r="Q30" s="2713"/>
      <c r="R30" s="2713"/>
    </row>
    <row r="31" spans="1:18" ht="14.85" customHeight="1" x14ac:dyDescent="0.2">
      <c r="A31" s="1379"/>
      <c r="B31" s="1380"/>
      <c r="C31" s="2712"/>
      <c r="D31" s="2712"/>
      <c r="E31" s="1380"/>
      <c r="F31" s="2712"/>
      <c r="G31" s="2712"/>
      <c r="H31" s="1375"/>
      <c r="I31" s="2712"/>
      <c r="J31" s="2712"/>
      <c r="K31" s="1372"/>
      <c r="L31" s="2712"/>
      <c r="M31" s="2712"/>
      <c r="N31" s="1372"/>
      <c r="O31" s="2713"/>
      <c r="P31" s="2713"/>
      <c r="Q31" s="2713"/>
      <c r="R31" s="2713"/>
    </row>
    <row r="32" spans="1:18" ht="14.85" customHeight="1" x14ac:dyDescent="0.2">
      <c r="A32" s="1379"/>
      <c r="B32" s="1380"/>
      <c r="C32" s="2712"/>
      <c r="D32" s="2712"/>
      <c r="E32" s="1380"/>
      <c r="F32" s="2712"/>
      <c r="G32" s="2712"/>
      <c r="H32" s="1375"/>
      <c r="I32" s="2712"/>
      <c r="J32" s="2712"/>
      <c r="K32" s="1372"/>
      <c r="L32" s="2712"/>
      <c r="M32" s="2712"/>
      <c r="N32" s="1372"/>
      <c r="O32" s="2713"/>
      <c r="P32" s="2713"/>
      <c r="Q32" s="2713"/>
      <c r="R32" s="2713"/>
    </row>
    <row r="33" spans="1:18" ht="14.85" customHeight="1" x14ac:dyDescent="0.2">
      <c r="A33" s="1379"/>
      <c r="B33" s="1380"/>
      <c r="C33" s="2712"/>
      <c r="D33" s="2712"/>
      <c r="E33" s="1380"/>
      <c r="F33" s="2712"/>
      <c r="G33" s="2712"/>
      <c r="H33" s="1375"/>
      <c r="I33" s="2712"/>
      <c r="J33" s="2712"/>
      <c r="K33" s="1372"/>
      <c r="L33" s="2712"/>
      <c r="M33" s="2712"/>
      <c r="N33" s="1372"/>
      <c r="O33" s="2713"/>
      <c r="P33" s="2713"/>
      <c r="Q33" s="2713"/>
      <c r="R33" s="2713"/>
    </row>
    <row r="34" spans="1:18" ht="14.85" customHeight="1" x14ac:dyDescent="0.2">
      <c r="A34" s="1379"/>
      <c r="B34" s="1380"/>
      <c r="C34" s="2712"/>
      <c r="D34" s="2712"/>
      <c r="E34" s="1380"/>
      <c r="F34" s="2712"/>
      <c r="G34" s="2712"/>
      <c r="H34" s="1375"/>
      <c r="I34" s="2712"/>
      <c r="J34" s="2712"/>
      <c r="K34" s="1372"/>
      <c r="L34" s="2712"/>
      <c r="M34" s="2712"/>
      <c r="N34" s="1372"/>
      <c r="O34" s="2713"/>
      <c r="P34" s="2713"/>
      <c r="Q34" s="2713"/>
      <c r="R34" s="2713"/>
    </row>
    <row r="35" spans="1:18" ht="14.85" customHeight="1" x14ac:dyDescent="0.2">
      <c r="A35" s="1379"/>
      <c r="B35" s="1380"/>
      <c r="C35" s="2712"/>
      <c r="D35" s="2712"/>
      <c r="E35" s="1380"/>
      <c r="F35" s="2712">
        <v>0</v>
      </c>
      <c r="G35" s="2712"/>
      <c r="H35" s="1375"/>
      <c r="I35" s="2712"/>
      <c r="J35" s="2712"/>
      <c r="K35" s="1372"/>
      <c r="L35" s="2712"/>
      <c r="M35" s="2712"/>
      <c r="N35" s="1372"/>
      <c r="O35" s="2713"/>
      <c r="P35" s="2713"/>
      <c r="Q35" s="2713"/>
      <c r="R35" s="2713"/>
    </row>
    <row r="36" spans="1:18" ht="14.85" customHeight="1" x14ac:dyDescent="0.2">
      <c r="A36" s="1379"/>
      <c r="B36" s="1380"/>
      <c r="C36" s="2712"/>
      <c r="D36" s="2712"/>
      <c r="E36" s="1380"/>
      <c r="F36" s="2712"/>
      <c r="G36" s="2712"/>
      <c r="H36" s="1375"/>
      <c r="I36" s="2712"/>
      <c r="J36" s="2712"/>
      <c r="K36" s="1372"/>
      <c r="L36" s="2712"/>
      <c r="M36" s="2712"/>
      <c r="N36" s="1372"/>
      <c r="O36" s="2713"/>
      <c r="P36" s="2713"/>
      <c r="Q36" s="2713"/>
      <c r="R36" s="2713"/>
    </row>
    <row r="37" spans="1:18" ht="14.85" customHeight="1" thickBot="1" x14ac:dyDescent="0.25">
      <c r="A37" s="1380"/>
      <c r="B37" s="1380"/>
      <c r="C37" s="2720">
        <f>SUM(C25:D36)</f>
        <v>0</v>
      </c>
      <c r="D37" s="2720"/>
      <c r="E37" s="1380"/>
      <c r="F37" s="2720">
        <f>SUM(F25:G36)</f>
        <v>0</v>
      </c>
      <c r="G37" s="2720"/>
      <c r="H37" s="1375"/>
      <c r="I37" s="2720">
        <f>SUM(I25:J36)</f>
        <v>0</v>
      </c>
      <c r="J37" s="2720"/>
      <c r="K37" s="1372"/>
      <c r="L37" s="2720">
        <f>SUM(L25:M36)</f>
        <v>0</v>
      </c>
      <c r="M37" s="2720"/>
      <c r="N37" s="1372"/>
      <c r="O37" s="1383"/>
      <c r="P37" s="1383"/>
      <c r="Q37" s="1383"/>
      <c r="R37" s="1383"/>
    </row>
    <row r="38" spans="1:18" ht="14.85" customHeight="1" thickTop="1" x14ac:dyDescent="0.2">
      <c r="A38" s="1371"/>
      <c r="B38" s="1380"/>
      <c r="C38" s="2711" t="s">
        <v>4238</v>
      </c>
      <c r="D38" s="2711"/>
      <c r="E38" s="1375"/>
      <c r="F38" s="2711" t="s">
        <v>3566</v>
      </c>
      <c r="G38" s="2711"/>
      <c r="H38" s="1375"/>
      <c r="I38" s="2711" t="s">
        <v>3567</v>
      </c>
      <c r="J38" s="2711"/>
      <c r="K38" s="1372"/>
      <c r="L38" s="2711" t="s">
        <v>4237</v>
      </c>
      <c r="M38" s="2711"/>
      <c r="N38" s="1372"/>
      <c r="O38" s="1389" t="s">
        <v>4726</v>
      </c>
      <c r="P38" s="1372"/>
      <c r="Q38" s="1372"/>
      <c r="R38" s="1372"/>
    </row>
    <row r="39" spans="1:18" ht="14.25" customHeight="1" x14ac:dyDescent="0.2">
      <c r="G39" s="1844" t="str">
        <f>IF(F37=SUM('203'!O35:O39,+'203'!M109+'202'!G34+'202'!G55+'202'!G63)," ","ERROR**")</f>
        <v xml:space="preserve"> </v>
      </c>
      <c r="J39" s="1844" t="str">
        <f>IF(I37=-SUM('305'!G17:G39)," ","ERROR**")</f>
        <v xml:space="preserve"> </v>
      </c>
      <c r="M39" s="1844" t="str">
        <f>IF(L37=SUM('431G'!D36)," ","ERROR**")</f>
        <v xml:space="preserve"> </v>
      </c>
    </row>
    <row r="40" spans="1:18" x14ac:dyDescent="0.2">
      <c r="A40" s="1418" t="str">
        <f>IF(G39="ERROR*","ERROR*: Prior year adjustments must be identified both on worksheet 203 and 430G.","")</f>
        <v/>
      </c>
      <c r="F40" s="1441"/>
      <c r="G40" s="1844"/>
      <c r="I40" s="1441"/>
      <c r="J40" s="1441"/>
    </row>
    <row r="41" spans="1:18" ht="14.25" customHeight="1" x14ac:dyDescent="0.2">
      <c r="A41" s="1418" t="str">
        <f>IF(J39="ERROR**","ERROR**: Fund Equity Restatements listed above for Long-Term Debt does not equal the sum of the adjustments shown on worksheet 305.","")</f>
        <v/>
      </c>
      <c r="F41" s="1441"/>
      <c r="G41" s="1441"/>
      <c r="I41" s="1441"/>
      <c r="J41" s="1441"/>
    </row>
    <row r="42" spans="1:18" x14ac:dyDescent="0.2">
      <c r="F42" s="1441"/>
      <c r="G42" s="1441"/>
      <c r="I42" s="1441"/>
      <c r="J42" s="1441"/>
    </row>
    <row r="43" spans="1:18" x14ac:dyDescent="0.2">
      <c r="A43" s="272" t="s">
        <v>82</v>
      </c>
      <c r="B43" s="272"/>
      <c r="C43" s="272"/>
      <c r="D43" s="272"/>
      <c r="E43" s="272"/>
      <c r="F43" s="272"/>
      <c r="G43" s="272"/>
      <c r="H43" s="272"/>
      <c r="I43" s="272"/>
      <c r="J43" s="272"/>
      <c r="K43" s="272"/>
      <c r="L43" s="272"/>
      <c r="M43" s="272"/>
      <c r="N43" s="272"/>
      <c r="O43" s="272"/>
      <c r="P43" s="272"/>
      <c r="Q43" s="272"/>
      <c r="R43" s="1384"/>
    </row>
    <row r="44" spans="1:18" x14ac:dyDescent="0.2">
      <c r="A44" s="2719" t="s">
        <v>4679</v>
      </c>
      <c r="B44" s="2719"/>
      <c r="C44" s="2719"/>
      <c r="D44" s="2719"/>
      <c r="E44" s="2719"/>
      <c r="F44" s="2719"/>
      <c r="G44" s="2719"/>
      <c r="H44" s="2719"/>
      <c r="I44" s="2719"/>
      <c r="J44" s="2719"/>
      <c r="K44" s="2719"/>
      <c r="L44" s="2719"/>
      <c r="M44" s="2719"/>
      <c r="N44" s="2719"/>
      <c r="O44" s="2719"/>
      <c r="P44" s="2719"/>
      <c r="Q44" s="2421"/>
      <c r="R44" s="2421"/>
    </row>
    <row r="45" spans="1:18" ht="14.85" customHeight="1" x14ac:dyDescent="0.2">
      <c r="A45" s="2719" t="s">
        <v>1327</v>
      </c>
      <c r="B45" s="2421"/>
      <c r="C45" s="2421"/>
      <c r="D45" s="2421"/>
      <c r="E45" s="2421"/>
      <c r="F45" s="2421"/>
      <c r="G45" s="2421"/>
      <c r="H45" s="2421"/>
      <c r="I45" s="2421"/>
      <c r="J45" s="2421"/>
      <c r="K45" s="2421"/>
      <c r="L45" s="2421"/>
      <c r="M45" s="2421"/>
      <c r="N45" s="2421"/>
      <c r="O45" s="2421"/>
      <c r="P45" s="2421"/>
      <c r="Q45" s="2421"/>
      <c r="R45" s="2421"/>
    </row>
    <row r="46" spans="1:18" ht="14.85" customHeight="1" x14ac:dyDescent="0.2"/>
    <row r="47" spans="1:18" ht="14.85" customHeight="1" x14ac:dyDescent="0.2"/>
    <row r="48" spans="1:18" ht="14.85" customHeight="1" x14ac:dyDescent="0.2"/>
    <row r="49" ht="14.85" customHeight="1" x14ac:dyDescent="0.2"/>
    <row r="50" ht="14.85" customHeight="1" x14ac:dyDescent="0.2"/>
    <row r="51" ht="14.85" customHeight="1" x14ac:dyDescent="0.2"/>
    <row r="53" s="14" customFormat="1" x14ac:dyDescent="0.2"/>
  </sheetData>
  <sheetProtection algorithmName="SHA-512" hashValue="Oj1P6m//6a8Qxro6ygcSu8KdNMxjVwhWuIJWfQ2E1rJgjOQv10L0zfZvEPOKTu+TVJJFhlvqNmYpFvj8p/vjRQ==" saltValue="SVbrhUuCN4YJMh6LWwrl1A==" spinCount="100000" sheet="1" objects="1" scenarios="1" autoFilter="0"/>
  <customSheetViews>
    <customSheetView guid="{B08879A4-635B-4C39-9937-AC7883D562FC}" fitToPage="1" hiddenRows="1">
      <selection sqref="A1:R1"/>
      <pageMargins left="0.5" right="0" top="0.25" bottom="0.25" header="0.5" footer="0.5"/>
      <pageSetup scale="77" orientation="landscape" r:id="rId1"/>
      <headerFooter alignWithMargins="0">
        <oddFooter>&amp;R&amp;A</oddFooter>
      </headerFooter>
    </customSheetView>
    <customSheetView guid="{9FCFC836-1CA5-48BF-958D-24D2EA94B219}" fitToPage="1" hiddenRows="1">
      <selection sqref="A1:R1"/>
      <pageMargins left="0.5" right="0" top="0.25" bottom="0.25" header="0.5" footer="0.5"/>
      <pageSetup scale="77" orientation="landscape" r:id="rId2"/>
      <headerFooter alignWithMargins="0">
        <oddFooter>&amp;R&amp;A</oddFooter>
      </headerFooter>
    </customSheetView>
  </customSheetViews>
  <mergeCells count="103">
    <mergeCell ref="L37:M37"/>
    <mergeCell ref="L38:M38"/>
    <mergeCell ref="C37:D37"/>
    <mergeCell ref="C38:D38"/>
    <mergeCell ref="F26:G26"/>
    <mergeCell ref="C36:D36"/>
    <mergeCell ref="C29:D29"/>
    <mergeCell ref="F33:G33"/>
    <mergeCell ref="C31:D31"/>
    <mergeCell ref="C30:D30"/>
    <mergeCell ref="F30:G30"/>
    <mergeCell ref="F31:G31"/>
    <mergeCell ref="F27:G27"/>
    <mergeCell ref="C27:D27"/>
    <mergeCell ref="C28:D28"/>
    <mergeCell ref="F28:G28"/>
    <mergeCell ref="C26:D26"/>
    <mergeCell ref="A45:R45"/>
    <mergeCell ref="F37:G37"/>
    <mergeCell ref="F29:G29"/>
    <mergeCell ref="C32:D32"/>
    <mergeCell ref="C34:D34"/>
    <mergeCell ref="F34:G34"/>
    <mergeCell ref="O29:R29"/>
    <mergeCell ref="O35:R35"/>
    <mergeCell ref="O36:R36"/>
    <mergeCell ref="C33:D33"/>
    <mergeCell ref="F32:G32"/>
    <mergeCell ref="I34:J34"/>
    <mergeCell ref="L36:M36"/>
    <mergeCell ref="I36:J36"/>
    <mergeCell ref="L29:M29"/>
    <mergeCell ref="C35:D35"/>
    <mergeCell ref="A44:R44"/>
    <mergeCell ref="F35:G35"/>
    <mergeCell ref="O32:R32"/>
    <mergeCell ref="O33:R33"/>
    <mergeCell ref="F38:G38"/>
    <mergeCell ref="F36:G36"/>
    <mergeCell ref="I38:J38"/>
    <mergeCell ref="I37:J37"/>
    <mergeCell ref="O27:R27"/>
    <mergeCell ref="O31:R31"/>
    <mergeCell ref="I35:J35"/>
    <mergeCell ref="L27:M27"/>
    <mergeCell ref="L26:M26"/>
    <mergeCell ref="I29:J29"/>
    <mergeCell ref="I27:J27"/>
    <mergeCell ref="I26:J26"/>
    <mergeCell ref="L28:M28"/>
    <mergeCell ref="I28:J28"/>
    <mergeCell ref="O26:R26"/>
    <mergeCell ref="L35:M35"/>
    <mergeCell ref="I31:J31"/>
    <mergeCell ref="I30:J30"/>
    <mergeCell ref="I32:J32"/>
    <mergeCell ref="I33:J33"/>
    <mergeCell ref="O30:R30"/>
    <mergeCell ref="O34:R34"/>
    <mergeCell ref="O28:R28"/>
    <mergeCell ref="L30:M30"/>
    <mergeCell ref="L34:M34"/>
    <mergeCell ref="L31:M31"/>
    <mergeCell ref="L32:M32"/>
    <mergeCell ref="L33:M33"/>
    <mergeCell ref="A11:Q11"/>
    <mergeCell ref="A12:Q12"/>
    <mergeCell ref="L23:M23"/>
    <mergeCell ref="L22:M22"/>
    <mergeCell ref="I23:J23"/>
    <mergeCell ref="F23:G23"/>
    <mergeCell ref="C23:D23"/>
    <mergeCell ref="I18:J18"/>
    <mergeCell ref="F18:G18"/>
    <mergeCell ref="C18:D18"/>
    <mergeCell ref="I19:J19"/>
    <mergeCell ref="L18:M18"/>
    <mergeCell ref="F19:G19"/>
    <mergeCell ref="I25:J25"/>
    <mergeCell ref="L24:M24"/>
    <mergeCell ref="L25:M25"/>
    <mergeCell ref="C17:D17"/>
    <mergeCell ref="L17:M17"/>
    <mergeCell ref="F17:G17"/>
    <mergeCell ref="I17:J17"/>
    <mergeCell ref="F25:G25"/>
    <mergeCell ref="O24:R24"/>
    <mergeCell ref="O25:R25"/>
    <mergeCell ref="C22:D22"/>
    <mergeCell ref="F22:G22"/>
    <mergeCell ref="I22:J22"/>
    <mergeCell ref="C25:D25"/>
    <mergeCell ref="S1:S3"/>
    <mergeCell ref="A1:R1"/>
    <mergeCell ref="D8:F8"/>
    <mergeCell ref="A2:R2"/>
    <mergeCell ref="A3:R3"/>
    <mergeCell ref="D6:F6"/>
    <mergeCell ref="L6:P6"/>
    <mergeCell ref="L7:P7"/>
    <mergeCell ref="L8:P8"/>
    <mergeCell ref="A4:R4"/>
    <mergeCell ref="R5:R7"/>
  </mergeCells>
  <phoneticPr fontId="0" type="noConversion"/>
  <conditionalFormatting sqref="S1:S3">
    <cfRule type="cellIs" dxfId="83" priority="3" stopIfTrue="1" operator="equal">
      <formula>"na"</formula>
    </cfRule>
  </conditionalFormatting>
  <conditionalFormatting sqref="S4">
    <cfRule type="cellIs" dxfId="82" priority="2" stopIfTrue="1" operator="equal">
      <formula>"na"</formula>
    </cfRule>
  </conditionalFormatting>
  <conditionalFormatting sqref="R5:R7">
    <cfRule type="cellIs" dxfId="81" priority="1" stopIfTrue="1" operator="equal">
      <formula>"na"</formula>
    </cfRule>
  </conditionalFormatting>
  <hyperlinks>
    <hyperlink ref="A1:R1" location="Index!A1" display="Index!A1" xr:uid="{00000000-0004-0000-2200-000000000000}"/>
  </hyperlinks>
  <pageMargins left="0.5" right="0" top="0.25" bottom="0.25" header="0.5" footer="0.5"/>
  <pageSetup scale="79" orientation="landscape" r:id="rId3"/>
  <headerFooter alignWithMargins="0">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pageSetUpPr fitToPage="1"/>
  </sheetPr>
  <dimension ref="A1:S50"/>
  <sheetViews>
    <sheetView zoomScaleNormal="100" workbookViewId="0">
      <selection activeCell="Q38" sqref="Q38"/>
    </sheetView>
  </sheetViews>
  <sheetFormatPr defaultRowHeight="12.75" x14ac:dyDescent="0.2"/>
  <cols>
    <col min="2" max="2" width="0.5703125" customWidth="1"/>
    <col min="4" max="4" width="9.140625" customWidth="1"/>
    <col min="5" max="5" width="0.5703125" customWidth="1"/>
    <col min="7" max="7" width="12" customWidth="1"/>
    <col min="8" max="8" width="0.5703125" customWidth="1"/>
    <col min="10" max="10" width="16" customWidth="1"/>
    <col min="11" max="11" width="0.5703125" customWidth="1"/>
    <col min="13" max="13" width="14.5703125" customWidth="1"/>
    <col min="14" max="14" width="0.5703125" customWidth="1"/>
    <col min="17" max="17" width="9.42578125" customWidth="1"/>
    <col min="18" max="18" width="32.42578125" customWidth="1"/>
    <col min="19" max="19" width="7.5703125" customWidth="1"/>
  </cols>
  <sheetData>
    <row r="1" spans="1:19" ht="15.75" x14ac:dyDescent="0.25">
      <c r="A1" s="2449" t="str">
        <f>+Index!$A$1</f>
        <v xml:space="preserve">                                                               Office of the State Controller                                                                </v>
      </c>
      <c r="B1" s="2449"/>
      <c r="C1" s="2449"/>
      <c r="D1" s="2449"/>
      <c r="E1" s="2449"/>
      <c r="F1" s="2449"/>
      <c r="G1" s="2449"/>
      <c r="H1" s="2449"/>
      <c r="I1" s="2449"/>
      <c r="J1" s="2449"/>
      <c r="K1" s="2449"/>
      <c r="L1" s="2449"/>
      <c r="M1" s="2449"/>
      <c r="N1" s="2449"/>
      <c r="O1" s="2449"/>
      <c r="P1" s="2449"/>
      <c r="Q1" s="2449"/>
      <c r="R1" s="2449"/>
      <c r="S1" s="2457" t="s">
        <v>973</v>
      </c>
    </row>
    <row r="2" spans="1:19" ht="15.75" x14ac:dyDescent="0.25">
      <c r="A2" s="2708" t="str">
        <f>+Index!$A$2</f>
        <v>2022 ACFR Worksheets</v>
      </c>
      <c r="B2" s="2708"/>
      <c r="C2" s="2708"/>
      <c r="D2" s="2708"/>
      <c r="E2" s="2708"/>
      <c r="F2" s="2708"/>
      <c r="G2" s="2708"/>
      <c r="H2" s="2708"/>
      <c r="I2" s="2708"/>
      <c r="J2" s="2708"/>
      <c r="K2" s="2708"/>
      <c r="L2" s="2708"/>
      <c r="M2" s="2708"/>
      <c r="N2" s="2708"/>
      <c r="O2" s="2708"/>
      <c r="P2" s="2708"/>
      <c r="Q2" s="2708"/>
      <c r="R2" s="2708"/>
      <c r="S2" s="2450"/>
    </row>
    <row r="3" spans="1:19" ht="15.75" x14ac:dyDescent="0.25">
      <c r="A3" s="2632" t="s">
        <v>3714</v>
      </c>
      <c r="B3" s="2632"/>
      <c r="C3" s="2632"/>
      <c r="D3" s="2632"/>
      <c r="E3" s="2632"/>
      <c r="F3" s="2632"/>
      <c r="G3" s="2632"/>
      <c r="H3" s="2632"/>
      <c r="I3" s="2632"/>
      <c r="J3" s="2632"/>
      <c r="K3" s="2632"/>
      <c r="L3" s="2632"/>
      <c r="M3" s="2632"/>
      <c r="N3" s="2632"/>
      <c r="O3" s="2632"/>
      <c r="P3" s="2632"/>
      <c r="Q3" s="2632"/>
      <c r="R3" s="2632"/>
      <c r="S3" s="2450"/>
    </row>
    <row r="4" spans="1:19" ht="15.75" x14ac:dyDescent="0.25">
      <c r="A4" s="2709" t="s">
        <v>3712</v>
      </c>
      <c r="B4" s="2632"/>
      <c r="C4" s="2632"/>
      <c r="D4" s="2632"/>
      <c r="E4" s="2632"/>
      <c r="F4" s="2632"/>
      <c r="G4" s="2632"/>
      <c r="H4" s="2632"/>
      <c r="I4" s="2632"/>
      <c r="J4" s="2632"/>
      <c r="K4" s="2632"/>
      <c r="L4" s="2632"/>
      <c r="M4" s="2632"/>
      <c r="N4" s="2632"/>
      <c r="O4" s="2632"/>
      <c r="P4" s="2632"/>
      <c r="Q4" s="2632"/>
      <c r="R4" s="2632"/>
      <c r="S4" s="546"/>
    </row>
    <row r="5" spans="1:19" x14ac:dyDescent="0.2">
      <c r="A5" s="22"/>
      <c r="B5" s="22"/>
      <c r="C5" s="22"/>
      <c r="D5" s="22"/>
      <c r="E5" s="22"/>
      <c r="F5" s="22"/>
      <c r="G5" s="22"/>
      <c r="H5" s="22"/>
      <c r="I5" s="22"/>
      <c r="J5" s="22"/>
      <c r="K5" s="22"/>
      <c r="L5" s="22"/>
      <c r="M5" s="22"/>
      <c r="N5" s="22"/>
      <c r="O5" s="22"/>
      <c r="P5" s="22"/>
      <c r="Q5" s="22"/>
      <c r="R5" s="2450" t="str">
        <f>IF(Index!$B$59="na","NA","")</f>
        <v/>
      </c>
    </row>
    <row r="6" spans="1:19" x14ac:dyDescent="0.2">
      <c r="A6" s="1371" t="s">
        <v>327</v>
      </c>
      <c r="B6" s="1372"/>
      <c r="C6" s="1372"/>
      <c r="D6" s="2707" t="str">
        <f>+Index!$E$10</f>
        <v>01</v>
      </c>
      <c r="E6" s="2707"/>
      <c r="F6" s="2707"/>
      <c r="G6" s="1372"/>
      <c r="H6" s="1372"/>
      <c r="I6" s="1372"/>
      <c r="J6" s="1374" t="s">
        <v>1154</v>
      </c>
      <c r="K6" s="253"/>
      <c r="L6" s="2488" t="str">
        <f>+Index!$E$11</f>
        <v>North Carolina General Assembly</v>
      </c>
      <c r="M6" s="2488"/>
      <c r="N6" s="2488"/>
      <c r="O6" s="2488"/>
      <c r="P6" s="2488"/>
      <c r="R6" s="2450"/>
    </row>
    <row r="7" spans="1:19" x14ac:dyDescent="0.2">
      <c r="A7" s="272"/>
      <c r="B7" s="1372"/>
      <c r="C7" s="1372"/>
      <c r="D7" s="1372"/>
      <c r="E7" s="1372"/>
      <c r="F7" s="1372"/>
      <c r="G7" s="1372"/>
      <c r="H7" s="1372"/>
      <c r="I7" s="1372"/>
      <c r="J7" s="1374" t="s">
        <v>972</v>
      </c>
      <c r="K7" s="22"/>
      <c r="L7" s="2513" t="str">
        <f>CONCATENATE(Index!$E$12,"",Index!$E$14)</f>
        <v/>
      </c>
      <c r="M7" s="2513"/>
      <c r="N7" s="2513"/>
      <c r="O7" s="2513"/>
      <c r="P7" s="2513"/>
      <c r="R7" s="2450"/>
    </row>
    <row r="8" spans="1:19" x14ac:dyDescent="0.2">
      <c r="A8" s="1372" t="s">
        <v>477</v>
      </c>
      <c r="B8" s="1372"/>
      <c r="C8" s="1372"/>
      <c r="D8" s="2726"/>
      <c r="E8" s="2547"/>
      <c r="F8" s="2547"/>
      <c r="G8" s="1372"/>
      <c r="H8" s="1372"/>
      <c r="I8" s="1372"/>
      <c r="J8" s="1374" t="s">
        <v>348</v>
      </c>
      <c r="K8" s="253"/>
      <c r="L8" s="2513">
        <f>+Index!$E$13</f>
        <v>0</v>
      </c>
      <c r="M8" s="2513"/>
      <c r="N8" s="2513"/>
      <c r="O8" s="2513"/>
      <c r="P8" s="2513"/>
    </row>
    <row r="9" spans="1:19" ht="13.5" thickBot="1" x14ac:dyDescent="0.25">
      <c r="A9" s="120"/>
      <c r="B9" s="120"/>
      <c r="C9" s="120"/>
      <c r="D9" s="120"/>
      <c r="E9" s="120"/>
      <c r="F9" s="120"/>
      <c r="G9" s="120"/>
      <c r="H9" s="120"/>
      <c r="I9" s="120"/>
      <c r="J9" s="120"/>
      <c r="K9" s="120"/>
      <c r="L9" s="120"/>
      <c r="M9" s="120"/>
      <c r="N9" s="120"/>
      <c r="O9" s="120"/>
      <c r="P9" s="120"/>
      <c r="Q9" s="120"/>
      <c r="R9" s="120"/>
    </row>
    <row r="10" spans="1:19" x14ac:dyDescent="0.2">
      <c r="A10" s="22"/>
      <c r="B10" s="22"/>
      <c r="C10" s="22"/>
      <c r="D10" s="22"/>
      <c r="E10" s="22"/>
      <c r="F10" s="22"/>
      <c r="G10" s="22"/>
      <c r="H10" s="22"/>
      <c r="I10" s="22"/>
      <c r="J10" s="22"/>
      <c r="K10" s="22"/>
      <c r="L10" s="22"/>
      <c r="M10" s="22"/>
      <c r="N10" s="22"/>
      <c r="O10" s="22"/>
      <c r="P10" s="22"/>
      <c r="Q10" s="22"/>
      <c r="R10" s="22"/>
    </row>
    <row r="11" spans="1:19" x14ac:dyDescent="0.2">
      <c r="A11" s="2716" t="s">
        <v>1956</v>
      </c>
      <c r="B11" s="2716"/>
      <c r="C11" s="2716"/>
      <c r="D11" s="2716"/>
      <c r="E11" s="2716"/>
      <c r="F11" s="2716"/>
      <c r="G11" s="2716"/>
      <c r="H11" s="2716"/>
      <c r="I11" s="2716"/>
      <c r="J11" s="2716"/>
      <c r="K11" s="2716"/>
      <c r="L11" s="2716"/>
      <c r="M11" s="2716"/>
      <c r="N11" s="2716"/>
      <c r="O11" s="2716"/>
      <c r="P11" s="2716"/>
      <c r="Q11" s="2716"/>
      <c r="R11" s="1372"/>
    </row>
    <row r="12" spans="1:19" x14ac:dyDescent="0.2">
      <c r="A12" s="2716" t="s">
        <v>4649</v>
      </c>
      <c r="B12" s="2716"/>
      <c r="C12" s="2716"/>
      <c r="D12" s="2716"/>
      <c r="E12" s="2716"/>
      <c r="F12" s="2716"/>
      <c r="G12" s="2716"/>
      <c r="H12" s="2716"/>
      <c r="I12" s="2716"/>
      <c r="J12" s="2716"/>
      <c r="K12" s="2716"/>
      <c r="L12" s="2716"/>
      <c r="M12" s="2716"/>
      <c r="N12" s="2716"/>
      <c r="O12" s="2716"/>
      <c r="P12" s="2716"/>
      <c r="Q12" s="2716"/>
      <c r="R12" s="1372"/>
    </row>
    <row r="13" spans="1:19" x14ac:dyDescent="0.2">
      <c r="A13" s="1372"/>
      <c r="B13" s="1372"/>
      <c r="C13" s="1372"/>
      <c r="D13" s="1372"/>
      <c r="E13" s="1372"/>
      <c r="F13" s="1372"/>
      <c r="G13" s="1372"/>
      <c r="H13" s="1372"/>
      <c r="I13" s="1372"/>
      <c r="J13" s="1372"/>
      <c r="K13" s="1372"/>
      <c r="L13" s="1372"/>
      <c r="M13" s="1372"/>
      <c r="N13" s="1372"/>
      <c r="O13" s="1372"/>
      <c r="P13" s="1372"/>
      <c r="Q13" s="1372"/>
      <c r="R13" s="1372"/>
    </row>
    <row r="14" spans="1:19" ht="11.1" customHeight="1" x14ac:dyDescent="0.2">
      <c r="A14" s="1372"/>
      <c r="B14" s="1372"/>
      <c r="C14" s="1372"/>
      <c r="D14" s="1372"/>
      <c r="E14" s="1372"/>
      <c r="F14" s="1372"/>
      <c r="G14" s="1372"/>
      <c r="H14" s="1372"/>
      <c r="I14" s="1372"/>
      <c r="J14" s="1372"/>
      <c r="K14" s="1372"/>
      <c r="L14" s="1372"/>
      <c r="M14" s="1372"/>
      <c r="N14" s="1372"/>
      <c r="O14" s="1372"/>
      <c r="P14" s="1372"/>
      <c r="Q14" s="1372"/>
      <c r="R14" s="1372"/>
    </row>
    <row r="15" spans="1:19" ht="14.85" customHeight="1" x14ac:dyDescent="0.2">
      <c r="A15" s="1371" t="s">
        <v>1323</v>
      </c>
      <c r="B15" s="1380"/>
      <c r="C15" s="1382"/>
      <c r="D15" s="1382"/>
      <c r="E15" s="1380"/>
      <c r="F15" s="1382"/>
      <c r="G15" s="1382"/>
      <c r="H15" s="1375"/>
      <c r="I15" s="1382"/>
      <c r="J15" s="1382"/>
      <c r="K15" s="1372"/>
      <c r="L15" s="1382"/>
      <c r="M15" s="1382"/>
      <c r="N15" s="1372"/>
      <c r="O15" s="1383"/>
      <c r="P15" s="1383"/>
      <c r="Q15" s="1383"/>
      <c r="R15" s="1383"/>
    </row>
    <row r="16" spans="1:19" ht="14.25" customHeight="1" x14ac:dyDescent="0.2">
      <c r="A16" s="1380"/>
      <c r="B16" s="1380"/>
      <c r="C16" s="2724"/>
      <c r="D16" s="2724"/>
      <c r="E16" s="1380"/>
      <c r="F16" s="2724"/>
      <c r="G16" s="2724"/>
      <c r="H16" s="1375"/>
      <c r="I16" s="2724"/>
      <c r="J16" s="2724"/>
      <c r="K16" s="1372"/>
      <c r="L16" s="2724"/>
      <c r="M16" s="2724"/>
      <c r="N16" s="1372"/>
      <c r="O16" s="2723"/>
      <c r="P16" s="2723"/>
      <c r="Q16" s="2723"/>
      <c r="R16" s="2723"/>
    </row>
    <row r="17" spans="1:18" x14ac:dyDescent="0.2">
      <c r="A17" s="1372"/>
      <c r="B17" s="1372"/>
      <c r="C17" s="2711" t="s">
        <v>1157</v>
      </c>
      <c r="D17" s="2711"/>
      <c r="E17" s="1372"/>
      <c r="F17" s="2711" t="s">
        <v>1325</v>
      </c>
      <c r="G17" s="2711"/>
      <c r="H17" s="1372"/>
      <c r="I17" s="2711" t="s">
        <v>5472</v>
      </c>
      <c r="J17" s="2711"/>
      <c r="K17" s="1372"/>
      <c r="L17" s="2711"/>
      <c r="M17" s="2711"/>
      <c r="N17" s="1372"/>
      <c r="O17" s="1372"/>
      <c r="P17" s="1372"/>
      <c r="Q17" s="1372"/>
      <c r="R17" s="1372"/>
    </row>
    <row r="18" spans="1:18" ht="14.25" customHeight="1" x14ac:dyDescent="0.2">
      <c r="A18" s="1372"/>
      <c r="B18" s="1372"/>
      <c r="C18" s="2707" t="s">
        <v>649</v>
      </c>
      <c r="D18" s="2707"/>
      <c r="E18" s="1372"/>
      <c r="F18" s="2707" t="s">
        <v>1326</v>
      </c>
      <c r="G18" s="2707"/>
      <c r="H18" s="1372"/>
      <c r="I18" s="2707" t="s">
        <v>1326</v>
      </c>
      <c r="J18" s="2707"/>
      <c r="K18" s="1372"/>
      <c r="L18" s="2707" t="s">
        <v>650</v>
      </c>
      <c r="M18" s="2707"/>
      <c r="N18" s="1372"/>
      <c r="O18" s="1372"/>
      <c r="P18" s="1372"/>
      <c r="Q18" s="1372"/>
      <c r="R18" s="1372"/>
    </row>
    <row r="19" spans="1:18" ht="12.75" hidden="1" customHeight="1" x14ac:dyDescent="0.2">
      <c r="A19" s="1372"/>
      <c r="B19" s="1372"/>
      <c r="C19" s="272"/>
      <c r="D19" s="272"/>
      <c r="E19" s="1372"/>
      <c r="F19" s="2707" t="s">
        <v>973</v>
      </c>
      <c r="G19" s="2707"/>
      <c r="H19" s="1372"/>
      <c r="I19" s="2707" t="s">
        <v>973</v>
      </c>
      <c r="J19" s="2707"/>
      <c r="K19" s="1372"/>
      <c r="L19" s="272"/>
      <c r="M19" s="272"/>
      <c r="N19" s="1372"/>
      <c r="O19" s="1372"/>
      <c r="P19" s="1372"/>
      <c r="Q19" s="1372"/>
      <c r="R19" s="1372"/>
    </row>
    <row r="20" spans="1:18" ht="13.5" hidden="1" customHeight="1" thickBot="1" x14ac:dyDescent="0.25">
      <c r="A20" s="1372"/>
      <c r="B20" s="1372"/>
      <c r="C20" s="1376" t="s">
        <v>973</v>
      </c>
      <c r="D20" s="1376" t="s">
        <v>973</v>
      </c>
      <c r="E20" s="1372"/>
      <c r="F20" s="1376" t="s">
        <v>973</v>
      </c>
      <c r="G20" s="1376"/>
      <c r="H20" s="1372"/>
      <c r="I20" s="1376" t="s">
        <v>973</v>
      </c>
      <c r="J20" s="1376"/>
      <c r="K20" s="1372"/>
      <c r="L20" s="1376" t="s">
        <v>973</v>
      </c>
      <c r="M20" s="1376"/>
      <c r="N20" s="1372"/>
      <c r="O20" s="1372"/>
      <c r="P20" s="1372"/>
      <c r="Q20" s="1372"/>
      <c r="R20" s="1372"/>
    </row>
    <row r="21" spans="1:18" ht="12.75" hidden="1" customHeight="1" x14ac:dyDescent="0.2">
      <c r="A21" s="1372"/>
      <c r="B21" s="1372"/>
      <c r="C21" s="1377"/>
      <c r="D21" s="1377"/>
      <c r="E21" s="1372"/>
      <c r="F21" s="1377"/>
      <c r="G21" s="1377"/>
      <c r="H21" s="1372"/>
      <c r="I21" s="1377"/>
      <c r="J21" s="1377"/>
      <c r="K21" s="1372"/>
      <c r="L21" s="1377"/>
      <c r="M21" s="1377"/>
      <c r="N21" s="1372"/>
      <c r="O21" s="1372"/>
      <c r="P21" s="1372"/>
      <c r="Q21" s="1372"/>
      <c r="R21" s="1372"/>
    </row>
    <row r="22" spans="1:18" x14ac:dyDescent="0.2">
      <c r="A22" s="1375" t="s">
        <v>1157</v>
      </c>
      <c r="B22" s="1375"/>
      <c r="C22" s="2714" t="s">
        <v>4168</v>
      </c>
      <c r="D22" s="2714"/>
      <c r="E22" s="1375"/>
      <c r="F22" s="2714" t="s">
        <v>4167</v>
      </c>
      <c r="G22" s="2714"/>
      <c r="H22" s="1375"/>
      <c r="I22" s="2714" t="s">
        <v>4167</v>
      </c>
      <c r="J22" s="2714"/>
      <c r="K22" s="1375"/>
      <c r="L22" s="2714" t="s">
        <v>4168</v>
      </c>
      <c r="M22" s="2714"/>
      <c r="N22" s="1375"/>
      <c r="O22" s="1372"/>
      <c r="P22" s="1372"/>
      <c r="Q22" s="1372"/>
      <c r="R22" s="1372"/>
    </row>
    <row r="23" spans="1:18" x14ac:dyDescent="0.2">
      <c r="A23" s="1375" t="s">
        <v>795</v>
      </c>
      <c r="B23" s="1375"/>
      <c r="C23" s="2717">
        <v>44378</v>
      </c>
      <c r="D23" s="2717"/>
      <c r="E23" s="1375"/>
      <c r="F23" s="2717">
        <v>44378</v>
      </c>
      <c r="G23" s="2717"/>
      <c r="H23" s="1375"/>
      <c r="I23" s="2717">
        <v>44378</v>
      </c>
      <c r="J23" s="2717"/>
      <c r="K23" s="1375"/>
      <c r="L23" s="2717">
        <v>44378</v>
      </c>
      <c r="M23" s="2717"/>
      <c r="N23" s="1375"/>
      <c r="O23" s="1372"/>
      <c r="P23" s="1372"/>
      <c r="Q23" s="1372"/>
      <c r="R23" s="1372"/>
    </row>
    <row r="24" spans="1:18" x14ac:dyDescent="0.2">
      <c r="A24" s="1373" t="s">
        <v>808</v>
      </c>
      <c r="B24" s="1375"/>
      <c r="C24" s="1378" t="s">
        <v>809</v>
      </c>
      <c r="D24" s="1378"/>
      <c r="E24" s="1375"/>
      <c r="F24" s="1378" t="s">
        <v>1343</v>
      </c>
      <c r="G24" s="1378"/>
      <c r="H24" s="1375"/>
      <c r="I24" s="1378" t="s">
        <v>1343</v>
      </c>
      <c r="J24" s="1378"/>
      <c r="K24" s="1375"/>
      <c r="L24" s="2711" t="s">
        <v>809</v>
      </c>
      <c r="M24" s="2711"/>
      <c r="N24" s="1375"/>
      <c r="O24" s="2707" t="s">
        <v>810</v>
      </c>
      <c r="P24" s="2707"/>
      <c r="Q24" s="2707"/>
      <c r="R24" s="2707"/>
    </row>
    <row r="25" spans="1:18" ht="14.85" customHeight="1" x14ac:dyDescent="0.2">
      <c r="A25" s="1379" t="s">
        <v>973</v>
      </c>
      <c r="B25" s="1380"/>
      <c r="C25" s="2712" t="s">
        <v>973</v>
      </c>
      <c r="D25" s="2712"/>
      <c r="E25" s="1375"/>
      <c r="F25" s="2712"/>
      <c r="G25" s="2712"/>
      <c r="H25" s="1375"/>
      <c r="I25" s="2710" t="s">
        <v>973</v>
      </c>
      <c r="J25" s="2710"/>
      <c r="K25" s="1372"/>
      <c r="L25" s="2710"/>
      <c r="M25" s="2710"/>
      <c r="N25" s="1372"/>
      <c r="O25" s="2713" t="s">
        <v>5361</v>
      </c>
      <c r="P25" s="2713"/>
      <c r="Q25" s="2713"/>
      <c r="R25" s="2713"/>
    </row>
    <row r="26" spans="1:18" ht="14.85" customHeight="1" x14ac:dyDescent="0.2">
      <c r="A26" s="1379" t="s">
        <v>973</v>
      </c>
      <c r="B26" s="1380"/>
      <c r="C26" s="2712"/>
      <c r="D26" s="2712"/>
      <c r="E26" s="1375"/>
      <c r="F26" s="2710"/>
      <c r="G26" s="2710"/>
      <c r="H26" s="1375"/>
      <c r="I26" s="2712"/>
      <c r="J26" s="2712"/>
      <c r="K26" s="1372"/>
      <c r="L26" s="2710"/>
      <c r="M26" s="2710"/>
      <c r="N26" s="1372"/>
      <c r="O26" s="2713" t="s">
        <v>5362</v>
      </c>
      <c r="P26" s="2713"/>
      <c r="Q26" s="2713"/>
      <c r="R26" s="2713"/>
    </row>
    <row r="27" spans="1:18" ht="14.85" customHeight="1" x14ac:dyDescent="0.2">
      <c r="A27" s="1379"/>
      <c r="B27" s="1380"/>
      <c r="C27" s="2712"/>
      <c r="D27" s="2712"/>
      <c r="E27" s="1375"/>
      <c r="F27" s="2712"/>
      <c r="G27" s="2712"/>
      <c r="H27" s="1375"/>
      <c r="I27" s="2710"/>
      <c r="J27" s="2710"/>
      <c r="K27" s="1372"/>
      <c r="L27" s="2710"/>
      <c r="M27" s="2710"/>
      <c r="N27" s="1372"/>
      <c r="O27" s="2713" t="s">
        <v>5363</v>
      </c>
      <c r="P27" s="2713"/>
      <c r="Q27" s="2713"/>
      <c r="R27" s="2713"/>
    </row>
    <row r="28" spans="1:18" ht="14.85" customHeight="1" x14ac:dyDescent="0.2">
      <c r="A28" s="1379"/>
      <c r="B28" s="1380"/>
      <c r="C28" s="2712"/>
      <c r="D28" s="2712"/>
      <c r="E28" s="1380"/>
      <c r="F28" s="2710"/>
      <c r="G28" s="2710"/>
      <c r="H28" s="1375"/>
      <c r="I28" s="2712"/>
      <c r="J28" s="2712"/>
      <c r="K28" s="1372"/>
      <c r="L28" s="2710"/>
      <c r="M28" s="2710"/>
      <c r="N28" s="1372"/>
      <c r="O28" s="2713" t="s">
        <v>5364</v>
      </c>
      <c r="P28" s="2713"/>
      <c r="Q28" s="2713"/>
      <c r="R28" s="2713"/>
    </row>
    <row r="29" spans="1:18" ht="14.85" customHeight="1" x14ac:dyDescent="0.2">
      <c r="A29" s="1379"/>
      <c r="B29" s="1380"/>
      <c r="C29" s="2712"/>
      <c r="D29" s="2712"/>
      <c r="E29" s="1380"/>
      <c r="F29" s="2710"/>
      <c r="G29" s="2710"/>
      <c r="H29" s="1375"/>
      <c r="I29" s="2710"/>
      <c r="J29" s="2710"/>
      <c r="K29" s="1372"/>
      <c r="L29" s="2712"/>
      <c r="M29" s="2712"/>
      <c r="N29" s="1372"/>
      <c r="O29" s="2713" t="s">
        <v>5357</v>
      </c>
      <c r="P29" s="2713"/>
      <c r="Q29" s="2713"/>
      <c r="R29" s="2713"/>
    </row>
    <row r="30" spans="1:18" ht="14.85" customHeight="1" x14ac:dyDescent="0.2">
      <c r="A30" s="1379"/>
      <c r="B30" s="1380"/>
      <c r="C30" s="2712"/>
      <c r="D30" s="2712"/>
      <c r="E30" s="1380"/>
      <c r="F30" s="2710"/>
      <c r="G30" s="2710"/>
      <c r="H30" s="1375"/>
      <c r="I30" s="2710"/>
      <c r="J30" s="2710"/>
      <c r="K30" s="1372"/>
      <c r="L30" s="2712"/>
      <c r="M30" s="2712"/>
      <c r="N30" s="1372"/>
      <c r="O30" s="2713" t="s">
        <v>5358</v>
      </c>
      <c r="P30" s="2713"/>
      <c r="Q30" s="2713"/>
      <c r="R30" s="2713"/>
    </row>
    <row r="31" spans="1:18" ht="14.85" customHeight="1" x14ac:dyDescent="0.2">
      <c r="A31" s="1379"/>
      <c r="B31" s="1380"/>
      <c r="C31" s="2712"/>
      <c r="D31" s="2712"/>
      <c r="E31" s="1380"/>
      <c r="F31" s="2712"/>
      <c r="G31" s="2712"/>
      <c r="H31" s="1375"/>
      <c r="I31" s="2712"/>
      <c r="J31" s="2712"/>
      <c r="K31" s="1372"/>
      <c r="L31" s="2712"/>
      <c r="M31" s="2712"/>
      <c r="N31" s="1372"/>
      <c r="O31" s="2713"/>
      <c r="P31" s="2713"/>
      <c r="Q31" s="2713"/>
      <c r="R31" s="2713"/>
    </row>
    <row r="32" spans="1:18" ht="14.85" customHeight="1" x14ac:dyDescent="0.2">
      <c r="A32" s="1379"/>
      <c r="B32" s="1380"/>
      <c r="C32" s="2712" t="s">
        <v>973</v>
      </c>
      <c r="D32" s="2712"/>
      <c r="E32" s="1380"/>
      <c r="F32" s="2712"/>
      <c r="G32" s="2712"/>
      <c r="H32" s="1375"/>
      <c r="I32" s="2712"/>
      <c r="J32" s="2712"/>
      <c r="K32" s="1372"/>
      <c r="L32" s="2712" t="s">
        <v>973</v>
      </c>
      <c r="M32" s="2712"/>
      <c r="N32" s="1372"/>
      <c r="O32" s="2713" t="s">
        <v>973</v>
      </c>
      <c r="P32" s="2713"/>
      <c r="Q32" s="2713"/>
      <c r="R32" s="2713"/>
    </row>
    <row r="33" spans="1:18" ht="14.85" customHeight="1" x14ac:dyDescent="0.2">
      <c r="A33" s="1379"/>
      <c r="B33" s="1380"/>
      <c r="C33" s="2712"/>
      <c r="D33" s="2712"/>
      <c r="E33" s="1380"/>
      <c r="F33" s="2712">
        <v>0</v>
      </c>
      <c r="G33" s="2712"/>
      <c r="H33" s="1375"/>
      <c r="I33" s="2712">
        <v>0</v>
      </c>
      <c r="J33" s="2712"/>
      <c r="K33" s="1372"/>
      <c r="L33" s="2712"/>
      <c r="M33" s="2712"/>
      <c r="N33" s="1372"/>
      <c r="O33" s="2713"/>
      <c r="P33" s="2713"/>
      <c r="Q33" s="2713"/>
      <c r="R33" s="2713"/>
    </row>
    <row r="34" spans="1:18" ht="14.85" customHeight="1" x14ac:dyDescent="0.2">
      <c r="A34" s="1379"/>
      <c r="B34" s="1380"/>
      <c r="C34" s="2712"/>
      <c r="D34" s="2712"/>
      <c r="E34" s="1380"/>
      <c r="F34" s="2712"/>
      <c r="G34" s="2712"/>
      <c r="H34" s="1375"/>
      <c r="I34" s="2712"/>
      <c r="J34" s="2712"/>
      <c r="K34" s="1372"/>
      <c r="L34" s="2712"/>
      <c r="M34" s="2712"/>
      <c r="N34" s="1372"/>
      <c r="O34" s="2713"/>
      <c r="P34" s="2713"/>
      <c r="Q34" s="2713"/>
      <c r="R34" s="2713"/>
    </row>
    <row r="35" spans="1:18" ht="14.85" customHeight="1" x14ac:dyDescent="0.2">
      <c r="A35" s="1379"/>
      <c r="B35" s="1380"/>
      <c r="C35" s="2712"/>
      <c r="D35" s="2712"/>
      <c r="E35" s="1380"/>
      <c r="F35" s="2712"/>
      <c r="G35" s="2712"/>
      <c r="H35" s="1375"/>
      <c r="I35" s="2712"/>
      <c r="J35" s="2712"/>
      <c r="K35" s="1372"/>
      <c r="L35" s="2712"/>
      <c r="M35" s="2712"/>
      <c r="N35" s="1372"/>
      <c r="O35" s="2713"/>
      <c r="P35" s="2713"/>
      <c r="Q35" s="2713"/>
      <c r="R35" s="2713"/>
    </row>
    <row r="36" spans="1:18" ht="14.85" customHeight="1" x14ac:dyDescent="0.2">
      <c r="A36" s="1375"/>
      <c r="B36" s="1375"/>
      <c r="C36" s="1388"/>
      <c r="D36" s="1388"/>
      <c r="E36" s="1375"/>
      <c r="F36" s="1388"/>
      <c r="G36" s="1388"/>
      <c r="H36" s="1375"/>
      <c r="I36" s="1388"/>
      <c r="J36" s="1388"/>
      <c r="K36" s="1372"/>
      <c r="L36" s="1388"/>
      <c r="M36" s="1388"/>
      <c r="N36" s="1372"/>
      <c r="O36" s="1372"/>
      <c r="P36" s="1372"/>
      <c r="Q36" s="1372"/>
      <c r="R36" s="1372"/>
    </row>
    <row r="37" spans="1:18" ht="14.85" customHeight="1" x14ac:dyDescent="0.2">
      <c r="A37" s="1375" t="s">
        <v>3568</v>
      </c>
      <c r="B37" s="1380"/>
      <c r="C37" s="2725">
        <f>SUM(C25:D35)</f>
        <v>0</v>
      </c>
      <c r="D37" s="2725"/>
      <c r="E37" s="1406"/>
      <c r="F37" s="2725">
        <f>SUM(F25:G35)</f>
        <v>0</v>
      </c>
      <c r="G37" s="2725"/>
      <c r="H37" s="1407"/>
      <c r="I37" s="2725">
        <f>SUM(I25:J35)</f>
        <v>0</v>
      </c>
      <c r="J37" s="2725"/>
      <c r="K37" s="1408"/>
      <c r="L37" s="2725">
        <f>SUM(L25:M35)</f>
        <v>0</v>
      </c>
      <c r="M37" s="2725"/>
      <c r="N37" s="1372"/>
      <c r="O37" s="1383"/>
      <c r="P37" s="1383"/>
      <c r="Q37" s="1383"/>
      <c r="R37" s="1383"/>
    </row>
    <row r="38" spans="1:18" ht="14.85" customHeight="1" x14ac:dyDescent="0.2">
      <c r="F38" s="1417"/>
      <c r="G38" s="1418" t="str">
        <f>IF(F37=(SUM('201'!F41,-'210'!I31)),"","ERROR*")</f>
        <v/>
      </c>
      <c r="I38" s="1417"/>
      <c r="J38" s="1440" t="str">
        <f>IF(I37=(-SUM('310'!G17:G41)),"","ERROR**")</f>
        <v/>
      </c>
    </row>
    <row r="39" spans="1:18" ht="14.85" customHeight="1" x14ac:dyDescent="0.2">
      <c r="A39" s="1380" t="s">
        <v>973</v>
      </c>
      <c r="B39" s="1380"/>
      <c r="M39" s="1372"/>
      <c r="N39" s="1372"/>
      <c r="O39" s="1383"/>
      <c r="P39" s="1383"/>
      <c r="Q39" s="1383"/>
      <c r="R39" s="1383"/>
    </row>
    <row r="40" spans="1:18" ht="14.85" customHeight="1" thickBot="1" x14ac:dyDescent="0.25">
      <c r="A40" s="1380"/>
      <c r="B40" s="1380"/>
      <c r="C40" s="2720">
        <f>F37+I37+L37</f>
        <v>0</v>
      </c>
      <c r="D40" s="2720"/>
      <c r="E40" s="1380"/>
      <c r="F40" s="1389" t="s">
        <v>4727</v>
      </c>
      <c r="G40" s="2046"/>
      <c r="H40" s="2047"/>
      <c r="I40" s="2046"/>
      <c r="J40" s="2046"/>
      <c r="K40" s="2046"/>
      <c r="L40" s="2046"/>
      <c r="M40" s="1372"/>
      <c r="N40" s="1372"/>
      <c r="O40" s="1372"/>
      <c r="P40" s="1372"/>
      <c r="Q40" s="1372"/>
      <c r="R40" s="1383"/>
    </row>
    <row r="41" spans="1:18" ht="14.85" customHeight="1" thickTop="1" x14ac:dyDescent="0.2">
      <c r="A41" s="1380"/>
      <c r="B41" s="1380"/>
      <c r="C41" s="1382"/>
      <c r="D41" s="1382"/>
      <c r="E41" s="1380"/>
      <c r="F41" s="1382"/>
      <c r="G41" s="1382"/>
      <c r="H41" s="1375"/>
      <c r="I41" s="1382"/>
      <c r="J41" s="1382"/>
      <c r="K41" s="1372"/>
      <c r="L41" s="1382"/>
      <c r="M41" s="1382"/>
      <c r="N41" s="1372"/>
      <c r="O41" s="1383"/>
      <c r="P41" s="1383"/>
      <c r="Q41" s="1383"/>
      <c r="R41" s="1383"/>
    </row>
    <row r="42" spans="1:18" ht="14.85" customHeight="1" x14ac:dyDescent="0.2">
      <c r="A42" s="1439" t="str">
        <f>IF(G38="ERROR*","ERROR*: Fund Equity Restatements listed above for Capital Assets does not equal the sum of the adjustments shown on worksheet 201 and 210.","")</f>
        <v/>
      </c>
      <c r="B42" s="1380"/>
      <c r="C42" s="1382"/>
      <c r="D42" s="1382"/>
      <c r="E42" s="1380"/>
      <c r="F42" s="1382"/>
      <c r="G42" s="1382"/>
      <c r="H42" s="1375"/>
      <c r="I42" s="1382"/>
      <c r="J42" s="1382"/>
      <c r="K42" s="1372"/>
      <c r="L42" s="1382"/>
      <c r="M42" s="1382"/>
      <c r="N42" s="1372"/>
      <c r="O42" s="1383"/>
      <c r="P42" s="1383"/>
      <c r="Q42" s="1383"/>
      <c r="R42" s="1383"/>
    </row>
    <row r="43" spans="1:18" ht="14.85" customHeight="1" x14ac:dyDescent="0.2">
      <c r="A43" s="1439" t="str">
        <f>IF(J38="ERROR**","ERROR**: Fund Equity Restatements listed above for Long Term/Short Term Transactions does not equal the sum of the adjustments shown on worksheet 310.","")</f>
        <v/>
      </c>
      <c r="B43" s="1380"/>
      <c r="C43" s="1382"/>
      <c r="D43" s="1382"/>
      <c r="E43" s="1380"/>
      <c r="F43" s="1382"/>
      <c r="G43" s="1382"/>
      <c r="H43" s="1375"/>
      <c r="I43" s="1382"/>
      <c r="J43" s="1382"/>
      <c r="K43" s="1372"/>
      <c r="L43" s="1382"/>
      <c r="M43" s="1382"/>
      <c r="N43" s="1372"/>
      <c r="O43" s="1383"/>
      <c r="P43" s="1383"/>
      <c r="Q43" s="1383"/>
      <c r="R43" s="1383"/>
    </row>
    <row r="44" spans="1:18" ht="14.85" customHeight="1" x14ac:dyDescent="0.2">
      <c r="A44" s="1380"/>
      <c r="B44" s="1380"/>
      <c r="C44" s="2724"/>
      <c r="D44" s="2724"/>
      <c r="E44" s="1380"/>
      <c r="F44" s="2724"/>
      <c r="G44" s="2724"/>
      <c r="H44" s="1375"/>
      <c r="I44" s="2724"/>
      <c r="J44" s="2724"/>
      <c r="K44" s="1372"/>
      <c r="L44" s="2724"/>
      <c r="M44" s="2724"/>
      <c r="N44" s="1372"/>
      <c r="O44" s="2723"/>
      <c r="P44" s="2723"/>
      <c r="Q44" s="2723"/>
      <c r="R44" s="2723"/>
    </row>
    <row r="45" spans="1:18" x14ac:dyDescent="0.2">
      <c r="A45" s="272" t="s">
        <v>82</v>
      </c>
      <c r="B45" s="272"/>
      <c r="C45" s="272"/>
      <c r="D45" s="272"/>
      <c r="E45" s="272"/>
      <c r="F45" s="272"/>
      <c r="G45" s="272"/>
      <c r="H45" s="272"/>
      <c r="I45" s="272"/>
      <c r="J45" s="272"/>
      <c r="K45" s="272"/>
      <c r="L45" s="272"/>
      <c r="M45" s="272"/>
      <c r="N45" s="272"/>
      <c r="O45" s="272"/>
      <c r="P45" s="272"/>
      <c r="Q45" s="272"/>
      <c r="R45" s="1384"/>
    </row>
    <row r="46" spans="1:18" x14ac:dyDescent="0.2">
      <c r="A46" s="2722" t="s">
        <v>3569</v>
      </c>
      <c r="B46" s="2722"/>
      <c r="C46" s="2722"/>
      <c r="D46" s="2722"/>
      <c r="E46" s="2722"/>
      <c r="F46" s="2722"/>
      <c r="G46" s="2722"/>
      <c r="H46" s="2722"/>
      <c r="I46" s="2722"/>
      <c r="J46" s="2722"/>
      <c r="K46" s="2722"/>
      <c r="L46" s="2722"/>
      <c r="M46" s="2722"/>
      <c r="N46" s="2722"/>
      <c r="O46" s="2722"/>
      <c r="P46" s="2722"/>
      <c r="Q46" s="2722"/>
      <c r="R46" s="2722"/>
    </row>
    <row r="47" spans="1:18" x14ac:dyDescent="0.2">
      <c r="A47" s="2722" t="s">
        <v>3570</v>
      </c>
      <c r="B47" s="2722"/>
      <c r="C47" s="2722"/>
      <c r="D47" s="2722"/>
      <c r="E47" s="2722"/>
      <c r="F47" s="2722"/>
      <c r="G47" s="2722"/>
      <c r="H47" s="2722"/>
      <c r="I47" s="2722"/>
      <c r="J47" s="2722"/>
      <c r="K47" s="2722"/>
      <c r="L47" s="2722"/>
      <c r="M47" s="2722"/>
      <c r="N47" s="2722"/>
      <c r="O47" s="2722"/>
      <c r="P47" s="2722"/>
      <c r="Q47" s="2722"/>
      <c r="R47" s="2722"/>
    </row>
    <row r="48" spans="1:18" x14ac:dyDescent="0.2">
      <c r="A48" s="1848"/>
    </row>
    <row r="49" spans="1:1" x14ac:dyDescent="0.2">
      <c r="A49" s="1848"/>
    </row>
    <row r="50" spans="1:1" x14ac:dyDescent="0.2">
      <c r="A50" s="272"/>
    </row>
  </sheetData>
  <sheetProtection algorithmName="SHA-512" hashValue="EII00Yucp5yqG0tS+pdoZ+3swa331yXN41gPKTfTFRn8D1WgpRtPdh2hCSLhsH2fCiukS251j4n7TTXTgJXRDw==" saltValue="/M/+XO9wpGps3MxyVqmo3w==" spinCount="100000" sheet="1" objects="1" scenarios="1" autoFilter="0"/>
  <mergeCells count="105">
    <mergeCell ref="C35:D35"/>
    <mergeCell ref="F35:G35"/>
    <mergeCell ref="I35:J35"/>
    <mergeCell ref="L35:M35"/>
    <mergeCell ref="O35:R35"/>
    <mergeCell ref="C40:D40"/>
    <mergeCell ref="C37:D37"/>
    <mergeCell ref="C33:D33"/>
    <mergeCell ref="F33:G33"/>
    <mergeCell ref="I33:J33"/>
    <mergeCell ref="L33:M33"/>
    <mergeCell ref="O33:R33"/>
    <mergeCell ref="C34:D34"/>
    <mergeCell ref="F34:G34"/>
    <mergeCell ref="I34:J34"/>
    <mergeCell ref="L34:M34"/>
    <mergeCell ref="O34:R34"/>
    <mergeCell ref="O28:R28"/>
    <mergeCell ref="C29:D29"/>
    <mergeCell ref="F29:G29"/>
    <mergeCell ref="I29:J29"/>
    <mergeCell ref="L29:M29"/>
    <mergeCell ref="O29:R29"/>
    <mergeCell ref="C31:D31"/>
    <mergeCell ref="F31:G31"/>
    <mergeCell ref="I31:J31"/>
    <mergeCell ref="L31:M31"/>
    <mergeCell ref="O31:R31"/>
    <mergeCell ref="C28:D28"/>
    <mergeCell ref="F28:G28"/>
    <mergeCell ref="C18:D18"/>
    <mergeCell ref="F18:G18"/>
    <mergeCell ref="I18:J18"/>
    <mergeCell ref="L18:M18"/>
    <mergeCell ref="F19:G19"/>
    <mergeCell ref="I19:J19"/>
    <mergeCell ref="L24:M24"/>
    <mergeCell ref="C27:D27"/>
    <mergeCell ref="F27:G27"/>
    <mergeCell ref="I27:J27"/>
    <mergeCell ref="L27:M27"/>
    <mergeCell ref="C26:D26"/>
    <mergeCell ref="F26:G26"/>
    <mergeCell ref="I26:J26"/>
    <mergeCell ref="L26:M26"/>
    <mergeCell ref="O24:R24"/>
    <mergeCell ref="C25:D25"/>
    <mergeCell ref="F25:G25"/>
    <mergeCell ref="I25:J25"/>
    <mergeCell ref="L25:M25"/>
    <mergeCell ref="O25:R25"/>
    <mergeCell ref="C22:D22"/>
    <mergeCell ref="F22:G22"/>
    <mergeCell ref="I22:J22"/>
    <mergeCell ref="L22:M22"/>
    <mergeCell ref="C23:D23"/>
    <mergeCell ref="F23:G23"/>
    <mergeCell ref="I23:J23"/>
    <mergeCell ref="L23:M23"/>
    <mergeCell ref="S1:S3"/>
    <mergeCell ref="A2:R2"/>
    <mergeCell ref="A3:R3"/>
    <mergeCell ref="D6:F6"/>
    <mergeCell ref="L6:P6"/>
    <mergeCell ref="L7:P7"/>
    <mergeCell ref="A4:R4"/>
    <mergeCell ref="O16:R16"/>
    <mergeCell ref="C17:D17"/>
    <mergeCell ref="F17:G17"/>
    <mergeCell ref="I17:J17"/>
    <mergeCell ref="L17:M17"/>
    <mergeCell ref="C16:D16"/>
    <mergeCell ref="F16:G16"/>
    <mergeCell ref="I16:J16"/>
    <mergeCell ref="L16:M16"/>
    <mergeCell ref="R5:R7"/>
    <mergeCell ref="A1:R1"/>
    <mergeCell ref="D8:F8"/>
    <mergeCell ref="L8:P8"/>
    <mergeCell ref="A11:Q11"/>
    <mergeCell ref="A12:Q12"/>
    <mergeCell ref="O26:R26"/>
    <mergeCell ref="O27:R27"/>
    <mergeCell ref="C32:D32"/>
    <mergeCell ref="F32:G32"/>
    <mergeCell ref="A47:R47"/>
    <mergeCell ref="A46:R46"/>
    <mergeCell ref="O44:R44"/>
    <mergeCell ref="L44:M44"/>
    <mergeCell ref="I44:J44"/>
    <mergeCell ref="F44:G44"/>
    <mergeCell ref="C44:D44"/>
    <mergeCell ref="F37:G37"/>
    <mergeCell ref="I37:J37"/>
    <mergeCell ref="L37:M37"/>
    <mergeCell ref="I32:J32"/>
    <mergeCell ref="L32:M32"/>
    <mergeCell ref="O32:R32"/>
    <mergeCell ref="C30:D30"/>
    <mergeCell ref="F30:G30"/>
    <mergeCell ref="I30:J30"/>
    <mergeCell ref="L30:M30"/>
    <mergeCell ref="O30:R30"/>
    <mergeCell ref="I28:J28"/>
    <mergeCell ref="L28:M28"/>
  </mergeCells>
  <conditionalFormatting sqref="S1:S3">
    <cfRule type="cellIs" dxfId="80" priority="3" stopIfTrue="1" operator="equal">
      <formula>"na"</formula>
    </cfRule>
  </conditionalFormatting>
  <conditionalFormatting sqref="S4">
    <cfRule type="cellIs" dxfId="79" priority="2" stopIfTrue="1" operator="equal">
      <formula>"na"</formula>
    </cfRule>
  </conditionalFormatting>
  <conditionalFormatting sqref="R5:R7">
    <cfRule type="cellIs" dxfId="78" priority="1" stopIfTrue="1" operator="equal">
      <formula>"na"</formula>
    </cfRule>
  </conditionalFormatting>
  <hyperlinks>
    <hyperlink ref="A1:Q1" location="Index!A1" display="Index!A1" xr:uid="{00000000-0004-0000-2300-000000000000}"/>
  </hyperlinks>
  <pageMargins left="0.5" right="0" top="0.25" bottom="0.25" header="0.5" footer="0.5"/>
  <pageSetup scale="85" orientation="landscape" r:id="rId1"/>
  <headerFooter alignWithMargins="0">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1BD44-D1F0-45EF-8827-D5490C0DEC55}">
  <sheetPr codeName="Sheet95">
    <pageSetUpPr fitToPage="1"/>
  </sheetPr>
  <dimension ref="A1:U35"/>
  <sheetViews>
    <sheetView zoomScale="90" zoomScaleNormal="90" workbookViewId="0">
      <selection activeCell="H33" sqref="H33:J33"/>
    </sheetView>
  </sheetViews>
  <sheetFormatPr defaultColWidth="9.140625" defaultRowHeight="12.75" x14ac:dyDescent="0.2"/>
  <cols>
    <col min="1" max="1" width="10.42578125" customWidth="1"/>
    <col min="2" max="2" width="0.5703125" customWidth="1"/>
    <col min="3" max="3" width="9.42578125" customWidth="1"/>
    <col min="5" max="5" width="0.5703125" customWidth="1"/>
    <col min="7" max="7" width="0.5703125" customWidth="1"/>
    <col min="8" max="8" width="12" customWidth="1"/>
    <col min="9" max="9" width="0.5703125" customWidth="1"/>
    <col min="10" max="10" width="14.85546875" customWidth="1"/>
    <col min="11" max="11" width="0.5703125" customWidth="1"/>
    <col min="12" max="12" width="16" customWidth="1"/>
    <col min="13" max="13" width="0.5703125" customWidth="1"/>
    <col min="15" max="15" width="14.5703125" customWidth="1"/>
    <col min="16" max="16" width="0.5703125" customWidth="1"/>
    <col min="18" max="18" width="9.5703125" customWidth="1"/>
    <col min="19" max="19" width="9.42578125" customWidth="1"/>
    <col min="20" max="20" width="33.140625" customWidth="1"/>
    <col min="21" max="21" width="11.85546875" customWidth="1"/>
  </cols>
  <sheetData>
    <row r="1" spans="1:21" ht="15.75" x14ac:dyDescent="0.25">
      <c r="A1" s="2449" t="str">
        <f>+Index!$A$1</f>
        <v xml:space="preserve">                                                               Office of the State Controller                                                                </v>
      </c>
      <c r="B1" s="2449"/>
      <c r="C1" s="2449"/>
      <c r="D1" s="2449"/>
      <c r="E1" s="2449"/>
      <c r="F1" s="2449"/>
      <c r="G1" s="2449"/>
      <c r="H1" s="2449"/>
      <c r="I1" s="2449"/>
      <c r="J1" s="2449"/>
      <c r="K1" s="2449"/>
      <c r="L1" s="2449"/>
      <c r="M1" s="2449"/>
      <c r="N1" s="2449"/>
      <c r="O1" s="2449"/>
      <c r="P1" s="2449"/>
      <c r="Q1" s="2449"/>
      <c r="R1" s="2449"/>
      <c r="S1" s="2449"/>
      <c r="T1" s="2449"/>
      <c r="U1" s="2450" t="str">
        <f>IF(Index!$B$60="na","NA","")</f>
        <v/>
      </c>
    </row>
    <row r="2" spans="1:21" ht="15.75" x14ac:dyDescent="0.25">
      <c r="A2" s="2708" t="str">
        <f>+Index!$A$2</f>
        <v>2022 ACFR Worksheets</v>
      </c>
      <c r="B2" s="2708"/>
      <c r="C2" s="2708"/>
      <c r="D2" s="2708"/>
      <c r="E2" s="2708"/>
      <c r="F2" s="2708"/>
      <c r="G2" s="2708"/>
      <c r="H2" s="2708"/>
      <c r="I2" s="2708"/>
      <c r="J2" s="2708"/>
      <c r="K2" s="2708"/>
      <c r="L2" s="2708"/>
      <c r="M2" s="2708"/>
      <c r="N2" s="2708"/>
      <c r="O2" s="2708"/>
      <c r="P2" s="2708"/>
      <c r="Q2" s="2708"/>
      <c r="R2" s="2708"/>
      <c r="S2" s="2708"/>
      <c r="T2" s="2708"/>
      <c r="U2" s="2450"/>
    </row>
    <row r="3" spans="1:21" ht="15.75" x14ac:dyDescent="0.25">
      <c r="A3" s="2632" t="s">
        <v>4724</v>
      </c>
      <c r="B3" s="2632"/>
      <c r="C3" s="2632"/>
      <c r="D3" s="2632"/>
      <c r="E3" s="2632"/>
      <c r="F3" s="2632"/>
      <c r="G3" s="2632"/>
      <c r="H3" s="2632"/>
      <c r="I3" s="2632"/>
      <c r="J3" s="2632"/>
      <c r="K3" s="2632"/>
      <c r="L3" s="2632"/>
      <c r="M3" s="2632"/>
      <c r="N3" s="2632"/>
      <c r="O3" s="2632"/>
      <c r="P3" s="2632"/>
      <c r="Q3" s="2632"/>
      <c r="R3" s="2632"/>
      <c r="S3" s="2632"/>
      <c r="T3" s="2632"/>
      <c r="U3" s="2450"/>
    </row>
    <row r="4" spans="1:21" ht="15.75" x14ac:dyDescent="0.25">
      <c r="A4" s="2709" t="s">
        <v>4729</v>
      </c>
      <c r="B4" s="2632"/>
      <c r="C4" s="2632"/>
      <c r="D4" s="2632"/>
      <c r="E4" s="2632"/>
      <c r="F4" s="2632"/>
      <c r="G4" s="2632"/>
      <c r="H4" s="2632"/>
      <c r="I4" s="2632"/>
      <c r="J4" s="2632"/>
      <c r="K4" s="2632"/>
      <c r="L4" s="2632"/>
      <c r="M4" s="2632"/>
      <c r="N4" s="2632"/>
      <c r="O4" s="2632"/>
      <c r="P4" s="2632"/>
      <c r="Q4" s="2632"/>
      <c r="R4" s="2632"/>
      <c r="S4" s="2632"/>
      <c r="T4" s="2632"/>
      <c r="U4" s="546"/>
    </row>
    <row r="5" spans="1:21" ht="12.75" customHeight="1" x14ac:dyDescent="0.2">
      <c r="A5" s="22"/>
      <c r="B5" s="22"/>
      <c r="C5" s="22"/>
      <c r="D5" s="22"/>
      <c r="E5" s="22"/>
      <c r="F5" s="22"/>
      <c r="G5" s="22"/>
      <c r="H5" s="22"/>
      <c r="I5" s="22"/>
      <c r="J5" s="22"/>
      <c r="K5" s="22"/>
      <c r="L5" s="22"/>
      <c r="M5" s="22"/>
      <c r="N5" s="22"/>
      <c r="O5" s="22"/>
      <c r="P5" s="22"/>
      <c r="Q5" s="22"/>
      <c r="R5" s="22"/>
      <c r="T5" s="2043" t="s">
        <v>1091</v>
      </c>
    </row>
    <row r="6" spans="1:21" ht="12.75" customHeight="1" x14ac:dyDescent="0.2">
      <c r="A6" s="1371" t="s">
        <v>327</v>
      </c>
      <c r="B6" s="1372"/>
      <c r="C6" s="1372"/>
      <c r="D6" s="2707" t="str">
        <f>+Index!$E$10</f>
        <v>01</v>
      </c>
      <c r="E6" s="2707"/>
      <c r="F6" s="2707"/>
      <c r="G6" s="1375"/>
      <c r="H6" s="1372"/>
      <c r="I6" s="1372"/>
      <c r="J6" s="1372"/>
      <c r="K6" s="1372"/>
      <c r="L6" s="1374" t="s">
        <v>1154</v>
      </c>
      <c r="M6" s="253"/>
      <c r="N6" s="2488" t="str">
        <f>+Index!$E$11</f>
        <v>North Carolina General Assembly</v>
      </c>
      <c r="O6" s="2488"/>
      <c r="P6" s="2488"/>
      <c r="Q6" s="2488"/>
      <c r="R6" s="2488"/>
      <c r="T6" s="2041"/>
    </row>
    <row r="7" spans="1:21" ht="12.75" customHeight="1" x14ac:dyDescent="0.2">
      <c r="A7" s="272"/>
      <c r="B7" s="1372"/>
      <c r="C7" s="1372"/>
      <c r="D7" s="1372"/>
      <c r="E7" s="1372"/>
      <c r="F7" s="1372"/>
      <c r="G7" s="1372"/>
      <c r="H7" s="1372"/>
      <c r="I7" s="1372"/>
      <c r="J7" s="1372"/>
      <c r="K7" s="1372"/>
      <c r="L7" s="1374" t="s">
        <v>972</v>
      </c>
      <c r="M7" s="22"/>
      <c r="N7" s="2513" t="str">
        <f>CONCATENATE(Index!$E$12,"",Index!$E$14)</f>
        <v/>
      </c>
      <c r="O7" s="2513"/>
      <c r="P7" s="2513"/>
      <c r="Q7" s="2513"/>
      <c r="R7" s="2513"/>
      <c r="T7" s="2041"/>
    </row>
    <row r="8" spans="1:21" x14ac:dyDescent="0.2">
      <c r="A8" s="1372" t="s">
        <v>477</v>
      </c>
      <c r="B8" s="1372"/>
      <c r="C8" s="1372"/>
      <c r="D8" s="2726"/>
      <c r="E8" s="2547"/>
      <c r="F8" s="2547"/>
      <c r="G8" s="1201"/>
      <c r="H8" s="1372"/>
      <c r="I8" s="1372"/>
      <c r="J8" s="1372"/>
      <c r="K8" s="1372"/>
      <c r="L8" s="1374" t="s">
        <v>348</v>
      </c>
      <c r="M8" s="253"/>
      <c r="N8" s="2513">
        <f>+Index!$E$13</f>
        <v>0</v>
      </c>
      <c r="O8" s="2513"/>
      <c r="P8" s="2513"/>
      <c r="Q8" s="2513"/>
      <c r="R8" s="2513"/>
    </row>
    <row r="9" spans="1:21" ht="13.5" thickBot="1" x14ac:dyDescent="0.25">
      <c r="A9" s="120"/>
      <c r="B9" s="120"/>
      <c r="C9" s="120"/>
      <c r="D9" s="120"/>
      <c r="E9" s="120"/>
      <c r="F9" s="120"/>
      <c r="G9" s="120"/>
      <c r="H9" s="120"/>
      <c r="I9" s="120"/>
      <c r="J9" s="120"/>
      <c r="K9" s="120"/>
      <c r="L9" s="120"/>
      <c r="M9" s="120"/>
      <c r="N9" s="120"/>
      <c r="O9" s="120"/>
      <c r="P9" s="120"/>
      <c r="Q9" s="120"/>
      <c r="R9" s="120"/>
      <c r="S9" s="120"/>
      <c r="T9" s="120"/>
    </row>
    <row r="10" spans="1:21" x14ac:dyDescent="0.2">
      <c r="A10" s="22"/>
      <c r="B10" s="22"/>
      <c r="C10" s="22"/>
      <c r="D10" s="22"/>
      <c r="E10" s="22"/>
      <c r="F10" s="22"/>
      <c r="G10" s="22"/>
      <c r="H10" s="22"/>
      <c r="I10" s="22"/>
      <c r="J10" s="22"/>
      <c r="K10" s="22"/>
      <c r="L10" s="22"/>
      <c r="M10" s="22"/>
      <c r="N10" s="22"/>
      <c r="O10" s="22"/>
      <c r="P10" s="22"/>
      <c r="Q10" s="22"/>
      <c r="R10" s="22"/>
      <c r="S10" s="22"/>
      <c r="T10" s="22"/>
    </row>
    <row r="11" spans="1:21" x14ac:dyDescent="0.2">
      <c r="A11" s="2716" t="s">
        <v>4758</v>
      </c>
      <c r="B11" s="2716"/>
      <c r="C11" s="2716"/>
      <c r="D11" s="2716"/>
      <c r="E11" s="2716"/>
      <c r="F11" s="2716"/>
      <c r="G11" s="2716"/>
      <c r="H11" s="2716"/>
      <c r="I11" s="2716"/>
      <c r="J11" s="2716"/>
      <c r="K11" s="1372"/>
      <c r="L11" s="1372"/>
      <c r="M11" s="1372"/>
      <c r="N11" s="1372"/>
      <c r="O11" s="1372"/>
      <c r="P11" s="1372"/>
      <c r="Q11" s="1372"/>
      <c r="R11" s="1372"/>
      <c r="S11" s="1372"/>
      <c r="T11" s="1372"/>
    </row>
    <row r="12" spans="1:21" x14ac:dyDescent="0.2">
      <c r="A12" s="1372"/>
      <c r="B12" s="1372"/>
      <c r="C12" s="1372"/>
      <c r="D12" s="1372"/>
      <c r="E12" s="1372"/>
      <c r="F12" s="1372"/>
      <c r="G12" s="1372"/>
      <c r="H12" s="1372"/>
      <c r="I12" s="1372"/>
      <c r="J12" s="1372"/>
      <c r="K12" s="1372"/>
      <c r="L12" s="1372"/>
      <c r="M12" s="1372"/>
      <c r="N12" s="1372"/>
      <c r="O12" s="1372"/>
      <c r="P12" s="1372"/>
      <c r="Q12" s="1372"/>
      <c r="R12" s="1372"/>
      <c r="S12" s="1372"/>
      <c r="T12" s="1372"/>
    </row>
    <row r="13" spans="1:21" ht="14.85" customHeight="1" x14ac:dyDescent="0.2">
      <c r="A13" s="1371" t="s">
        <v>4757</v>
      </c>
      <c r="B13" s="1380"/>
      <c r="C13" s="1382"/>
      <c r="D13" s="1382"/>
      <c r="E13" s="1380"/>
      <c r="F13" s="1382"/>
      <c r="G13" s="1382"/>
      <c r="H13" s="1382"/>
      <c r="I13" s="1375"/>
      <c r="J13" s="1382"/>
      <c r="K13" s="1382"/>
      <c r="L13" s="1382"/>
      <c r="M13" s="1372"/>
      <c r="N13" s="2724"/>
      <c r="O13" s="2724"/>
      <c r="P13" s="1372"/>
      <c r="Q13" s="1383"/>
      <c r="R13" s="1383"/>
      <c r="S13" s="1383"/>
      <c r="T13" s="1383"/>
    </row>
    <row r="14" spans="1:21" ht="14.25" customHeight="1" x14ac:dyDescent="0.2">
      <c r="A14" s="1380"/>
      <c r="B14" s="1380"/>
      <c r="C14" s="2724"/>
      <c r="D14" s="2724"/>
      <c r="E14" s="1380"/>
      <c r="F14" s="1382"/>
      <c r="G14" s="1382"/>
      <c r="H14" s="1382"/>
      <c r="I14" s="1375"/>
      <c r="J14" s="1382"/>
      <c r="K14" s="1382"/>
      <c r="L14" s="1382"/>
      <c r="M14" s="1372"/>
      <c r="N14" s="2724"/>
      <c r="O14" s="2724"/>
      <c r="P14" s="1372"/>
      <c r="Q14" s="1383"/>
      <c r="R14" s="1383"/>
      <c r="S14" s="1383"/>
      <c r="T14" s="1383"/>
    </row>
    <row r="15" spans="1:21" x14ac:dyDescent="0.2">
      <c r="A15" s="1372"/>
      <c r="B15" s="1372"/>
      <c r="C15" s="2711" t="s">
        <v>1157</v>
      </c>
      <c r="D15" s="2711"/>
      <c r="E15" s="2711"/>
      <c r="F15" s="2711"/>
      <c r="G15" s="1372"/>
      <c r="H15" s="1372"/>
      <c r="I15" s="1372"/>
      <c r="J15" s="1372"/>
      <c r="K15" s="1372"/>
      <c r="L15" s="1372"/>
      <c r="M15" s="1372"/>
      <c r="N15" s="2711"/>
      <c r="O15" s="2711"/>
      <c r="P15" s="1372"/>
      <c r="Q15" s="1372"/>
      <c r="R15" s="1372"/>
      <c r="S15" s="1372"/>
      <c r="T15" s="1372"/>
    </row>
    <row r="16" spans="1:21" ht="14.25" customHeight="1" x14ac:dyDescent="0.2">
      <c r="A16" s="1372"/>
      <c r="B16" s="1372"/>
      <c r="C16" s="2707" t="s">
        <v>649</v>
      </c>
      <c r="D16" s="2707"/>
      <c r="E16" s="2707"/>
      <c r="F16" s="2707"/>
      <c r="G16" s="2035"/>
      <c r="H16" s="2707" t="s">
        <v>650</v>
      </c>
      <c r="I16" s="2707"/>
      <c r="J16" s="2707"/>
      <c r="K16" s="1373"/>
      <c r="L16" s="2035"/>
      <c r="M16" s="2035"/>
      <c r="N16" s="2707"/>
      <c r="O16" s="2707"/>
      <c r="P16" s="2035"/>
      <c r="Q16" s="2035"/>
      <c r="R16" s="2035"/>
      <c r="S16" s="2035"/>
      <c r="T16" s="2035"/>
    </row>
    <row r="17" spans="1:20" ht="12.75" hidden="1" customHeight="1" x14ac:dyDescent="0.2">
      <c r="A17" s="1372"/>
      <c r="B17" s="1372"/>
      <c r="C17" s="272"/>
      <c r="D17" s="272"/>
      <c r="E17" s="1372"/>
      <c r="F17" s="2035"/>
      <c r="G17" s="2036"/>
      <c r="H17" s="272"/>
      <c r="I17" s="272"/>
      <c r="J17" s="2036"/>
      <c r="K17" s="2036"/>
      <c r="L17" s="2035"/>
      <c r="M17" s="1372"/>
      <c r="N17" s="272"/>
      <c r="O17" s="272"/>
      <c r="P17" s="1372"/>
      <c r="Q17" s="1372"/>
      <c r="R17" s="1372"/>
      <c r="S17" s="1372"/>
      <c r="T17" s="1372"/>
    </row>
    <row r="18" spans="1:20" ht="13.5" hidden="1" customHeight="1" thickBot="1" x14ac:dyDescent="0.25">
      <c r="A18" s="1372"/>
      <c r="B18" s="1372"/>
      <c r="C18" s="1376" t="s">
        <v>973</v>
      </c>
      <c r="D18" s="1376" t="s">
        <v>973</v>
      </c>
      <c r="E18" s="1372"/>
      <c r="F18" s="2034"/>
      <c r="G18" s="2034"/>
      <c r="H18" s="1376" t="s">
        <v>973</v>
      </c>
      <c r="I18" s="1376"/>
      <c r="J18" s="2034"/>
      <c r="K18" s="2034"/>
      <c r="L18" s="2034"/>
      <c r="M18" s="1372"/>
      <c r="N18" s="1376"/>
      <c r="O18" s="1376"/>
      <c r="P18" s="1372"/>
      <c r="Q18" s="1372"/>
      <c r="R18" s="1372"/>
      <c r="S18" s="1372"/>
      <c r="T18" s="1372"/>
    </row>
    <row r="19" spans="1:20" ht="12.75" hidden="1" customHeight="1" x14ac:dyDescent="0.2">
      <c r="A19" s="1372"/>
      <c r="B19" s="1372"/>
      <c r="C19" s="1377"/>
      <c r="D19" s="1377"/>
      <c r="E19" s="1372"/>
      <c r="F19" s="1375"/>
      <c r="G19" s="1375"/>
      <c r="H19" s="1377"/>
      <c r="I19" s="1377"/>
      <c r="J19" s="1375"/>
      <c r="K19" s="1375"/>
      <c r="L19" s="1375"/>
      <c r="M19" s="1372"/>
      <c r="N19" s="1377"/>
      <c r="O19" s="1377"/>
      <c r="P19" s="1372"/>
      <c r="Q19" s="1372"/>
      <c r="R19" s="1372"/>
      <c r="S19" s="1372"/>
      <c r="T19" s="1372"/>
    </row>
    <row r="20" spans="1:20" x14ac:dyDescent="0.2">
      <c r="A20" s="1375" t="s">
        <v>1157</v>
      </c>
      <c r="B20" s="1375"/>
      <c r="C20" s="2714" t="s">
        <v>4168</v>
      </c>
      <c r="D20" s="2714"/>
      <c r="E20" s="2714"/>
      <c r="F20" s="2714"/>
      <c r="G20" s="2037"/>
      <c r="H20" s="2714" t="s">
        <v>4168</v>
      </c>
      <c r="I20" s="2714"/>
      <c r="J20" s="2714"/>
      <c r="K20" s="2033"/>
      <c r="L20" s="2714"/>
      <c r="M20" s="2714"/>
      <c r="N20" s="2714"/>
      <c r="O20" s="2714"/>
      <c r="P20" s="2714"/>
      <c r="Q20" s="2714"/>
      <c r="R20" s="2714"/>
      <c r="S20" s="2714"/>
      <c r="T20" s="1372"/>
    </row>
    <row r="21" spans="1:20" x14ac:dyDescent="0.2">
      <c r="A21" s="1375" t="s">
        <v>795</v>
      </c>
      <c r="B21" s="1375"/>
      <c r="C21" s="2717">
        <v>44378</v>
      </c>
      <c r="D21" s="2717"/>
      <c r="E21" s="2717"/>
      <c r="F21" s="2717"/>
      <c r="G21" s="2038"/>
      <c r="H21" s="2717">
        <v>44378</v>
      </c>
      <c r="I21" s="2717"/>
      <c r="J21" s="2717"/>
      <c r="K21" s="2032"/>
      <c r="L21" s="2717"/>
      <c r="M21" s="2717"/>
      <c r="N21" s="2717"/>
      <c r="O21" s="2717"/>
      <c r="P21" s="2717"/>
      <c r="Q21" s="2717"/>
      <c r="R21" s="2717"/>
      <c r="S21" s="2717"/>
      <c r="T21" s="1372"/>
    </row>
    <row r="22" spans="1:20" x14ac:dyDescent="0.2">
      <c r="A22" s="1373" t="s">
        <v>808</v>
      </c>
      <c r="B22" s="1375"/>
      <c r="C22" s="2707" t="s">
        <v>809</v>
      </c>
      <c r="D22" s="2707"/>
      <c r="E22" s="2707"/>
      <c r="F22" s="2707"/>
      <c r="G22" s="1375"/>
      <c r="H22" s="2707" t="s">
        <v>809</v>
      </c>
      <c r="I22" s="2707"/>
      <c r="J22" s="2707"/>
      <c r="K22" s="1373"/>
      <c r="L22" s="2730" t="s">
        <v>810</v>
      </c>
      <c r="M22" s="2730"/>
      <c r="N22" s="2730"/>
      <c r="O22" s="2730"/>
      <c r="P22" s="2730"/>
      <c r="Q22" s="2730"/>
      <c r="R22" s="2730"/>
      <c r="S22" s="2730"/>
      <c r="T22" s="2730"/>
    </row>
    <row r="23" spans="1:20" ht="14.85" customHeight="1" x14ac:dyDescent="0.2">
      <c r="A23" s="1379" t="s">
        <v>973</v>
      </c>
      <c r="B23" s="1382"/>
      <c r="C23" s="2727" t="s">
        <v>973</v>
      </c>
      <c r="D23" s="2727"/>
      <c r="E23" s="2727"/>
      <c r="F23" s="2727"/>
      <c r="G23" s="1382"/>
      <c r="H23" s="2727"/>
      <c r="I23" s="2727"/>
      <c r="J23" s="2727"/>
      <c r="K23" s="1372"/>
      <c r="L23" s="2731"/>
      <c r="M23" s="2731"/>
      <c r="N23" s="2731"/>
      <c r="O23" s="2731"/>
      <c r="P23" s="2731"/>
      <c r="Q23" s="2731"/>
      <c r="R23" s="2731"/>
      <c r="S23" s="2731"/>
      <c r="T23" s="2731"/>
    </row>
    <row r="24" spans="1:20" ht="14.85" customHeight="1" x14ac:dyDescent="0.2">
      <c r="A24" s="1379"/>
      <c r="B24" s="1380"/>
      <c r="C24" s="2727" t="s">
        <v>973</v>
      </c>
      <c r="D24" s="2727"/>
      <c r="E24" s="2727"/>
      <c r="F24" s="2727"/>
      <c r="G24" s="1382"/>
      <c r="H24" s="2727"/>
      <c r="I24" s="2727"/>
      <c r="J24" s="2727"/>
      <c r="K24" s="1372"/>
      <c r="L24" s="2731"/>
      <c r="M24" s="2731"/>
      <c r="N24" s="2731"/>
      <c r="O24" s="2731"/>
      <c r="P24" s="2731"/>
      <c r="Q24" s="2731"/>
      <c r="R24" s="2731"/>
      <c r="S24" s="2731"/>
      <c r="T24" s="2731"/>
    </row>
    <row r="25" spans="1:20" ht="14.85" customHeight="1" x14ac:dyDescent="0.2">
      <c r="A25" s="1379"/>
      <c r="B25" s="1380"/>
      <c r="C25" s="2727" t="s">
        <v>973</v>
      </c>
      <c r="D25" s="2727"/>
      <c r="E25" s="2727"/>
      <c r="F25" s="2727"/>
      <c r="G25" s="1382"/>
      <c r="H25" s="2727"/>
      <c r="I25" s="2727"/>
      <c r="J25" s="2727"/>
      <c r="K25" s="2039"/>
      <c r="L25" s="2731" t="s">
        <v>973</v>
      </c>
      <c r="M25" s="2731"/>
      <c r="N25" s="2731"/>
      <c r="O25" s="2731"/>
      <c r="P25" s="2731"/>
      <c r="Q25" s="2731"/>
      <c r="R25" s="2731"/>
      <c r="S25" s="2731"/>
      <c r="T25" s="2731"/>
    </row>
    <row r="26" spans="1:20" ht="14.85" customHeight="1" x14ac:dyDescent="0.2">
      <c r="A26" s="1379"/>
      <c r="B26" s="1380"/>
      <c r="C26" s="2727"/>
      <c r="D26" s="2727"/>
      <c r="E26" s="2727"/>
      <c r="F26" s="2727"/>
      <c r="G26" s="1382"/>
      <c r="H26" s="2727"/>
      <c r="I26" s="2727"/>
      <c r="J26" s="2727"/>
      <c r="K26" s="2039"/>
      <c r="L26" s="2731" t="s">
        <v>973</v>
      </c>
      <c r="M26" s="2731"/>
      <c r="N26" s="2731"/>
      <c r="O26" s="2731"/>
      <c r="P26" s="2731"/>
      <c r="Q26" s="2731"/>
      <c r="R26" s="2731"/>
      <c r="S26" s="2731"/>
      <c r="T26" s="2731"/>
    </row>
    <row r="27" spans="1:20" ht="14.85" customHeight="1" x14ac:dyDescent="0.2">
      <c r="A27" s="1379"/>
      <c r="B27" s="1380"/>
      <c r="C27" s="2727"/>
      <c r="D27" s="2727"/>
      <c r="E27" s="2727"/>
      <c r="F27" s="2727"/>
      <c r="G27" s="1382"/>
      <c r="H27" s="2727"/>
      <c r="I27" s="2727"/>
      <c r="J27" s="2727"/>
      <c r="K27" s="2039"/>
      <c r="L27" s="2731"/>
      <c r="M27" s="2731"/>
      <c r="N27" s="2731"/>
      <c r="O27" s="2731"/>
      <c r="P27" s="2731"/>
      <c r="Q27" s="2731"/>
      <c r="R27" s="2731"/>
      <c r="S27" s="2731"/>
      <c r="T27" s="2731"/>
    </row>
    <row r="28" spans="1:20" ht="14.85" customHeight="1" x14ac:dyDescent="0.2">
      <c r="A28" s="2040"/>
      <c r="B28" s="1380"/>
      <c r="C28" s="2727"/>
      <c r="D28" s="2727"/>
      <c r="E28" s="2727"/>
      <c r="F28" s="2727"/>
      <c r="G28" s="1382"/>
      <c r="H28" s="2727"/>
      <c r="I28" s="2727"/>
      <c r="J28" s="2727"/>
      <c r="K28" s="2039"/>
      <c r="L28" s="2731" t="s">
        <v>973</v>
      </c>
      <c r="M28" s="2731"/>
      <c r="N28" s="2731"/>
      <c r="O28" s="2731"/>
      <c r="P28" s="2731"/>
      <c r="Q28" s="2731"/>
      <c r="R28" s="2731"/>
      <c r="S28" s="2731"/>
      <c r="T28" s="2731"/>
    </row>
    <row r="29" spans="1:20" ht="14.85" customHeight="1" x14ac:dyDescent="0.2">
      <c r="A29" s="1379"/>
      <c r="B29" s="1380"/>
      <c r="C29" s="2727" t="s">
        <v>973</v>
      </c>
      <c r="D29" s="2727"/>
      <c r="E29" s="2727"/>
      <c r="F29" s="2727"/>
      <c r="G29" s="1382"/>
      <c r="H29" s="2727"/>
      <c r="I29" s="2727"/>
      <c r="J29" s="2727"/>
      <c r="K29" s="2039"/>
      <c r="L29" s="2731" t="s">
        <v>973</v>
      </c>
      <c r="M29" s="2731"/>
      <c r="N29" s="2731"/>
      <c r="O29" s="2731"/>
      <c r="P29" s="2731"/>
      <c r="Q29" s="2731"/>
      <c r="R29" s="2731"/>
      <c r="S29" s="2731"/>
      <c r="T29" s="2731"/>
    </row>
    <row r="30" spans="1:20" ht="14.85" customHeight="1" x14ac:dyDescent="0.2">
      <c r="A30" s="1379"/>
      <c r="B30" s="1380"/>
      <c r="C30" s="2727"/>
      <c r="D30" s="2727"/>
      <c r="E30" s="2727"/>
      <c r="F30" s="2727"/>
      <c r="G30" s="1382"/>
      <c r="H30" s="2727"/>
      <c r="I30" s="2727"/>
      <c r="J30" s="2727"/>
      <c r="K30" s="2039"/>
      <c r="L30" s="2731" t="s">
        <v>973</v>
      </c>
      <c r="M30" s="2731"/>
      <c r="N30" s="2731"/>
      <c r="O30" s="2731"/>
      <c r="P30" s="2731"/>
      <c r="Q30" s="2731"/>
      <c r="R30" s="2731"/>
      <c r="S30" s="2731"/>
      <c r="T30" s="2731"/>
    </row>
    <row r="31" spans="1:20" ht="14.85" customHeight="1" x14ac:dyDescent="0.2">
      <c r="A31" s="1379"/>
      <c r="B31" s="1380"/>
      <c r="C31" s="2727"/>
      <c r="D31" s="2727"/>
      <c r="E31" s="2727"/>
      <c r="F31" s="2727"/>
      <c r="G31" s="1382"/>
      <c r="H31" s="2727"/>
      <c r="I31" s="2727"/>
      <c r="J31" s="2727"/>
      <c r="K31" s="2039"/>
      <c r="L31" s="2731"/>
      <c r="M31" s="2731"/>
      <c r="N31" s="2731"/>
      <c r="O31" s="2731"/>
      <c r="P31" s="2731"/>
      <c r="Q31" s="2731"/>
      <c r="R31" s="2731"/>
      <c r="S31" s="2731"/>
      <c r="T31" s="2731"/>
    </row>
    <row r="32" spans="1:20" ht="14.85" customHeight="1" x14ac:dyDescent="0.2">
      <c r="A32" s="2040"/>
      <c r="B32" s="1380"/>
      <c r="C32" s="2727"/>
      <c r="D32" s="2727"/>
      <c r="E32" s="2727"/>
      <c r="F32" s="2727"/>
      <c r="G32" s="1382"/>
      <c r="H32" s="2727"/>
      <c r="I32" s="2727"/>
      <c r="J32" s="2727"/>
      <c r="K32" s="2039"/>
      <c r="L32" s="2731" t="s">
        <v>973</v>
      </c>
      <c r="M32" s="2731"/>
      <c r="N32" s="2731"/>
      <c r="O32" s="2731"/>
      <c r="P32" s="2731"/>
      <c r="Q32" s="2731"/>
      <c r="R32" s="2731"/>
      <c r="S32" s="2731"/>
      <c r="T32" s="2731"/>
    </row>
    <row r="33" spans="1:20" ht="14.85" customHeight="1" thickBot="1" x14ac:dyDescent="0.25">
      <c r="A33" s="1375" t="s">
        <v>3568</v>
      </c>
      <c r="B33" s="1380"/>
      <c r="C33" s="2728">
        <f>SUM(C23:F32)</f>
        <v>0</v>
      </c>
      <c r="D33" s="2728"/>
      <c r="E33" s="2728"/>
      <c r="F33" s="2728"/>
      <c r="G33" s="1388"/>
      <c r="H33" s="2728">
        <f>SUM(H23:K32)</f>
        <v>0</v>
      </c>
      <c r="I33" s="2728"/>
      <c r="J33" s="2728"/>
      <c r="K33" s="2042"/>
      <c r="L33" s="2732"/>
      <c r="M33" s="2732"/>
      <c r="N33" s="2732"/>
      <c r="O33" s="2732"/>
      <c r="P33" s="2732"/>
      <c r="Q33" s="2732"/>
      <c r="R33" s="2732"/>
      <c r="S33" s="2732"/>
      <c r="T33" s="2732"/>
    </row>
    <row r="34" spans="1:20" ht="14.85" customHeight="1" thickTop="1" x14ac:dyDescent="0.2">
      <c r="C34" s="2729" t="s">
        <v>4238</v>
      </c>
      <c r="D34" s="2729"/>
      <c r="E34" s="2729"/>
      <c r="F34" s="2729"/>
      <c r="G34" s="1417"/>
      <c r="H34" s="2729" t="s">
        <v>4725</v>
      </c>
      <c r="I34" s="2729"/>
      <c r="J34" s="2729"/>
      <c r="K34" s="2711"/>
      <c r="L34" s="1389" t="s">
        <v>4728</v>
      </c>
    </row>
    <row r="35" spans="1:20" ht="14.85" customHeight="1" x14ac:dyDescent="0.2">
      <c r="A35" s="1380" t="s">
        <v>973</v>
      </c>
      <c r="B35" s="1380"/>
      <c r="O35" s="1383"/>
      <c r="P35" s="1372"/>
      <c r="Q35" s="1383"/>
      <c r="R35" s="1383"/>
      <c r="S35" s="1383"/>
      <c r="T35" s="1383"/>
    </row>
  </sheetData>
  <sheetProtection algorithmName="SHA-512" hashValue="q2LGegD+KHNST6jn/DCSy4qLaDchoH6d34BgSOR2jiiZtga9StDHbzdmSh7nHC6v8vQaAZonJ3Pm2pA2nU96vQ==" saltValue="8dPhGjt/MyZ14YhmZAVX+A==" spinCount="100000" sheet="1" objects="1" scenarios="1" autoFilter="0"/>
  <mergeCells count="63">
    <mergeCell ref="L24:T24"/>
    <mergeCell ref="L33:T33"/>
    <mergeCell ref="L26:T26"/>
    <mergeCell ref="L27:T27"/>
    <mergeCell ref="L28:T28"/>
    <mergeCell ref="L25:T25"/>
    <mergeCell ref="L29:T29"/>
    <mergeCell ref="L30:T30"/>
    <mergeCell ref="L31:T31"/>
    <mergeCell ref="L32:T32"/>
    <mergeCell ref="L20:S20"/>
    <mergeCell ref="L21:S21"/>
    <mergeCell ref="L22:T22"/>
    <mergeCell ref="L23:T23"/>
    <mergeCell ref="C14:D14"/>
    <mergeCell ref="N14:O14"/>
    <mergeCell ref="C15:F15"/>
    <mergeCell ref="C16:F16"/>
    <mergeCell ref="H16:J16"/>
    <mergeCell ref="H20:J20"/>
    <mergeCell ref="H21:J21"/>
    <mergeCell ref="H22:J22"/>
    <mergeCell ref="A1:T1"/>
    <mergeCell ref="U1:U3"/>
    <mergeCell ref="A2:T2"/>
    <mergeCell ref="A3:T3"/>
    <mergeCell ref="A4:T4"/>
    <mergeCell ref="D6:F6"/>
    <mergeCell ref="N6:R6"/>
    <mergeCell ref="N7:R7"/>
    <mergeCell ref="N15:O15"/>
    <mergeCell ref="N16:O16"/>
    <mergeCell ref="D8:F8"/>
    <mergeCell ref="N8:R8"/>
    <mergeCell ref="N13:O13"/>
    <mergeCell ref="A11:J11"/>
    <mergeCell ref="C34:F34"/>
    <mergeCell ref="C33:F33"/>
    <mergeCell ref="C32:F32"/>
    <mergeCell ref="C20:F20"/>
    <mergeCell ref="C21:F21"/>
    <mergeCell ref="C22:F22"/>
    <mergeCell ref="H27:J27"/>
    <mergeCell ref="C28:F28"/>
    <mergeCell ref="H28:J28"/>
    <mergeCell ref="C30:F30"/>
    <mergeCell ref="C31:F31"/>
    <mergeCell ref="H24:J24"/>
    <mergeCell ref="H32:J32"/>
    <mergeCell ref="H33:J33"/>
    <mergeCell ref="H34:K34"/>
    <mergeCell ref="C23:F23"/>
    <mergeCell ref="C24:F24"/>
    <mergeCell ref="H23:J23"/>
    <mergeCell ref="H30:J30"/>
    <mergeCell ref="H31:J31"/>
    <mergeCell ref="C25:F25"/>
    <mergeCell ref="C29:F29"/>
    <mergeCell ref="H29:J29"/>
    <mergeCell ref="H25:J25"/>
    <mergeCell ref="C26:F26"/>
    <mergeCell ref="H26:J26"/>
    <mergeCell ref="C27:F27"/>
  </mergeCells>
  <conditionalFormatting sqref="U4">
    <cfRule type="cellIs" dxfId="77" priority="5" stopIfTrue="1" operator="equal">
      <formula>"na"</formula>
    </cfRule>
  </conditionalFormatting>
  <conditionalFormatting sqref="U1:U3">
    <cfRule type="cellIs" dxfId="76" priority="1" stopIfTrue="1" operator="equal">
      <formula>"na"</formula>
    </cfRule>
  </conditionalFormatting>
  <conditionalFormatting sqref="T5:T7">
    <cfRule type="cellIs" dxfId="75" priority="3" stopIfTrue="1" operator="equal">
      <formula>"na"</formula>
    </cfRule>
  </conditionalFormatting>
  <hyperlinks>
    <hyperlink ref="A1:T1" location="Index!A1" display="Index!A1" xr:uid="{412B4CD5-B3A3-4D9C-986D-C1C47590D00B}"/>
  </hyperlinks>
  <pageMargins left="0.5" right="0" top="0.25" bottom="0.25" header="0.5" footer="0.5"/>
  <pageSetup scale="74" orientation="landscape" r:id="rId1"/>
  <headerFooter alignWithMargins="0">
    <oddFooter>&amp;R&amp;A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8">
    <pageSetUpPr fitToPage="1"/>
  </sheetPr>
  <dimension ref="A1:L104"/>
  <sheetViews>
    <sheetView showGridLines="0" zoomScaleNormal="100" workbookViewId="0">
      <selection activeCell="A81" sqref="A81"/>
    </sheetView>
  </sheetViews>
  <sheetFormatPr defaultColWidth="9.42578125" defaultRowHeight="10.5" x14ac:dyDescent="0.15"/>
  <cols>
    <col min="1" max="1" width="27.5703125" style="21" customWidth="1"/>
    <col min="2" max="2" width="16.5703125" style="21" customWidth="1"/>
    <col min="3" max="3" width="1.5703125" style="21" customWidth="1"/>
    <col min="4" max="4" width="15.5703125" style="21" customWidth="1"/>
    <col min="5" max="5" width="1.5703125" style="21" customWidth="1"/>
    <col min="6" max="6" width="16.5703125" style="21" customWidth="1"/>
    <col min="7" max="7" width="1.5703125" style="21" customWidth="1"/>
    <col min="8" max="8" width="12.5703125" style="21" customWidth="1"/>
    <col min="9" max="9" width="4.5703125" style="21" customWidth="1"/>
    <col min="10" max="16" width="1.5703125" style="21" customWidth="1"/>
    <col min="17" max="16384" width="9.42578125" style="21"/>
  </cols>
  <sheetData>
    <row r="1" spans="1:12" s="63" customFormat="1" ht="15.75" x14ac:dyDescent="0.25">
      <c r="A1" s="2449" t="str">
        <f>Index!A1</f>
        <v xml:space="preserve">                                                               Office of the State Controller                                                                </v>
      </c>
      <c r="B1" s="2449"/>
      <c r="C1" s="2449"/>
      <c r="D1" s="2449"/>
      <c r="E1" s="2449"/>
      <c r="F1" s="2449"/>
      <c r="G1" s="2449"/>
      <c r="H1" s="2449"/>
      <c r="I1"/>
      <c r="J1"/>
      <c r="K1"/>
      <c r="L1" s="622"/>
    </row>
    <row r="2" spans="1:12" s="20" customFormat="1" ht="15" customHeight="1" x14ac:dyDescent="0.25">
      <c r="A2" s="2708" t="str">
        <f>+Index!$A$2</f>
        <v>2022 ACFR Worksheets</v>
      </c>
      <c r="B2" s="2708"/>
      <c r="C2" s="2708"/>
      <c r="D2" s="2708"/>
      <c r="E2" s="2708"/>
      <c r="F2" s="2708"/>
      <c r="G2" s="2708"/>
      <c r="H2" s="2708"/>
      <c r="I2" s="2450" t="str">
        <f>IF(Index!$B$61="na","NA","")</f>
        <v/>
      </c>
    </row>
    <row r="3" spans="1:12" s="20" customFormat="1" ht="15" customHeight="1" x14ac:dyDescent="0.25">
      <c r="A3" s="2708" t="s">
        <v>3977</v>
      </c>
      <c r="B3" s="2708"/>
      <c r="C3" s="2708"/>
      <c r="D3" s="2708"/>
      <c r="E3" s="2708"/>
      <c r="F3" s="2708"/>
      <c r="G3" s="2708"/>
      <c r="H3" s="2708"/>
      <c r="I3" s="2450"/>
    </row>
    <row r="4" spans="1:12" s="22" customFormat="1" ht="15" customHeight="1" x14ac:dyDescent="0.25">
      <c r="A4" s="2733" t="s">
        <v>4158</v>
      </c>
      <c r="B4" s="2733"/>
      <c r="C4" s="2733"/>
      <c r="D4" s="2733"/>
      <c r="E4" s="2733"/>
      <c r="F4" s="2733"/>
      <c r="G4" s="2733"/>
      <c r="H4" s="2733"/>
      <c r="I4" s="2450"/>
      <c r="J4" s="903"/>
      <c r="K4" s="903"/>
    </row>
    <row r="5" spans="1:12" s="22" customFormat="1" ht="6" customHeight="1" x14ac:dyDescent="0.2">
      <c r="C5" s="253"/>
      <c r="D5" s="253"/>
      <c r="F5" s="2736"/>
      <c r="G5" s="2736"/>
      <c r="H5" s="2736"/>
    </row>
    <row r="6" spans="1:12" s="22" customFormat="1" ht="15" customHeight="1" x14ac:dyDescent="0.2">
      <c r="A6" s="1371" t="s">
        <v>327</v>
      </c>
      <c r="B6" s="1373" t="str">
        <f>Index!$E$10</f>
        <v>01</v>
      </c>
      <c r="C6" s="1375"/>
      <c r="D6" s="1375"/>
      <c r="E6" s="1374" t="s">
        <v>1154</v>
      </c>
      <c r="F6" s="2488" t="str">
        <f>+Index!$E$11</f>
        <v>North Carolina General Assembly</v>
      </c>
      <c r="G6" s="2488"/>
      <c r="H6" s="2488"/>
    </row>
    <row r="7" spans="1:12" s="22" customFormat="1" ht="15" customHeight="1" x14ac:dyDescent="0.2">
      <c r="A7" s="1372"/>
      <c r="B7" s="1372"/>
      <c r="C7" s="1375"/>
      <c r="D7" s="1375"/>
      <c r="E7" s="1374" t="s">
        <v>972</v>
      </c>
      <c r="F7" s="2513" t="str">
        <f>CONCATENATE(Index!$E$12,"",Index!$E$14)</f>
        <v/>
      </c>
      <c r="G7" s="2513"/>
      <c r="H7" s="2513"/>
    </row>
    <row r="8" spans="1:12" s="22" customFormat="1" ht="15" customHeight="1" x14ac:dyDescent="0.2">
      <c r="A8" s="1372" t="s">
        <v>477</v>
      </c>
      <c r="B8" s="1379" t="s">
        <v>973</v>
      </c>
      <c r="C8" s="1375"/>
      <c r="D8" s="1375"/>
      <c r="E8" s="1374" t="s">
        <v>348</v>
      </c>
      <c r="F8" s="2513">
        <f>+Index!$E$13</f>
        <v>0</v>
      </c>
      <c r="G8" s="2513"/>
      <c r="H8" s="2513"/>
    </row>
    <row r="9" spans="1:12" s="22" customFormat="1" ht="6" customHeight="1" thickBot="1" x14ac:dyDescent="0.25">
      <c r="A9" s="120"/>
      <c r="B9" s="120"/>
      <c r="C9" s="120"/>
      <c r="D9" s="120"/>
      <c r="E9" s="120"/>
      <c r="F9" s="120"/>
      <c r="G9" s="120"/>
      <c r="H9" s="120"/>
    </row>
    <row r="10" spans="1:12" s="22" customFormat="1" ht="5.25" customHeight="1" x14ac:dyDescent="0.2"/>
    <row r="11" spans="1:12" s="22" customFormat="1" ht="12.75" customHeight="1" x14ac:dyDescent="0.2">
      <c r="A11" s="1419" t="s">
        <v>3575</v>
      </c>
      <c r="B11" s="1419"/>
      <c r="C11" s="1419"/>
      <c r="D11" s="1419"/>
      <c r="E11" s="1419"/>
      <c r="F11" s="1419"/>
    </row>
    <row r="12" spans="1:12" s="22" customFormat="1" ht="12.75" customHeight="1" x14ac:dyDescent="0.2">
      <c r="A12" s="1419" t="s">
        <v>4494</v>
      </c>
      <c r="B12" s="1419"/>
      <c r="C12" s="1419"/>
      <c r="D12" s="1419"/>
      <c r="E12" s="1419"/>
      <c r="F12" s="1419"/>
    </row>
    <row r="13" spans="1:12" s="22" customFormat="1" ht="12.75" customHeight="1" x14ac:dyDescent="0.2">
      <c r="A13" s="1419" t="s">
        <v>3576</v>
      </c>
      <c r="B13" s="1372"/>
      <c r="C13" s="1372"/>
      <c r="D13" s="1372"/>
      <c r="E13" s="1372"/>
      <c r="F13" s="1372"/>
    </row>
    <row r="14" spans="1:12" s="22" customFormat="1" ht="9.75" customHeight="1" x14ac:dyDescent="0.2"/>
    <row r="15" spans="1:12" customFormat="1" ht="12.75" customHeight="1" x14ac:dyDescent="0.2">
      <c r="B15" s="4" t="s">
        <v>597</v>
      </c>
      <c r="F15" s="4" t="s">
        <v>5349</v>
      </c>
    </row>
    <row r="16" spans="1:12" customFormat="1" ht="12.75" customHeight="1" x14ac:dyDescent="0.2">
      <c r="B16" s="798">
        <v>44378</v>
      </c>
      <c r="D16" s="26" t="s">
        <v>1054</v>
      </c>
      <c r="F16" s="26" t="s">
        <v>3979</v>
      </c>
    </row>
    <row r="17" spans="1:10" customFormat="1" ht="15" customHeight="1" x14ac:dyDescent="0.2">
      <c r="A17" s="1602" t="s">
        <v>1182</v>
      </c>
      <c r="B17" s="1390"/>
      <c r="C17" s="1391"/>
      <c r="D17" s="1391"/>
      <c r="E17" s="1390"/>
      <c r="F17" s="1372"/>
    </row>
    <row r="18" spans="1:10" customFormat="1" ht="12.75" customHeight="1" x14ac:dyDescent="0.2">
      <c r="A18" s="1386" t="s">
        <v>283</v>
      </c>
      <c r="B18" s="1387">
        <v>0</v>
      </c>
      <c r="C18" s="1392"/>
      <c r="D18" s="1387">
        <v>0</v>
      </c>
      <c r="E18" s="1392"/>
      <c r="F18" s="1817">
        <f>B18+D18</f>
        <v>0</v>
      </c>
    </row>
    <row r="19" spans="1:10" customFormat="1" ht="12.75" customHeight="1" x14ac:dyDescent="0.2">
      <c r="A19" s="1386" t="s">
        <v>284</v>
      </c>
      <c r="B19" s="1387">
        <v>0</v>
      </c>
      <c r="C19" s="1382"/>
      <c r="D19" s="1387">
        <v>0</v>
      </c>
      <c r="E19" s="1382"/>
      <c r="F19" s="1817">
        <f>B19+D19</f>
        <v>0</v>
      </c>
    </row>
    <row r="20" spans="1:10" customFormat="1" ht="14.1" customHeight="1" thickBot="1" x14ac:dyDescent="0.25">
      <c r="A20" s="1394" t="s">
        <v>272</v>
      </c>
      <c r="B20" s="2024">
        <f>B18+B19</f>
        <v>0</v>
      </c>
      <c r="C20" s="1382" t="s">
        <v>973</v>
      </c>
      <c r="D20" s="2024">
        <f>SUM(D18:D19)</f>
        <v>0</v>
      </c>
      <c r="E20" s="1382" t="s">
        <v>973</v>
      </c>
      <c r="F20" s="2024">
        <f>F18+F19</f>
        <v>0</v>
      </c>
    </row>
    <row r="21" spans="1:10" customFormat="1" ht="8.1" customHeight="1" x14ac:dyDescent="0.2">
      <c r="A21" s="1386"/>
      <c r="B21" s="1382"/>
      <c r="C21" s="1382"/>
      <c r="D21" s="1382"/>
      <c r="E21" s="1382"/>
      <c r="F21" s="1382"/>
    </row>
    <row r="22" spans="1:10" customFormat="1" ht="12.75" customHeight="1" x14ac:dyDescent="0.2">
      <c r="A22" s="1394" t="s">
        <v>3980</v>
      </c>
      <c r="B22" s="1382">
        <v>0</v>
      </c>
      <c r="C22" s="1382"/>
      <c r="D22" s="1382">
        <v>0</v>
      </c>
      <c r="E22" s="1382"/>
      <c r="F22" s="1388">
        <f>B22+D22</f>
        <v>0</v>
      </c>
    </row>
    <row r="23" spans="1:10" customFormat="1" ht="8.1" customHeight="1" x14ac:dyDescent="0.2">
      <c r="A23" s="1394"/>
      <c r="B23" s="1652"/>
      <c r="C23" s="1382"/>
      <c r="D23" s="1652"/>
      <c r="E23" s="1382"/>
      <c r="F23" s="1652"/>
    </row>
    <row r="24" spans="1:10" customFormat="1" ht="8.1" customHeight="1" x14ac:dyDescent="0.2">
      <c r="A24" s="1386" t="s">
        <v>973</v>
      </c>
      <c r="B24" s="1382" t="s">
        <v>973</v>
      </c>
      <c r="C24" s="1382" t="s">
        <v>973</v>
      </c>
      <c r="D24" s="1382" t="s">
        <v>973</v>
      </c>
      <c r="E24" s="1382" t="s">
        <v>973</v>
      </c>
      <c r="F24" s="1382" t="s">
        <v>973</v>
      </c>
    </row>
    <row r="25" spans="1:10" customFormat="1" ht="12.75" customHeight="1" x14ac:dyDescent="0.2">
      <c r="A25" s="1386" t="s">
        <v>285</v>
      </c>
      <c r="B25" s="1387">
        <v>0</v>
      </c>
      <c r="C25" s="1382"/>
      <c r="D25" s="1387">
        <v>0</v>
      </c>
      <c r="E25" s="1382"/>
      <c r="F25" s="1817">
        <f>B25+D25</f>
        <v>0</v>
      </c>
    </row>
    <row r="26" spans="1:10" s="22" customFormat="1" ht="12.75" customHeight="1" x14ac:dyDescent="0.2">
      <c r="A26" s="1386" t="s">
        <v>286</v>
      </c>
      <c r="B26" s="1387">
        <v>0</v>
      </c>
      <c r="C26" s="1382"/>
      <c r="D26" s="1387">
        <v>0</v>
      </c>
      <c r="E26" s="1382"/>
      <c r="F26" s="1817">
        <f>B26+D26</f>
        <v>0</v>
      </c>
      <c r="G26" s="1372"/>
      <c r="H26" s="272"/>
      <c r="I26" s="1372"/>
      <c r="J26" s="1372"/>
    </row>
    <row r="27" spans="1:10" s="22" customFormat="1" ht="14.1" customHeight="1" thickBot="1" x14ac:dyDescent="0.25">
      <c r="A27" s="1394" t="s">
        <v>791</v>
      </c>
      <c r="B27" s="2024">
        <f>B26+B25</f>
        <v>0</v>
      </c>
      <c r="C27" s="1382" t="s">
        <v>973</v>
      </c>
      <c r="D27" s="2024">
        <f>SUM(D25:D26)</f>
        <v>0</v>
      </c>
      <c r="E27" s="1382" t="s">
        <v>973</v>
      </c>
      <c r="F27" s="2024">
        <f>F26+F25</f>
        <v>0</v>
      </c>
      <c r="G27" s="1393"/>
      <c r="H27" s="272"/>
      <c r="I27" s="1372"/>
      <c r="J27" s="1372"/>
    </row>
    <row r="28" spans="1:10" s="22" customFormat="1" ht="8.1" customHeight="1" x14ac:dyDescent="0.2">
      <c r="A28" s="1394"/>
      <c r="B28" s="1382"/>
      <c r="C28" s="1382"/>
      <c r="D28" s="1382"/>
      <c r="E28" s="1382"/>
      <c r="F28" s="1382"/>
      <c r="G28" s="1388"/>
      <c r="H28" s="272"/>
      <c r="I28" s="1372"/>
      <c r="J28" s="1372"/>
    </row>
    <row r="29" spans="1:10" s="22" customFormat="1" ht="14.1" customHeight="1" x14ac:dyDescent="0.2">
      <c r="A29" s="1394" t="s">
        <v>3981</v>
      </c>
      <c r="B29" s="1387">
        <v>0</v>
      </c>
      <c r="C29" s="1382" t="s">
        <v>973</v>
      </c>
      <c r="D29" s="1387">
        <v>0</v>
      </c>
      <c r="E29" s="1382" t="s">
        <v>973</v>
      </c>
      <c r="F29" s="1817">
        <f>B29+D29</f>
        <v>0</v>
      </c>
      <c r="G29" s="1388"/>
      <c r="H29" s="272"/>
      <c r="I29" s="1372"/>
      <c r="J29" s="1372"/>
    </row>
    <row r="30" spans="1:10" s="22" customFormat="1" ht="15.75" customHeight="1" x14ac:dyDescent="0.2">
      <c r="A30" s="1394" t="s">
        <v>1888</v>
      </c>
      <c r="B30" s="1382"/>
      <c r="C30" s="1382"/>
      <c r="D30" s="1382"/>
      <c r="E30" s="1382"/>
      <c r="F30" s="1382"/>
      <c r="G30" s="1388"/>
      <c r="H30" s="272"/>
      <c r="I30" s="1372"/>
      <c r="J30" s="1372"/>
    </row>
    <row r="31" spans="1:10" s="22" customFormat="1" ht="12.75" customHeight="1" x14ac:dyDescent="0.2">
      <c r="A31" s="1386" t="s">
        <v>4157</v>
      </c>
      <c r="B31" s="1387">
        <v>0</v>
      </c>
      <c r="C31" s="1382"/>
      <c r="D31" s="1387">
        <v>0</v>
      </c>
      <c r="E31" s="1382"/>
      <c r="F31" s="1817">
        <f>B31+D31</f>
        <v>0</v>
      </c>
      <c r="G31" s="1388"/>
      <c r="H31" s="272"/>
      <c r="I31" s="1372"/>
      <c r="J31" s="1372"/>
    </row>
    <row r="32" spans="1:10" s="22" customFormat="1" ht="12.75" customHeight="1" x14ac:dyDescent="0.2">
      <c r="A32" s="1386" t="s">
        <v>4005</v>
      </c>
      <c r="B32" s="1381">
        <v>0</v>
      </c>
      <c r="C32" s="1382"/>
      <c r="D32" s="1387">
        <v>0</v>
      </c>
      <c r="E32" s="1382"/>
      <c r="F32" s="1817">
        <f>B32+D32</f>
        <v>0</v>
      </c>
      <c r="G32" s="1388"/>
      <c r="H32" s="272"/>
      <c r="I32" s="1372"/>
      <c r="J32" s="1372"/>
    </row>
    <row r="33" spans="1:10" s="22" customFormat="1" ht="12.75" customHeight="1" x14ac:dyDescent="0.2">
      <c r="A33" s="1386" t="s">
        <v>4006</v>
      </c>
      <c r="B33" s="1387">
        <v>0</v>
      </c>
      <c r="C33" s="1382"/>
      <c r="D33" s="1387">
        <v>0</v>
      </c>
      <c r="E33" s="1382"/>
      <c r="F33" s="1817">
        <f>B33+D33</f>
        <v>0</v>
      </c>
      <c r="G33" s="1388"/>
      <c r="H33" s="272"/>
      <c r="I33" s="1372"/>
      <c r="J33" s="1372"/>
    </row>
    <row r="34" spans="1:10" s="22" customFormat="1" ht="14.1" customHeight="1" thickBot="1" x14ac:dyDescent="0.25">
      <c r="A34" s="1394" t="s">
        <v>1889</v>
      </c>
      <c r="B34" s="1819">
        <f>B31+B32+B33</f>
        <v>0</v>
      </c>
      <c r="C34" s="1382"/>
      <c r="D34" s="1819">
        <f>SUM(D31:D33)</f>
        <v>0</v>
      </c>
      <c r="E34" s="1382"/>
      <c r="F34" s="1819">
        <f>F31+F32+F33</f>
        <v>0</v>
      </c>
      <c r="G34" s="1388"/>
      <c r="H34" s="272"/>
      <c r="I34" s="1372"/>
      <c r="J34" s="1372"/>
    </row>
    <row r="35" spans="1:10" s="22" customFormat="1" ht="8.1" customHeight="1" thickTop="1" x14ac:dyDescent="0.2">
      <c r="A35" s="1386"/>
      <c r="B35" s="1382"/>
      <c r="C35" s="1382"/>
      <c r="D35" s="1382"/>
      <c r="E35" s="1382"/>
      <c r="F35" s="1382"/>
      <c r="G35" s="1388"/>
      <c r="H35" s="272"/>
      <c r="I35" s="1372"/>
      <c r="J35" s="1372"/>
    </row>
    <row r="36" spans="1:10" s="22" customFormat="1" ht="14.1" customHeight="1" thickBot="1" x14ac:dyDescent="0.25">
      <c r="A36" s="1603" t="s">
        <v>4007</v>
      </c>
      <c r="B36" s="1382"/>
      <c r="C36" s="1382"/>
      <c r="D36" s="1818">
        <f>SUM(D20+D22)-SUM(D27+D29)</f>
        <v>0</v>
      </c>
      <c r="E36" s="1382"/>
      <c r="F36" s="1382"/>
      <c r="G36" s="1388"/>
      <c r="H36" s="272"/>
      <c r="I36" s="1372"/>
      <c r="J36" s="1372"/>
    </row>
    <row r="37" spans="1:10" s="22" customFormat="1" ht="12" customHeight="1" thickTop="1" x14ac:dyDescent="0.2">
      <c r="A37" s="1386"/>
      <c r="B37" s="1382"/>
      <c r="C37" s="1382"/>
      <c r="D37" s="1382"/>
      <c r="E37" s="1382"/>
      <c r="F37" s="1382"/>
      <c r="G37" s="1388"/>
      <c r="H37" s="272"/>
      <c r="I37" s="1372"/>
      <c r="J37" s="1372"/>
    </row>
    <row r="38" spans="1:10" s="22" customFormat="1" ht="12.75" x14ac:dyDescent="0.2">
      <c r="A38" s="1602" t="s">
        <v>4</v>
      </c>
      <c r="B38" s="1382"/>
      <c r="C38" s="1382"/>
      <c r="D38" s="1382"/>
      <c r="E38" s="1382"/>
      <c r="F38" s="1382"/>
      <c r="G38" s="1388"/>
      <c r="H38" s="272"/>
      <c r="I38" s="1372"/>
      <c r="J38" s="1372"/>
    </row>
    <row r="39" spans="1:10" s="22" customFormat="1" ht="12.75" x14ac:dyDescent="0.2">
      <c r="A39" s="1604" t="s">
        <v>1090</v>
      </c>
      <c r="B39" s="1382"/>
      <c r="C39" s="1382"/>
      <c r="D39" s="1382"/>
      <c r="E39" s="1382"/>
      <c r="F39" s="1382"/>
      <c r="G39" s="1388"/>
      <c r="H39" s="272"/>
      <c r="I39" s="1372"/>
      <c r="J39" s="1372"/>
    </row>
    <row r="40" spans="1:10" s="22" customFormat="1" ht="14.1" customHeight="1" x14ac:dyDescent="0.2">
      <c r="A40" s="1394" t="s">
        <v>3982</v>
      </c>
      <c r="B40" s="1382"/>
      <c r="C40" s="1382"/>
      <c r="D40" s="1382"/>
      <c r="E40" s="1382"/>
      <c r="F40" s="1382"/>
      <c r="G40" s="1388"/>
      <c r="H40" s="272"/>
      <c r="I40" s="1372"/>
      <c r="J40" s="1372"/>
    </row>
    <row r="41" spans="1:10" s="22" customFormat="1" ht="14.1" customHeight="1" x14ac:dyDescent="0.2">
      <c r="A41" s="1386" t="s">
        <v>3984</v>
      </c>
      <c r="B41" s="1387">
        <v>0</v>
      </c>
      <c r="C41" s="1382"/>
      <c r="D41" s="1387">
        <v>0</v>
      </c>
      <c r="E41" s="1382"/>
      <c r="F41" s="1817">
        <f>B41+D41</f>
        <v>0</v>
      </c>
      <c r="G41" s="1388"/>
      <c r="H41" s="272"/>
      <c r="I41" s="1372"/>
      <c r="J41" s="1372"/>
    </row>
    <row r="42" spans="1:10" s="22" customFormat="1" ht="14.1" customHeight="1" x14ac:dyDescent="0.2">
      <c r="A42" s="1386" t="s">
        <v>3985</v>
      </c>
      <c r="B42" s="1387">
        <v>0</v>
      </c>
      <c r="C42" s="1382"/>
      <c r="D42" s="1387">
        <v>0</v>
      </c>
      <c r="E42" s="1382"/>
      <c r="F42" s="1817">
        <f>B42+D42</f>
        <v>0</v>
      </c>
      <c r="G42" s="1388"/>
      <c r="H42" s="272"/>
      <c r="I42" s="1372"/>
      <c r="J42" s="1372"/>
    </row>
    <row r="43" spans="1:10" s="22" customFormat="1" ht="14.1" customHeight="1" x14ac:dyDescent="0.2">
      <c r="A43" s="1386" t="s">
        <v>3986</v>
      </c>
      <c r="B43" s="1387">
        <v>0</v>
      </c>
      <c r="C43" s="1382"/>
      <c r="D43" s="1387">
        <v>0</v>
      </c>
      <c r="E43" s="1382"/>
      <c r="F43" s="1817">
        <f>B43+D43</f>
        <v>0</v>
      </c>
      <c r="G43" s="1388"/>
      <c r="H43" s="272"/>
      <c r="I43" s="1372"/>
      <c r="J43" s="1372"/>
    </row>
    <row r="44" spans="1:10" s="22" customFormat="1" ht="14.1" customHeight="1" x14ac:dyDescent="0.2">
      <c r="A44" s="1386" t="s">
        <v>3987</v>
      </c>
      <c r="B44" s="1387">
        <v>0</v>
      </c>
      <c r="C44" s="1382"/>
      <c r="D44" s="1387">
        <v>0</v>
      </c>
      <c r="E44" s="1382"/>
      <c r="F44" s="1817">
        <f>B44+D44</f>
        <v>0</v>
      </c>
      <c r="G44" s="1388"/>
      <c r="H44" s="272"/>
      <c r="I44" s="1372"/>
      <c r="J44" s="1372"/>
    </row>
    <row r="45" spans="1:10" s="22" customFormat="1" ht="14.1" customHeight="1" x14ac:dyDescent="0.2">
      <c r="A45" s="1394" t="s">
        <v>3983</v>
      </c>
      <c r="B45" s="1382">
        <v>0</v>
      </c>
      <c r="C45" s="1382"/>
      <c r="D45" s="1382">
        <v>0</v>
      </c>
      <c r="E45" s="1382"/>
      <c r="F45" s="1382" t="s">
        <v>973</v>
      </c>
      <c r="G45" s="1388"/>
      <c r="H45" s="272"/>
      <c r="I45" s="1384"/>
      <c r="J45" s="1372"/>
    </row>
    <row r="46" spans="1:10" s="22" customFormat="1" ht="14.1" customHeight="1" x14ac:dyDescent="0.2">
      <c r="A46" s="1386" t="s">
        <v>3987</v>
      </c>
      <c r="B46" s="1387">
        <v>0</v>
      </c>
      <c r="C46" s="1382"/>
      <c r="D46" s="1387">
        <v>0</v>
      </c>
      <c r="E46" s="1382"/>
      <c r="F46" s="1817">
        <f>B46+D46</f>
        <v>0</v>
      </c>
      <c r="G46" s="1388"/>
      <c r="H46" s="272"/>
      <c r="I46" s="1372"/>
      <c r="J46" s="1372"/>
    </row>
    <row r="47" spans="1:10" s="22" customFormat="1" ht="14.1" customHeight="1" x14ac:dyDescent="0.2">
      <c r="A47" s="1394" t="s">
        <v>4010</v>
      </c>
      <c r="B47" s="1382"/>
      <c r="C47" s="1382"/>
      <c r="D47" s="1382">
        <v>0</v>
      </c>
      <c r="E47" s="1382"/>
      <c r="F47" s="1382"/>
      <c r="G47" s="1388"/>
      <c r="H47" s="272"/>
      <c r="I47" s="1372"/>
      <c r="J47" s="1372"/>
    </row>
    <row r="48" spans="1:10" s="22" customFormat="1" ht="14.1" customHeight="1" x14ac:dyDescent="0.2">
      <c r="A48" s="1386" t="s">
        <v>4011</v>
      </c>
      <c r="B48" s="1387">
        <v>0</v>
      </c>
      <c r="C48" s="1382"/>
      <c r="D48" s="1387">
        <v>0</v>
      </c>
      <c r="E48" s="1382"/>
      <c r="F48" s="1817">
        <f>B48+D48</f>
        <v>0</v>
      </c>
      <c r="G48" s="1388"/>
      <c r="H48" s="272"/>
      <c r="I48" s="1372"/>
      <c r="J48" s="1372"/>
    </row>
    <row r="49" spans="1:10" s="22" customFormat="1" ht="14.1" customHeight="1" x14ac:dyDescent="0.2">
      <c r="A49" s="1386" t="s">
        <v>4012</v>
      </c>
      <c r="B49" s="1387">
        <v>0</v>
      </c>
      <c r="C49" s="1382"/>
      <c r="D49" s="1387">
        <v>0</v>
      </c>
      <c r="E49" s="1382"/>
      <c r="F49" s="1817">
        <f t="shared" ref="F49:F61" si="0">B49+D49</f>
        <v>0</v>
      </c>
      <c r="G49" s="1388"/>
      <c r="H49" s="272"/>
      <c r="I49" s="1372"/>
      <c r="J49" s="1372"/>
    </row>
    <row r="50" spans="1:10" s="22" customFormat="1" ht="14.1" customHeight="1" x14ac:dyDescent="0.2">
      <c r="A50" s="1386" t="s">
        <v>4013</v>
      </c>
      <c r="B50" s="1387">
        <v>0</v>
      </c>
      <c r="C50" s="1382"/>
      <c r="D50" s="1387">
        <v>0</v>
      </c>
      <c r="E50" s="1382"/>
      <c r="F50" s="1817">
        <f t="shared" si="0"/>
        <v>0</v>
      </c>
      <c r="G50" s="1388"/>
      <c r="H50" s="272"/>
      <c r="I50" s="1372"/>
      <c r="J50" s="1372"/>
    </row>
    <row r="51" spans="1:10" s="22" customFormat="1" ht="14.1" customHeight="1" x14ac:dyDescent="0.2">
      <c r="A51" s="1386" t="s">
        <v>4014</v>
      </c>
      <c r="B51" s="1387">
        <v>0</v>
      </c>
      <c r="C51" s="1382"/>
      <c r="D51" s="1387">
        <v>0</v>
      </c>
      <c r="E51" s="1382"/>
      <c r="F51" s="1817">
        <f t="shared" si="0"/>
        <v>0</v>
      </c>
      <c r="G51" s="1388"/>
      <c r="H51" s="272"/>
      <c r="I51" s="1372"/>
      <c r="J51" s="1372"/>
    </row>
    <row r="52" spans="1:10" s="22" customFormat="1" ht="14.1" customHeight="1" x14ac:dyDescent="0.2">
      <c r="A52" s="1386" t="s">
        <v>4015</v>
      </c>
      <c r="B52" s="1387">
        <v>0</v>
      </c>
      <c r="C52" s="1382"/>
      <c r="D52" s="1387">
        <v>0</v>
      </c>
      <c r="E52" s="1382"/>
      <c r="F52" s="1817">
        <f t="shared" si="0"/>
        <v>0</v>
      </c>
      <c r="G52" s="1388"/>
      <c r="H52" s="272"/>
      <c r="I52" s="1372"/>
      <c r="J52" s="1372"/>
    </row>
    <row r="53" spans="1:10" s="22" customFormat="1" ht="14.1" customHeight="1" x14ac:dyDescent="0.2">
      <c r="A53" s="1386" t="s">
        <v>4016</v>
      </c>
      <c r="B53" s="1387">
        <v>0</v>
      </c>
      <c r="C53" s="1382"/>
      <c r="D53" s="1387">
        <v>0</v>
      </c>
      <c r="E53" s="1382"/>
      <c r="F53" s="1817">
        <f t="shared" si="0"/>
        <v>0</v>
      </c>
      <c r="G53" s="1388"/>
      <c r="H53" s="272"/>
      <c r="I53" s="1372"/>
      <c r="J53" s="1372"/>
    </row>
    <row r="54" spans="1:10" s="22" customFormat="1" ht="14.1" customHeight="1" x14ac:dyDescent="0.2">
      <c r="A54" s="1386" t="s">
        <v>4017</v>
      </c>
      <c r="B54" s="1387">
        <v>0</v>
      </c>
      <c r="C54" s="1382"/>
      <c r="D54" s="1387">
        <v>0</v>
      </c>
      <c r="E54" s="1382"/>
      <c r="F54" s="1817">
        <f t="shared" si="0"/>
        <v>0</v>
      </c>
      <c r="G54" s="1388"/>
      <c r="H54" s="272"/>
      <c r="I54" s="1372"/>
      <c r="J54" s="1372"/>
    </row>
    <row r="55" spans="1:10" s="22" customFormat="1" ht="14.1" customHeight="1" x14ac:dyDescent="0.2">
      <c r="A55" s="1386" t="s">
        <v>4018</v>
      </c>
      <c r="B55" s="1387">
        <v>0</v>
      </c>
      <c r="C55" s="1382"/>
      <c r="D55" s="1387">
        <v>0</v>
      </c>
      <c r="E55" s="1382"/>
      <c r="F55" s="1817">
        <f t="shared" si="0"/>
        <v>0</v>
      </c>
      <c r="G55" s="1388"/>
      <c r="H55" s="272"/>
      <c r="I55" s="1372"/>
      <c r="J55" s="1372"/>
    </row>
    <row r="56" spans="1:10" s="22" customFormat="1" ht="14.1" customHeight="1" x14ac:dyDescent="0.2">
      <c r="A56" s="1386" t="s">
        <v>4019</v>
      </c>
      <c r="B56" s="1387">
        <v>0</v>
      </c>
      <c r="C56" s="1382"/>
      <c r="D56" s="1387">
        <v>0</v>
      </c>
      <c r="E56" s="1382"/>
      <c r="F56" s="1817">
        <f t="shared" si="0"/>
        <v>0</v>
      </c>
      <c r="G56" s="1388"/>
      <c r="H56" s="272"/>
      <c r="I56" s="1372"/>
      <c r="J56" s="1372"/>
    </row>
    <row r="57" spans="1:10" s="22" customFormat="1" ht="14.1" customHeight="1" x14ac:dyDescent="0.2">
      <c r="A57" s="1386" t="s">
        <v>4020</v>
      </c>
      <c r="B57" s="1387">
        <v>0</v>
      </c>
      <c r="C57" s="1382"/>
      <c r="D57" s="1387">
        <v>0</v>
      </c>
      <c r="E57" s="1382"/>
      <c r="F57" s="1817">
        <f t="shared" si="0"/>
        <v>0</v>
      </c>
      <c r="G57" s="1388"/>
      <c r="H57" s="272"/>
      <c r="I57" s="1372"/>
      <c r="J57" s="1372"/>
    </row>
    <row r="58" spans="1:10" s="22" customFormat="1" ht="14.1" customHeight="1" x14ac:dyDescent="0.2">
      <c r="A58" s="1386" t="s">
        <v>901</v>
      </c>
      <c r="B58" s="1387">
        <v>0</v>
      </c>
      <c r="C58" s="1382"/>
      <c r="D58" s="1387">
        <v>0</v>
      </c>
      <c r="E58" s="1382"/>
      <c r="F58" s="1817">
        <f t="shared" si="0"/>
        <v>0</v>
      </c>
      <c r="G58" s="1388"/>
      <c r="H58" s="272"/>
      <c r="I58" s="1372"/>
      <c r="J58" s="1372"/>
    </row>
    <row r="59" spans="1:10" s="22" customFormat="1" ht="14.1" customHeight="1" x14ac:dyDescent="0.2">
      <c r="A59" s="1386" t="s">
        <v>4021</v>
      </c>
      <c r="B59" s="1382">
        <v>0</v>
      </c>
      <c r="C59" s="1382"/>
      <c r="D59" s="1382">
        <v>0</v>
      </c>
      <c r="E59" s="1382"/>
      <c r="F59" s="1382" t="s">
        <v>973</v>
      </c>
      <c r="G59" s="1388"/>
      <c r="H59" s="272"/>
      <c r="I59" s="1372"/>
      <c r="J59" s="1372"/>
    </row>
    <row r="60" spans="1:10" s="22" customFormat="1" ht="14.1" customHeight="1" x14ac:dyDescent="0.2">
      <c r="A60" s="1386" t="s">
        <v>4022</v>
      </c>
      <c r="B60" s="1387">
        <v>0</v>
      </c>
      <c r="C60" s="1382"/>
      <c r="D60" s="1387">
        <v>0</v>
      </c>
      <c r="E60" s="1382"/>
      <c r="F60" s="1817">
        <f>B60+D60</f>
        <v>0</v>
      </c>
      <c r="G60" s="1388"/>
      <c r="H60" s="272"/>
      <c r="I60" s="1372"/>
      <c r="J60" s="1372"/>
    </row>
    <row r="61" spans="1:10" s="22" customFormat="1" ht="14.1" customHeight="1" x14ac:dyDescent="0.2">
      <c r="A61" s="1386" t="s">
        <v>643</v>
      </c>
      <c r="B61" s="1387">
        <v>0</v>
      </c>
      <c r="C61" s="1382"/>
      <c r="D61" s="1387">
        <v>0</v>
      </c>
      <c r="E61" s="1382"/>
      <c r="F61" s="1817">
        <f t="shared" si="0"/>
        <v>0</v>
      </c>
      <c r="G61" s="1388"/>
      <c r="H61" s="272"/>
      <c r="I61" s="1384"/>
      <c r="J61" s="1372"/>
    </row>
    <row r="62" spans="1:10" s="22" customFormat="1" ht="14.1" customHeight="1" thickBot="1" x14ac:dyDescent="0.25">
      <c r="A62" s="1394" t="s">
        <v>3988</v>
      </c>
      <c r="B62" s="1819">
        <f>B41+B42+B43+B44+B46+B48+B49+B50+B51+B52+B53+B54+B55+B56+B57+B58+B60+B61</f>
        <v>0</v>
      </c>
      <c r="C62" s="1382"/>
      <c r="D62" s="1819">
        <f>D41+D42+D43+D44+D46+D48+D49+D50+D51+D52+D53+D54+D55+D56+D57+D58+D60+D61</f>
        <v>0</v>
      </c>
      <c r="E62" s="1382"/>
      <c r="F62" s="1819">
        <f>F41+F42+F43+F44+F46+F48+F49+F50+F51+F52+F53+F54+F55+F56+F57+F58+F60+F61</f>
        <v>0</v>
      </c>
      <c r="G62" s="1388"/>
      <c r="H62" s="272"/>
      <c r="I62" s="1384"/>
      <c r="J62" s="1372"/>
    </row>
    <row r="63" spans="1:10" s="22" customFormat="1" ht="8.1" customHeight="1" thickTop="1" x14ac:dyDescent="0.2">
      <c r="A63" s="1386"/>
      <c r="B63" s="1382"/>
      <c r="C63" s="1382"/>
      <c r="D63" s="1382"/>
      <c r="E63" s="1382"/>
      <c r="F63" s="1382"/>
      <c r="G63" s="1388"/>
      <c r="H63" s="272"/>
      <c r="I63" s="1384"/>
      <c r="J63" s="1372"/>
    </row>
    <row r="64" spans="1:10" s="22" customFormat="1" ht="12.75" x14ac:dyDescent="0.2">
      <c r="A64" s="1604" t="s">
        <v>1089</v>
      </c>
      <c r="B64" s="1382"/>
      <c r="C64" s="1382"/>
      <c r="D64" s="1382"/>
      <c r="E64" s="1382"/>
      <c r="F64" s="1382"/>
      <c r="G64" s="1388"/>
      <c r="H64" s="272"/>
      <c r="I64" s="1372"/>
      <c r="J64" s="1372"/>
    </row>
    <row r="65" spans="1:10" s="22" customFormat="1" ht="12.75" customHeight="1" x14ac:dyDescent="0.2">
      <c r="A65" s="1386" t="s">
        <v>5</v>
      </c>
      <c r="B65" s="1382" t="s">
        <v>973</v>
      </c>
      <c r="C65" s="1382" t="s">
        <v>973</v>
      </c>
      <c r="D65" s="1382" t="s">
        <v>973</v>
      </c>
      <c r="E65" s="1382" t="s">
        <v>973</v>
      </c>
      <c r="F65" s="1382" t="s">
        <v>973</v>
      </c>
      <c r="G65" s="1388"/>
      <c r="H65" s="272"/>
      <c r="I65" s="1372"/>
      <c r="J65" s="1372"/>
    </row>
    <row r="66" spans="1:10" s="22" customFormat="1" ht="12.75" customHeight="1" x14ac:dyDescent="0.2">
      <c r="A66" s="1386" t="s">
        <v>4023</v>
      </c>
      <c r="B66" s="1387">
        <v>0</v>
      </c>
      <c r="C66" s="1382"/>
      <c r="D66" s="1387">
        <v>0</v>
      </c>
      <c r="E66" s="1382"/>
      <c r="F66" s="1817">
        <f t="shared" ref="F66:F76" si="1">B66+D66</f>
        <v>0</v>
      </c>
      <c r="G66" s="1388"/>
      <c r="H66" s="272"/>
      <c r="I66" s="1372"/>
      <c r="J66" s="1372"/>
    </row>
    <row r="67" spans="1:10" s="22" customFormat="1" ht="12.75" customHeight="1" x14ac:dyDescent="0.2">
      <c r="A67" s="1386" t="s">
        <v>4024</v>
      </c>
      <c r="B67" s="1387">
        <v>0</v>
      </c>
      <c r="C67" s="1382"/>
      <c r="D67" s="1387">
        <v>0</v>
      </c>
      <c r="E67" s="1382"/>
      <c r="F67" s="1817">
        <f t="shared" si="1"/>
        <v>0</v>
      </c>
      <c r="G67" s="1388"/>
      <c r="H67" s="272"/>
      <c r="I67" s="1372"/>
      <c r="J67" s="1372"/>
    </row>
    <row r="68" spans="1:10" s="22" customFormat="1" ht="12.75" customHeight="1" x14ac:dyDescent="0.2">
      <c r="A68" s="1386" t="s">
        <v>4025</v>
      </c>
      <c r="B68" s="1387">
        <v>0</v>
      </c>
      <c r="C68" s="1382"/>
      <c r="D68" s="1387">
        <v>0</v>
      </c>
      <c r="E68" s="1382"/>
      <c r="F68" s="1817">
        <f t="shared" si="1"/>
        <v>0</v>
      </c>
      <c r="G68" s="1388"/>
      <c r="H68" s="272"/>
      <c r="I68" s="1372"/>
      <c r="J68" s="1372"/>
    </row>
    <row r="69" spans="1:10" s="22" customFormat="1" ht="12.75" customHeight="1" x14ac:dyDescent="0.2">
      <c r="A69" s="1386" t="s">
        <v>4026</v>
      </c>
      <c r="B69" s="1387">
        <v>0</v>
      </c>
      <c r="C69" s="1382"/>
      <c r="D69" s="1387">
        <v>0</v>
      </c>
      <c r="E69" s="1382"/>
      <c r="F69" s="1817">
        <f t="shared" si="1"/>
        <v>0</v>
      </c>
      <c r="G69" s="1388"/>
      <c r="H69" s="272"/>
      <c r="I69" s="1372"/>
      <c r="J69" s="1372"/>
    </row>
    <row r="70" spans="1:10" s="22" customFormat="1" ht="12.75" customHeight="1" x14ac:dyDescent="0.2">
      <c r="A70" s="1386" t="s">
        <v>4027</v>
      </c>
      <c r="B70" s="1387">
        <v>0</v>
      </c>
      <c r="C70" s="1382"/>
      <c r="D70" s="1387">
        <v>0</v>
      </c>
      <c r="E70" s="1382"/>
      <c r="F70" s="1817">
        <f t="shared" si="1"/>
        <v>0</v>
      </c>
      <c r="G70" s="1388"/>
      <c r="H70" s="272"/>
      <c r="I70" s="1372"/>
      <c r="J70" s="1372"/>
    </row>
    <row r="71" spans="1:10" s="22" customFormat="1" ht="12.75" customHeight="1" x14ac:dyDescent="0.2">
      <c r="A71" s="1386" t="s">
        <v>4028</v>
      </c>
      <c r="B71" s="1387">
        <v>0</v>
      </c>
      <c r="C71" s="1382"/>
      <c r="D71" s="1387">
        <v>0</v>
      </c>
      <c r="E71" s="1382"/>
      <c r="F71" s="1817">
        <f t="shared" si="1"/>
        <v>0</v>
      </c>
      <c r="G71" s="1388"/>
      <c r="H71" s="272"/>
      <c r="I71" s="1372"/>
      <c r="J71" s="1372"/>
    </row>
    <row r="72" spans="1:10" s="22" customFormat="1" ht="12.75" customHeight="1" x14ac:dyDescent="0.2">
      <c r="A72" s="1386" t="s">
        <v>4029</v>
      </c>
      <c r="B72" s="1387">
        <v>0</v>
      </c>
      <c r="C72" s="1382"/>
      <c r="D72" s="1387">
        <v>0</v>
      </c>
      <c r="E72" s="1382"/>
      <c r="F72" s="1817">
        <f t="shared" si="1"/>
        <v>0</v>
      </c>
      <c r="G72" s="1388"/>
      <c r="H72" s="272"/>
      <c r="I72" s="1372"/>
      <c r="J72" s="1372"/>
    </row>
    <row r="73" spans="1:10" s="22" customFormat="1" ht="12.75" customHeight="1" x14ac:dyDescent="0.2">
      <c r="A73" s="1386" t="s">
        <v>4030</v>
      </c>
      <c r="B73" s="1387">
        <v>0</v>
      </c>
      <c r="C73" s="1382"/>
      <c r="D73" s="1387">
        <v>0</v>
      </c>
      <c r="E73" s="1382"/>
      <c r="F73" s="1817">
        <f t="shared" si="1"/>
        <v>0</v>
      </c>
      <c r="G73" s="1388"/>
      <c r="H73" s="272"/>
      <c r="I73" s="1372"/>
      <c r="J73" s="1372"/>
    </row>
    <row r="74" spans="1:10" s="22" customFormat="1" ht="12.75" customHeight="1" x14ac:dyDescent="0.2">
      <c r="A74" s="1386" t="s">
        <v>4031</v>
      </c>
      <c r="B74" s="1387">
        <v>0</v>
      </c>
      <c r="C74" s="1382"/>
      <c r="D74" s="1387">
        <v>0</v>
      </c>
      <c r="E74" s="1382"/>
      <c r="F74" s="1817">
        <f t="shared" si="1"/>
        <v>0</v>
      </c>
      <c r="G74" s="1388"/>
      <c r="H74" s="272"/>
      <c r="I74" s="1372"/>
      <c r="J74" s="1372"/>
    </row>
    <row r="75" spans="1:10" s="22" customFormat="1" ht="12.75" customHeight="1" x14ac:dyDescent="0.2">
      <c r="A75" s="1386" t="s">
        <v>1181</v>
      </c>
      <c r="B75" s="1387">
        <v>0</v>
      </c>
      <c r="C75" s="1382"/>
      <c r="D75" s="1387">
        <v>0</v>
      </c>
      <c r="E75" s="1382"/>
      <c r="F75" s="1817">
        <f t="shared" si="1"/>
        <v>0</v>
      </c>
      <c r="G75" s="1388"/>
      <c r="H75" s="272"/>
      <c r="I75" s="1372"/>
      <c r="J75" s="1372"/>
    </row>
    <row r="76" spans="1:10" s="22" customFormat="1" ht="14.1" customHeight="1" thickBot="1" x14ac:dyDescent="0.25">
      <c r="A76" s="1394" t="s">
        <v>4009</v>
      </c>
      <c r="B76" s="1819">
        <f>B66+B67+B68+B69+B70+B71+B72+B73+B74+B75</f>
        <v>0</v>
      </c>
      <c r="C76" s="1382"/>
      <c r="D76" s="1819">
        <f>D66+D67+D68+D69+D70+D71+D72+D73+D74+D75</f>
        <v>0</v>
      </c>
      <c r="E76" s="1382"/>
      <c r="F76" s="1817">
        <f t="shared" si="1"/>
        <v>0</v>
      </c>
      <c r="G76" s="1388"/>
      <c r="H76" s="272"/>
      <c r="I76" s="1372"/>
      <c r="J76" s="1372"/>
    </row>
    <row r="77" spans="1:10" s="22" customFormat="1" ht="9" customHeight="1" thickTop="1" x14ac:dyDescent="0.2">
      <c r="A77" s="1394"/>
      <c r="B77" s="1382"/>
      <c r="C77" s="1382"/>
      <c r="D77" s="1382"/>
      <c r="E77" s="1382"/>
      <c r="F77" s="1382"/>
      <c r="G77" s="1388"/>
      <c r="H77" s="272"/>
      <c r="I77" s="1372"/>
      <c r="J77" s="1372"/>
    </row>
    <row r="78" spans="1:10" s="22" customFormat="1" ht="14.1" customHeight="1" x14ac:dyDescent="0.2">
      <c r="A78" s="1386" t="s">
        <v>4032</v>
      </c>
      <c r="B78" s="1387">
        <v>0</v>
      </c>
      <c r="C78" s="1382"/>
      <c r="D78" s="1387">
        <v>0</v>
      </c>
      <c r="E78" s="1382"/>
      <c r="F78" s="1817">
        <f>B78+D78</f>
        <v>0</v>
      </c>
      <c r="G78" s="1388"/>
      <c r="H78" s="272"/>
      <c r="I78" s="1372"/>
      <c r="J78" s="1372"/>
    </row>
    <row r="79" spans="1:10" s="22" customFormat="1" ht="14.1" customHeight="1" x14ac:dyDescent="0.2">
      <c r="A79" s="1386" t="s">
        <v>737</v>
      </c>
      <c r="B79" s="1387">
        <v>0</v>
      </c>
      <c r="C79" s="1382"/>
      <c r="D79" s="1387">
        <v>0</v>
      </c>
      <c r="E79" s="1382"/>
      <c r="F79" s="1817">
        <f>B79+D79</f>
        <v>0</v>
      </c>
      <c r="G79" s="1388"/>
      <c r="H79" s="272"/>
      <c r="I79" s="1372"/>
      <c r="J79" s="1372"/>
    </row>
    <row r="80" spans="1:10" s="22" customFormat="1" ht="14.1" customHeight="1" x14ac:dyDescent="0.2">
      <c r="A80" s="1386" t="s">
        <v>738</v>
      </c>
      <c r="B80" s="1387">
        <v>0</v>
      </c>
      <c r="C80" s="1382"/>
      <c r="D80" s="1387">
        <v>0</v>
      </c>
      <c r="E80" s="1382"/>
      <c r="F80" s="1817">
        <f>B80+D80</f>
        <v>0</v>
      </c>
      <c r="G80" s="1388"/>
      <c r="H80" s="272"/>
      <c r="I80" s="1372"/>
      <c r="J80" s="1372"/>
    </row>
    <row r="81" spans="1:10" s="22" customFormat="1" ht="14.1" customHeight="1" x14ac:dyDescent="0.2">
      <c r="A81" s="1386" t="s">
        <v>4033</v>
      </c>
      <c r="B81" s="1387">
        <v>0</v>
      </c>
      <c r="C81" s="1382"/>
      <c r="D81" s="1382">
        <v>0</v>
      </c>
      <c r="E81" s="1382"/>
      <c r="F81" s="1817">
        <f>B81+D81</f>
        <v>0</v>
      </c>
      <c r="G81" s="1388"/>
      <c r="H81" s="272"/>
      <c r="I81" s="1372"/>
      <c r="J81" s="1372"/>
    </row>
    <row r="82" spans="1:10" s="22" customFormat="1" ht="7.5" customHeight="1" x14ac:dyDescent="0.2">
      <c r="A82" s="1386"/>
      <c r="B82" s="1382"/>
      <c r="C82" s="1382"/>
      <c r="D82" s="1652"/>
      <c r="E82" s="1382"/>
      <c r="F82" s="1382"/>
      <c r="G82" s="1388"/>
      <c r="H82" s="272"/>
      <c r="I82" s="1372"/>
      <c r="J82" s="1372"/>
    </row>
    <row r="83" spans="1:10" s="22" customFormat="1" ht="14.1" customHeight="1" thickBot="1" x14ac:dyDescent="0.25">
      <c r="A83" s="1394" t="s">
        <v>4008</v>
      </c>
      <c r="B83" s="1382" t="s">
        <v>973</v>
      </c>
      <c r="C83" s="1382"/>
      <c r="D83" s="1818">
        <f>D62-D76+D78+D79-D80+D81</f>
        <v>0</v>
      </c>
      <c r="E83" s="1382"/>
      <c r="F83" s="1382" t="s">
        <v>973</v>
      </c>
      <c r="G83" s="1388"/>
      <c r="H83" s="272"/>
      <c r="I83" s="1372"/>
      <c r="J83" s="1372"/>
    </row>
    <row r="84" spans="1:10" s="22" customFormat="1" ht="10.35" customHeight="1" thickTop="1" x14ac:dyDescent="0.2">
      <c r="A84" s="1372"/>
      <c r="B84" s="1372"/>
      <c r="C84" s="1372"/>
      <c r="D84" s="1372"/>
      <c r="E84" s="1372"/>
      <c r="F84" s="1372"/>
      <c r="G84" s="1372"/>
      <c r="H84" s="272"/>
      <c r="I84" s="1372"/>
      <c r="J84" s="1372"/>
    </row>
    <row r="85" spans="1:10" s="22" customFormat="1" ht="12.75" x14ac:dyDescent="0.2">
      <c r="A85" s="2734" t="s">
        <v>58</v>
      </c>
      <c r="B85" s="2735"/>
      <c r="C85" s="2735"/>
      <c r="D85" s="2735"/>
      <c r="E85" s="2735"/>
      <c r="F85" s="2735"/>
      <c r="G85" s="2735"/>
      <c r="H85" s="2735"/>
      <c r="I85" s="2735"/>
      <c r="J85" s="2735"/>
    </row>
    <row r="86" spans="1:10" s="22" customFormat="1" ht="12.75" x14ac:dyDescent="0.2">
      <c r="A86" s="1389" t="s">
        <v>59</v>
      </c>
      <c r="B86" s="1389"/>
      <c r="C86" s="1389"/>
      <c r="D86" s="1389"/>
      <c r="E86" s="1389"/>
      <c r="F86" s="1389"/>
      <c r="G86" s="1389"/>
      <c r="H86" s="1385"/>
      <c r="I86" s="1389"/>
      <c r="J86" s="1389"/>
    </row>
    <row r="87" spans="1:10" s="22" customFormat="1" ht="12.75" x14ac:dyDescent="0.2">
      <c r="H87"/>
    </row>
    <row r="88" spans="1:10" ht="12.75" x14ac:dyDescent="0.2">
      <c r="H88"/>
      <c r="I88" s="22"/>
    </row>
    <row r="89" spans="1:10" ht="12.75" x14ac:dyDescent="0.2">
      <c r="H89"/>
      <c r="I89" s="22"/>
    </row>
    <row r="90" spans="1:10" ht="12.75" x14ac:dyDescent="0.2">
      <c r="H90"/>
      <c r="I90" s="22"/>
    </row>
    <row r="91" spans="1:10" ht="12.75" x14ac:dyDescent="0.2">
      <c r="H91"/>
    </row>
    <row r="92" spans="1:10" ht="12.75" x14ac:dyDescent="0.2">
      <c r="H92"/>
    </row>
    <row r="93" spans="1:10" ht="12.75" x14ac:dyDescent="0.2">
      <c r="H93"/>
    </row>
    <row r="94" spans="1:10" ht="12.75" x14ac:dyDescent="0.2">
      <c r="H94"/>
    </row>
    <row r="95" spans="1:10" ht="12.75" x14ac:dyDescent="0.2">
      <c r="H95"/>
    </row>
    <row r="96" spans="1:10" ht="12.75" x14ac:dyDescent="0.2">
      <c r="H96"/>
    </row>
    <row r="97" spans="8:8" ht="12.75" x14ac:dyDescent="0.2">
      <c r="H97"/>
    </row>
    <row r="98" spans="8:8" ht="12.75" x14ac:dyDescent="0.2">
      <c r="H98"/>
    </row>
    <row r="99" spans="8:8" ht="12.75" x14ac:dyDescent="0.2">
      <c r="H99"/>
    </row>
    <row r="100" spans="8:8" ht="12.75" x14ac:dyDescent="0.2">
      <c r="H100"/>
    </row>
    <row r="101" spans="8:8" ht="12.75" x14ac:dyDescent="0.2">
      <c r="H101"/>
    </row>
    <row r="102" spans="8:8" ht="12.75" x14ac:dyDescent="0.2">
      <c r="H102"/>
    </row>
    <row r="103" spans="8:8" ht="12.75" x14ac:dyDescent="0.2">
      <c r="H103"/>
    </row>
    <row r="104" spans="8:8" ht="12.75" x14ac:dyDescent="0.2">
      <c r="H104"/>
    </row>
  </sheetData>
  <sheetProtection algorithmName="SHA-512" hashValue="FA8rkvSGwMA9d9gu3Ts2DFhcWE5pRVDYtEfa5Ys/+Kkj34zwLvypnYhsUeKyj0rtw660ZRAe6Pb3RAjawaWXdg==" saltValue="TWEToYKpuSUMPA8f2Zzr3Q==" spinCount="100000" sheet="1" objects="1" scenarios="1" autoFilter="0"/>
  <customSheetViews>
    <customSheetView guid="{B08879A4-635B-4C39-9937-AC7883D562FC}" showGridLines="0" fitToPage="1">
      <selection activeCell="B12" sqref="B12"/>
      <pageMargins left="0.62" right="0.53" top="0.71" bottom="0.56000000000000005" header="0.5" footer="0.38"/>
      <pageSetup scale="72" orientation="portrait" r:id="rId1"/>
      <headerFooter alignWithMargins="0">
        <oddFooter>&amp;R431</oddFooter>
      </headerFooter>
    </customSheetView>
    <customSheetView guid="{1250FD07-FF56-4A9D-AF9E-C27124A7EBE9}" showGridLines="0" fitToPage="1" showRuler="0">
      <selection sqref="A1:H1"/>
      <pageMargins left="0.62" right="0.53" top="0.71" bottom="0.56000000000000005" header="0.5" footer="0.38"/>
      <pageSetup scale="92" orientation="portrait" r:id="rId2"/>
      <headerFooter alignWithMargins="0">
        <oddFooter>&amp;R431</oddFooter>
      </headerFooter>
    </customSheetView>
    <customSheetView guid="{BEA4BE86-04D1-4C96-9358-7A260B9D2B2D}" showGridLines="0" fitToPage="1" showRuler="0">
      <selection sqref="A1:H1"/>
      <pageMargins left="0.62" right="0.53" top="0.71" bottom="0.56000000000000005" header="0.5" footer="0.38"/>
      <pageSetup scale="92" orientation="portrait" r:id="rId3"/>
      <headerFooter alignWithMargins="0">
        <oddFooter>&amp;R431</oddFooter>
      </headerFooter>
    </customSheetView>
    <customSheetView guid="{9FCFC836-1CA5-48BF-958D-24D2EA94B219}" showGridLines="0" fitToPage="1">
      <selection activeCell="B12" sqref="B12"/>
      <pageMargins left="0.62" right="0.53" top="0.71" bottom="0.56000000000000005" header="0.5" footer="0.38"/>
      <pageSetup scale="72" orientation="portrait" r:id="rId4"/>
      <headerFooter alignWithMargins="0">
        <oddFooter>&amp;R431</oddFooter>
      </headerFooter>
    </customSheetView>
  </customSheetViews>
  <mergeCells count="10">
    <mergeCell ref="I2:I4"/>
    <mergeCell ref="A1:H1"/>
    <mergeCell ref="A4:H4"/>
    <mergeCell ref="A85:J85"/>
    <mergeCell ref="F8:H8"/>
    <mergeCell ref="F5:H5"/>
    <mergeCell ref="F6:H6"/>
    <mergeCell ref="F7:H7"/>
    <mergeCell ref="A2:H2"/>
    <mergeCell ref="A3:H3"/>
  </mergeCells>
  <phoneticPr fontId="15" type="noConversion"/>
  <conditionalFormatting sqref="L1">
    <cfRule type="cellIs" dxfId="74" priority="3" stopIfTrue="1" operator="equal">
      <formula>"na"</formula>
    </cfRule>
  </conditionalFormatting>
  <conditionalFormatting sqref="I2:I4">
    <cfRule type="cellIs" dxfId="73" priority="1" stopIfTrue="1" operator="equal">
      <formula>"na"</formula>
    </cfRule>
  </conditionalFormatting>
  <hyperlinks>
    <hyperlink ref="A1:H1" location="Index!A1" display="Index!A1" xr:uid="{00000000-0004-0000-2400-000000000000}"/>
  </hyperlinks>
  <pageMargins left="0.6" right="0.6" top="0.5" bottom="0.5" header="0.5" footer="0.38"/>
  <pageSetup scale="65" orientation="portrait" r:id="rId5"/>
  <headerFooter alignWithMargins="0">
    <oddFooter xml:space="preserve">&amp;R431G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pageSetUpPr fitToPage="1"/>
  </sheetPr>
  <dimension ref="A1:S87"/>
  <sheetViews>
    <sheetView showGridLines="0" zoomScaleNormal="100" workbookViewId="0">
      <selection activeCell="R28" sqref="R28"/>
    </sheetView>
  </sheetViews>
  <sheetFormatPr defaultColWidth="9.42578125" defaultRowHeight="10.5" x14ac:dyDescent="0.15"/>
  <cols>
    <col min="1" max="1" width="31.42578125" style="21" customWidth="1"/>
    <col min="2" max="2" width="16.5703125" style="21" customWidth="1"/>
    <col min="3" max="3" width="1.5703125" style="21" customWidth="1"/>
    <col min="4" max="4" width="15.5703125" style="21" customWidth="1"/>
    <col min="5" max="5" width="1.5703125" style="21" customWidth="1"/>
    <col min="6" max="6" width="16.5703125" style="21" customWidth="1"/>
    <col min="7" max="7" width="1.5703125" style="21" customWidth="1"/>
    <col min="8" max="8" width="12.5703125" style="21" customWidth="1"/>
    <col min="9" max="9" width="4.5703125" style="21" customWidth="1"/>
    <col min="10" max="16" width="1.5703125" style="21" customWidth="1"/>
    <col min="17" max="16384" width="9.42578125" style="21"/>
  </cols>
  <sheetData>
    <row r="1" spans="1:19" s="356" customFormat="1" ht="15.75" x14ac:dyDescent="0.25">
      <c r="A1" s="2449" t="str">
        <f>Index!A1</f>
        <v xml:space="preserve">                                                               Office of the State Controller                                                                </v>
      </c>
      <c r="B1" s="2449"/>
      <c r="C1" s="2449"/>
      <c r="D1" s="2449"/>
      <c r="E1" s="2449"/>
      <c r="F1" s="2449"/>
      <c r="G1" s="2449"/>
      <c r="H1" s="2449"/>
      <c r="I1" s="1317"/>
      <c r="J1" s="1317"/>
      <c r="K1" s="1317"/>
      <c r="L1" s="1317"/>
      <c r="M1" s="1317"/>
      <c r="N1" s="1317"/>
      <c r="O1" s="1317"/>
      <c r="P1" s="1317"/>
      <c r="Q1" s="1317"/>
      <c r="R1" s="1317"/>
      <c r="S1" s="1598"/>
    </row>
    <row r="2" spans="1:19" s="20" customFormat="1" ht="15" customHeight="1" x14ac:dyDescent="0.25">
      <c r="A2" s="2708" t="str">
        <f>+Index!$A$2</f>
        <v>2022 ACFR Worksheets</v>
      </c>
      <c r="B2" s="2708"/>
      <c r="C2" s="2708"/>
      <c r="D2" s="2708"/>
      <c r="E2" s="2708"/>
      <c r="F2" s="2708"/>
      <c r="G2" s="2708"/>
      <c r="H2" s="2708"/>
      <c r="I2" s="2450" t="str">
        <f>IF(Index!$B$62="na","NA","")</f>
        <v/>
      </c>
    </row>
    <row r="3" spans="1:19" s="20" customFormat="1" ht="15" customHeight="1" x14ac:dyDescent="0.25">
      <c r="A3" s="2632" t="s">
        <v>3978</v>
      </c>
      <c r="B3" s="2632"/>
      <c r="C3" s="2632"/>
      <c r="D3" s="2632"/>
      <c r="E3" s="2632"/>
      <c r="F3" s="2632"/>
      <c r="G3" s="2632"/>
      <c r="H3" s="2632"/>
      <c r="I3" s="2450"/>
    </row>
    <row r="4" spans="1:19" s="22" customFormat="1" ht="15" customHeight="1" x14ac:dyDescent="0.25">
      <c r="A4" s="2733" t="s">
        <v>4159</v>
      </c>
      <c r="B4" s="2733"/>
      <c r="C4" s="2733"/>
      <c r="D4" s="2733"/>
      <c r="E4" s="2733"/>
      <c r="F4" s="2733"/>
      <c r="G4" s="2733"/>
      <c r="H4" s="2733"/>
      <c r="I4" s="2450"/>
      <c r="J4" s="903"/>
      <c r="K4" s="903"/>
    </row>
    <row r="5" spans="1:19" s="22" customFormat="1" ht="6" customHeight="1" x14ac:dyDescent="0.2">
      <c r="C5" s="253"/>
      <c r="D5" s="253"/>
      <c r="F5" s="2736"/>
      <c r="G5" s="2736"/>
      <c r="H5" s="2736"/>
    </row>
    <row r="6" spans="1:19" s="22" customFormat="1" ht="15" customHeight="1" x14ac:dyDescent="0.2">
      <c r="A6" s="1371" t="s">
        <v>327</v>
      </c>
      <c r="B6" s="1373" t="str">
        <f>Index!$E$10</f>
        <v>01</v>
      </c>
      <c r="C6" s="1375"/>
      <c r="D6" s="1375"/>
      <c r="E6" s="1374" t="s">
        <v>1154</v>
      </c>
      <c r="F6" s="2488" t="str">
        <f>+Index!$E$11</f>
        <v>North Carolina General Assembly</v>
      </c>
      <c r="G6" s="2488"/>
      <c r="H6" s="2488"/>
    </row>
    <row r="7" spans="1:19" s="22" customFormat="1" ht="15" customHeight="1" x14ac:dyDescent="0.2">
      <c r="A7" s="1372"/>
      <c r="B7" s="1372"/>
      <c r="C7" s="1375"/>
      <c r="D7" s="1375"/>
      <c r="E7" s="1374" t="s">
        <v>972</v>
      </c>
      <c r="F7" s="2513" t="str">
        <f>CONCATENATE(Index!$E$12,"",Index!$E$14)</f>
        <v/>
      </c>
      <c r="G7" s="2513"/>
      <c r="H7" s="2513"/>
    </row>
    <row r="8" spans="1:19" s="22" customFormat="1" ht="15" customHeight="1" x14ac:dyDescent="0.2">
      <c r="A8" s="1372" t="s">
        <v>477</v>
      </c>
      <c r="B8" s="1379" t="s">
        <v>973</v>
      </c>
      <c r="C8" s="1375"/>
      <c r="D8" s="1375"/>
      <c r="E8" s="1374" t="s">
        <v>348</v>
      </c>
      <c r="F8" s="2513">
        <f>+Index!$E$13</f>
        <v>0</v>
      </c>
      <c r="G8" s="2513"/>
      <c r="H8" s="2513"/>
    </row>
    <row r="9" spans="1:19" s="22" customFormat="1" ht="6" customHeight="1" thickBot="1" x14ac:dyDescent="0.25">
      <c r="A9" s="120"/>
      <c r="B9" s="120"/>
      <c r="C9" s="120"/>
      <c r="D9" s="120"/>
      <c r="E9" s="120"/>
      <c r="F9" s="120"/>
      <c r="G9" s="120"/>
      <c r="H9" s="120"/>
    </row>
    <row r="10" spans="1:19" s="22" customFormat="1" ht="5.25" customHeight="1" x14ac:dyDescent="0.2"/>
    <row r="11" spans="1:19" s="22" customFormat="1" ht="15" customHeight="1" x14ac:dyDescent="0.2">
      <c r="A11" s="1419" t="s">
        <v>4034</v>
      </c>
      <c r="B11" s="1419"/>
      <c r="C11" s="1419"/>
      <c r="D11" s="1419"/>
      <c r="E11" s="1419"/>
      <c r="F11" s="1419"/>
    </row>
    <row r="12" spans="1:19" s="22" customFormat="1" ht="15" customHeight="1" x14ac:dyDescent="0.2">
      <c r="A12" s="1419"/>
      <c r="B12" s="1419"/>
      <c r="C12" s="1419"/>
      <c r="D12" s="1419"/>
      <c r="E12" s="1419"/>
      <c r="F12" s="1419"/>
    </row>
    <row r="13" spans="1:19" s="22" customFormat="1" ht="15" customHeight="1" x14ac:dyDescent="0.2">
      <c r="A13" s="1419" t="s">
        <v>973</v>
      </c>
      <c r="B13" s="1372"/>
      <c r="C13" s="1372"/>
      <c r="D13" s="1372"/>
      <c r="E13" s="1372"/>
      <c r="F13" s="1372"/>
    </row>
    <row r="14" spans="1:19" customFormat="1" ht="15" customHeight="1" x14ac:dyDescent="0.2">
      <c r="B14" s="4" t="s">
        <v>597</v>
      </c>
      <c r="F14" s="4" t="s">
        <v>5349</v>
      </c>
    </row>
    <row r="15" spans="1:19" customFormat="1" ht="15" customHeight="1" x14ac:dyDescent="0.2">
      <c r="B15" s="798">
        <v>44378</v>
      </c>
      <c r="D15" s="26" t="s">
        <v>1054</v>
      </c>
      <c r="F15" s="26" t="s">
        <v>3979</v>
      </c>
    </row>
    <row r="16" spans="1:19" customFormat="1" ht="15" customHeight="1" x14ac:dyDescent="0.2">
      <c r="A16" s="2" t="s">
        <v>4324</v>
      </c>
      <c r="B16" s="1816"/>
      <c r="D16" s="4"/>
      <c r="F16" s="4"/>
    </row>
    <row r="17" spans="1:6" customFormat="1" ht="15" customHeight="1" x14ac:dyDescent="0.2">
      <c r="A17" s="675" t="s">
        <v>4334</v>
      </c>
      <c r="B17" s="642">
        <v>0</v>
      </c>
      <c r="C17" s="272"/>
      <c r="D17" s="642">
        <v>0</v>
      </c>
      <c r="F17" s="1817">
        <f>B17+D17</f>
        <v>0</v>
      </c>
    </row>
    <row r="18" spans="1:6" customFormat="1" ht="15" customHeight="1" x14ac:dyDescent="0.2">
      <c r="A18" s="675" t="s">
        <v>4334</v>
      </c>
      <c r="B18" s="642">
        <v>0</v>
      </c>
      <c r="C18" s="272"/>
      <c r="D18" s="642">
        <v>0</v>
      </c>
      <c r="F18" s="1817">
        <f>B18+D18</f>
        <v>0</v>
      </c>
    </row>
    <row r="19" spans="1:6" customFormat="1" ht="15" customHeight="1" x14ac:dyDescent="0.2">
      <c r="A19" s="2" t="s">
        <v>4325</v>
      </c>
      <c r="B19" s="641"/>
      <c r="C19" s="272"/>
      <c r="D19" s="641"/>
      <c r="F19" s="4"/>
    </row>
    <row r="20" spans="1:6" customFormat="1" ht="15" customHeight="1" x14ac:dyDescent="0.2">
      <c r="A20" s="675" t="s">
        <v>4334</v>
      </c>
      <c r="B20" s="642">
        <v>0</v>
      </c>
      <c r="C20" s="272"/>
      <c r="D20" s="642">
        <v>0</v>
      </c>
      <c r="F20" s="1817">
        <f>B20+D20</f>
        <v>0</v>
      </c>
    </row>
    <row r="21" spans="1:6" customFormat="1" ht="15" customHeight="1" x14ac:dyDescent="0.2">
      <c r="A21" s="675" t="s">
        <v>4334</v>
      </c>
      <c r="B21" s="642">
        <v>0</v>
      </c>
      <c r="C21" s="272"/>
      <c r="D21" s="642">
        <v>0</v>
      </c>
      <c r="F21" s="1817">
        <f>B21+D21</f>
        <v>0</v>
      </c>
    </row>
    <row r="22" spans="1:6" customFormat="1" ht="15" customHeight="1" x14ac:dyDescent="0.2">
      <c r="A22" s="2" t="s">
        <v>4326</v>
      </c>
      <c r="B22" s="642">
        <v>0</v>
      </c>
      <c r="C22" s="272"/>
      <c r="D22" s="642">
        <v>0</v>
      </c>
      <c r="F22" s="1817">
        <f>B22+D22</f>
        <v>0</v>
      </c>
    </row>
    <row r="23" spans="1:6" customFormat="1" ht="15" customHeight="1" x14ac:dyDescent="0.2">
      <c r="A23" s="2" t="s">
        <v>4327</v>
      </c>
      <c r="B23" s="642">
        <v>0</v>
      </c>
      <c r="C23" s="272"/>
      <c r="D23" s="642">
        <v>0</v>
      </c>
      <c r="F23" s="1817">
        <f>B23+D23</f>
        <v>0</v>
      </c>
    </row>
    <row r="24" spans="1:6" customFormat="1" ht="15" customHeight="1" x14ac:dyDescent="0.2">
      <c r="A24" s="2" t="s">
        <v>4328</v>
      </c>
      <c r="B24" s="641"/>
      <c r="C24" s="272"/>
      <c r="D24" s="641"/>
      <c r="F24" s="4"/>
    </row>
    <row r="25" spans="1:6" customFormat="1" ht="15" customHeight="1" x14ac:dyDescent="0.2">
      <c r="A25" s="1201" t="s">
        <v>4334</v>
      </c>
      <c r="B25" s="642">
        <v>0</v>
      </c>
      <c r="C25" s="272"/>
      <c r="D25" s="642">
        <v>0</v>
      </c>
      <c r="F25" s="1817">
        <f>B25+D25</f>
        <v>0</v>
      </c>
    </row>
    <row r="26" spans="1:6" customFormat="1" ht="15" customHeight="1" x14ac:dyDescent="0.2">
      <c r="A26" s="2" t="s">
        <v>4329</v>
      </c>
      <c r="B26" s="641"/>
      <c r="C26" s="272"/>
      <c r="D26" s="641"/>
      <c r="F26" s="4"/>
    </row>
    <row r="27" spans="1:6" customFormat="1" ht="15" customHeight="1" x14ac:dyDescent="0.2">
      <c r="A27" s="675" t="s">
        <v>4334</v>
      </c>
      <c r="B27" s="642">
        <v>0</v>
      </c>
      <c r="C27" s="272"/>
      <c r="D27" s="642">
        <v>0</v>
      </c>
      <c r="F27" s="1817">
        <f>B27+D27</f>
        <v>0</v>
      </c>
    </row>
    <row r="28" spans="1:6" customFormat="1" ht="15" customHeight="1" x14ac:dyDescent="0.2">
      <c r="A28" s="675" t="s">
        <v>4334</v>
      </c>
      <c r="B28" s="642">
        <v>0</v>
      </c>
      <c r="C28" s="272"/>
      <c r="D28" s="642">
        <v>0</v>
      </c>
      <c r="F28" s="1817">
        <f>B28+D28</f>
        <v>0</v>
      </c>
    </row>
    <row r="29" spans="1:6" customFormat="1" ht="15" customHeight="1" x14ac:dyDescent="0.2">
      <c r="A29" s="2" t="s">
        <v>376</v>
      </c>
      <c r="B29" s="641"/>
      <c r="C29" s="272"/>
      <c r="D29" s="641"/>
      <c r="F29" s="4"/>
    </row>
    <row r="30" spans="1:6" customFormat="1" ht="15" customHeight="1" x14ac:dyDescent="0.2">
      <c r="A30" s="675" t="s">
        <v>4334</v>
      </c>
      <c r="B30" s="642">
        <v>0</v>
      </c>
      <c r="C30" s="272"/>
      <c r="D30" s="642">
        <v>0</v>
      </c>
      <c r="F30" s="1817">
        <f>B30+D30</f>
        <v>0</v>
      </c>
    </row>
    <row r="31" spans="1:6" customFormat="1" ht="15" customHeight="1" x14ac:dyDescent="0.2">
      <c r="A31" s="675" t="s">
        <v>4334</v>
      </c>
      <c r="B31" s="642">
        <v>0</v>
      </c>
      <c r="C31" s="272"/>
      <c r="D31" s="642">
        <v>0</v>
      </c>
      <c r="F31" s="1817">
        <f>B31+D31</f>
        <v>0</v>
      </c>
    </row>
    <row r="32" spans="1:6" customFormat="1" ht="15" customHeight="1" x14ac:dyDescent="0.2">
      <c r="A32" s="2" t="s">
        <v>4330</v>
      </c>
      <c r="B32" s="641"/>
      <c r="C32" s="272"/>
      <c r="D32" s="641"/>
      <c r="F32" s="4"/>
    </row>
    <row r="33" spans="1:10" customFormat="1" ht="15" customHeight="1" x14ac:dyDescent="0.2">
      <c r="A33" s="1201" t="s">
        <v>4334</v>
      </c>
      <c r="B33" s="642">
        <v>0</v>
      </c>
      <c r="C33" s="272"/>
      <c r="D33" s="642">
        <v>0</v>
      </c>
      <c r="F33" s="1817">
        <f>B33+D33</f>
        <v>0</v>
      </c>
    </row>
    <row r="34" spans="1:10" customFormat="1" ht="15" customHeight="1" x14ac:dyDescent="0.2">
      <c r="A34" s="2" t="s">
        <v>4331</v>
      </c>
      <c r="B34" s="641"/>
      <c r="C34" s="272"/>
      <c r="D34" s="641"/>
      <c r="F34" s="4"/>
    </row>
    <row r="35" spans="1:10" customFormat="1" ht="15" customHeight="1" x14ac:dyDescent="0.2">
      <c r="A35" s="272" t="s">
        <v>1937</v>
      </c>
      <c r="B35" s="642">
        <v>0</v>
      </c>
      <c r="C35" s="272"/>
      <c r="D35" s="642">
        <v>0</v>
      </c>
      <c r="F35" s="1817">
        <f>B35+D35</f>
        <v>0</v>
      </c>
    </row>
    <row r="36" spans="1:10" customFormat="1" ht="15" customHeight="1" x14ac:dyDescent="0.2">
      <c r="A36" s="272" t="s">
        <v>378</v>
      </c>
      <c r="B36" s="642">
        <v>0</v>
      </c>
      <c r="C36" s="272"/>
      <c r="D36" s="642">
        <v>0</v>
      </c>
      <c r="F36" s="1817">
        <f>B36+D36</f>
        <v>0</v>
      </c>
    </row>
    <row r="37" spans="1:10" customFormat="1" ht="15" customHeight="1" x14ac:dyDescent="0.2">
      <c r="A37" s="272" t="s">
        <v>923</v>
      </c>
      <c r="B37" s="642">
        <v>0</v>
      </c>
      <c r="C37" s="272"/>
      <c r="D37" s="642">
        <v>0</v>
      </c>
      <c r="F37" s="1817">
        <f>B37+D37</f>
        <v>0</v>
      </c>
    </row>
    <row r="38" spans="1:10" customFormat="1" ht="15" customHeight="1" x14ac:dyDescent="0.2">
      <c r="B38" s="1816"/>
      <c r="D38" s="4"/>
      <c r="F38" s="4"/>
    </row>
    <row r="39" spans="1:10" customFormat="1" ht="15" customHeight="1" thickBot="1" x14ac:dyDescent="0.25">
      <c r="A39" s="2" t="s">
        <v>4332</v>
      </c>
      <c r="B39" s="1816"/>
      <c r="D39" s="1818">
        <f>SUM(D17:D25)-SUM(D27:D33)</f>
        <v>0</v>
      </c>
      <c r="F39" s="4"/>
    </row>
    <row r="40" spans="1:10" customFormat="1" ht="15" customHeight="1" thickTop="1" x14ac:dyDescent="0.2">
      <c r="B40" s="1816"/>
      <c r="D40" s="4"/>
      <c r="F40" s="4"/>
    </row>
    <row r="41" spans="1:10" s="22" customFormat="1" ht="12.75" x14ac:dyDescent="0.2">
      <c r="A41" s="1602" t="s">
        <v>4</v>
      </c>
      <c r="B41" s="1382"/>
      <c r="C41" s="1382"/>
      <c r="D41" s="1382"/>
      <c r="E41" s="1382"/>
      <c r="F41" s="1382"/>
      <c r="G41" s="1388"/>
      <c r="H41" s="272"/>
      <c r="I41" s="1372"/>
      <c r="J41" s="1372"/>
    </row>
    <row r="42" spans="1:10" s="22" customFormat="1" ht="12.75" customHeight="1" x14ac:dyDescent="0.2">
      <c r="A42" s="1394" t="s">
        <v>3982</v>
      </c>
      <c r="B42" s="1382"/>
      <c r="C42" s="1382"/>
      <c r="D42" s="1382"/>
      <c r="E42" s="1382"/>
      <c r="F42" s="1382"/>
      <c r="G42" s="1388"/>
      <c r="H42" s="272"/>
      <c r="I42" s="1372"/>
      <c r="J42" s="1372"/>
    </row>
    <row r="43" spans="1:10" s="22" customFormat="1" ht="12.75" customHeight="1" x14ac:dyDescent="0.2">
      <c r="A43" s="1386" t="s">
        <v>3984</v>
      </c>
      <c r="B43" s="1387">
        <v>0</v>
      </c>
      <c r="C43" s="1382"/>
      <c r="D43" s="1387">
        <v>0</v>
      </c>
      <c r="E43" s="1382"/>
      <c r="F43" s="1817">
        <f>B43+D43</f>
        <v>0</v>
      </c>
      <c r="G43" s="1388"/>
      <c r="H43" s="272"/>
      <c r="I43" s="1372"/>
      <c r="J43" s="1372"/>
    </row>
    <row r="44" spans="1:10" s="22" customFormat="1" ht="12.75" customHeight="1" x14ac:dyDescent="0.2">
      <c r="A44" s="1386" t="s">
        <v>3985</v>
      </c>
      <c r="B44" s="1387">
        <v>0</v>
      </c>
      <c r="C44" s="1382"/>
      <c r="D44" s="1387"/>
      <c r="E44" s="1382"/>
      <c r="F44" s="1817">
        <f>B44+D44</f>
        <v>0</v>
      </c>
      <c r="G44" s="1388"/>
      <c r="H44" s="272"/>
      <c r="I44" s="1372"/>
      <c r="J44" s="1372"/>
    </row>
    <row r="45" spans="1:10" s="22" customFormat="1" ht="12.75" customHeight="1" x14ac:dyDescent="0.2">
      <c r="A45" s="1386" t="s">
        <v>3986</v>
      </c>
      <c r="B45" s="1387">
        <v>0</v>
      </c>
      <c r="C45" s="1382"/>
      <c r="D45" s="1387"/>
      <c r="E45" s="1382"/>
      <c r="F45" s="1817">
        <f>B45+D45</f>
        <v>0</v>
      </c>
      <c r="G45" s="1388"/>
      <c r="H45" s="272"/>
      <c r="I45" s="1372"/>
      <c r="J45" s="1372"/>
    </row>
    <row r="46" spans="1:10" s="22" customFormat="1" ht="12.75" customHeight="1" x14ac:dyDescent="0.2">
      <c r="A46" s="1386" t="s">
        <v>3987</v>
      </c>
      <c r="B46" s="1387">
        <v>0</v>
      </c>
      <c r="C46" s="1382"/>
      <c r="D46" s="1387"/>
      <c r="E46" s="1382"/>
      <c r="F46" s="1817">
        <f>B46+D46</f>
        <v>0</v>
      </c>
      <c r="G46" s="1388"/>
      <c r="H46" s="272"/>
      <c r="I46" s="1372"/>
      <c r="J46" s="1372"/>
    </row>
    <row r="47" spans="1:10" s="22" customFormat="1" ht="12.75" customHeight="1" x14ac:dyDescent="0.2">
      <c r="A47" s="1394" t="s">
        <v>3983</v>
      </c>
      <c r="B47" s="1382">
        <v>0</v>
      </c>
      <c r="C47" s="1382"/>
      <c r="D47" s="1382">
        <v>0</v>
      </c>
      <c r="E47" s="1382"/>
      <c r="F47" s="1388" t="s">
        <v>973</v>
      </c>
      <c r="G47" s="1388"/>
      <c r="H47" s="272"/>
      <c r="I47" s="1384"/>
      <c r="J47" s="1372"/>
    </row>
    <row r="48" spans="1:10" s="22" customFormat="1" ht="12.75" customHeight="1" x14ac:dyDescent="0.2">
      <c r="A48" s="1386" t="s">
        <v>3987</v>
      </c>
      <c r="B48" s="1387">
        <v>0</v>
      </c>
      <c r="C48" s="1382"/>
      <c r="D48" s="1387"/>
      <c r="E48" s="1382"/>
      <c r="F48" s="1817">
        <f>B48+D48</f>
        <v>0</v>
      </c>
      <c r="G48" s="1388"/>
      <c r="H48" s="272"/>
      <c r="I48" s="1372"/>
      <c r="J48" s="1372"/>
    </row>
    <row r="49" spans="1:10" s="22" customFormat="1" ht="14.1" customHeight="1" thickBot="1" x14ac:dyDescent="0.25">
      <c r="A49" s="1394" t="s">
        <v>3988</v>
      </c>
      <c r="B49" s="1819">
        <f>B43+B44+B45+B46+B48</f>
        <v>0</v>
      </c>
      <c r="C49" s="1382"/>
      <c r="D49" s="1819">
        <f>D43+D44+D45+D46+D48</f>
        <v>0</v>
      </c>
      <c r="E49" s="1382"/>
      <c r="F49" s="1819">
        <f>F43+F44+F45+F46+F48</f>
        <v>0</v>
      </c>
      <c r="G49" s="1388"/>
      <c r="H49" s="272"/>
      <c r="I49" s="1384"/>
      <c r="J49" s="1372"/>
    </row>
    <row r="50" spans="1:10" s="22" customFormat="1" ht="8.1" customHeight="1" thickTop="1" x14ac:dyDescent="0.2">
      <c r="A50" s="1394"/>
      <c r="B50" s="1382"/>
      <c r="C50" s="1382"/>
      <c r="D50" s="1382"/>
      <c r="E50" s="1382"/>
      <c r="F50" s="1388"/>
      <c r="G50" s="1388"/>
      <c r="H50" s="272"/>
      <c r="I50" s="1384"/>
      <c r="J50" s="1372"/>
    </row>
    <row r="51" spans="1:10" s="22" customFormat="1" ht="12.75" customHeight="1" x14ac:dyDescent="0.2">
      <c r="A51" s="1394" t="s">
        <v>1089</v>
      </c>
      <c r="B51" s="1382"/>
      <c r="C51" s="1382"/>
      <c r="D51" s="1382"/>
      <c r="E51" s="1382"/>
      <c r="F51" s="1388"/>
      <c r="G51" s="1388"/>
      <c r="H51" s="272"/>
      <c r="I51" s="1372"/>
      <c r="J51" s="1372"/>
    </row>
    <row r="52" spans="1:10" s="22" customFormat="1" ht="12.75" customHeight="1" x14ac:dyDescent="0.2">
      <c r="A52" s="1386" t="s">
        <v>3989</v>
      </c>
      <c r="B52" s="1387">
        <v>0</v>
      </c>
      <c r="C52" s="1382"/>
      <c r="D52" s="1387">
        <v>0</v>
      </c>
      <c r="E52" s="1382"/>
      <c r="F52" s="1817">
        <f>B52+D52</f>
        <v>0</v>
      </c>
      <c r="G52" s="1388"/>
      <c r="H52" s="272"/>
      <c r="I52" s="1372"/>
      <c r="J52" s="1372"/>
    </row>
    <row r="53" spans="1:10" s="22" customFormat="1" ht="12.75" customHeight="1" x14ac:dyDescent="0.2">
      <c r="A53" s="1386" t="s">
        <v>3990</v>
      </c>
      <c r="B53" s="1387">
        <v>0</v>
      </c>
      <c r="C53" s="1382"/>
      <c r="D53" s="1387"/>
      <c r="E53" s="1382"/>
      <c r="F53" s="1817">
        <f t="shared" ref="F53:F64" si="0">B53+D53</f>
        <v>0</v>
      </c>
      <c r="G53" s="1388"/>
      <c r="H53" s="272"/>
      <c r="I53" s="1372"/>
      <c r="J53" s="1372"/>
    </row>
    <row r="54" spans="1:10" s="22" customFormat="1" ht="12.75" customHeight="1" x14ac:dyDescent="0.2">
      <c r="A54" s="1386" t="s">
        <v>3991</v>
      </c>
      <c r="B54" s="1387">
        <v>0</v>
      </c>
      <c r="C54" s="1382"/>
      <c r="D54" s="1387"/>
      <c r="E54" s="1382"/>
      <c r="F54" s="1817">
        <f t="shared" si="0"/>
        <v>0</v>
      </c>
      <c r="G54" s="1388"/>
      <c r="H54" s="272"/>
      <c r="I54" s="1372"/>
      <c r="J54" s="1372"/>
    </row>
    <row r="55" spans="1:10" s="22" customFormat="1" ht="12.75" customHeight="1" x14ac:dyDescent="0.2">
      <c r="A55" s="1386" t="s">
        <v>3992</v>
      </c>
      <c r="B55" s="1387">
        <v>0</v>
      </c>
      <c r="C55" s="1382"/>
      <c r="D55" s="1387"/>
      <c r="E55" s="1382"/>
      <c r="F55" s="1817">
        <f t="shared" si="0"/>
        <v>0</v>
      </c>
      <c r="G55" s="1388"/>
      <c r="H55" s="272"/>
      <c r="I55" s="1372"/>
      <c r="J55" s="1372"/>
    </row>
    <row r="56" spans="1:10" s="22" customFormat="1" ht="12.75" customHeight="1" x14ac:dyDescent="0.2">
      <c r="A56" s="1386" t="s">
        <v>3993</v>
      </c>
      <c r="B56" s="1387">
        <v>0</v>
      </c>
      <c r="C56" s="1382"/>
      <c r="D56" s="1387"/>
      <c r="E56" s="1382"/>
      <c r="F56" s="1817">
        <f t="shared" si="0"/>
        <v>0</v>
      </c>
      <c r="G56" s="1388"/>
      <c r="H56" s="272"/>
      <c r="I56" s="1372"/>
      <c r="J56" s="1372"/>
    </row>
    <row r="57" spans="1:10" s="22" customFormat="1" ht="12.75" customHeight="1" x14ac:dyDescent="0.2">
      <c r="A57" s="1386" t="s">
        <v>3994</v>
      </c>
      <c r="B57" s="1387">
        <v>0</v>
      </c>
      <c r="C57" s="1382"/>
      <c r="D57" s="1387"/>
      <c r="E57" s="1382"/>
      <c r="F57" s="1817">
        <f t="shared" si="0"/>
        <v>0</v>
      </c>
      <c r="G57" s="1388"/>
      <c r="H57" s="272"/>
      <c r="I57" s="1372"/>
      <c r="J57" s="1372"/>
    </row>
    <row r="58" spans="1:10" s="22" customFormat="1" ht="12.75" customHeight="1" x14ac:dyDescent="0.2">
      <c r="A58" s="1386" t="s">
        <v>3995</v>
      </c>
      <c r="B58" s="1387">
        <v>0</v>
      </c>
      <c r="C58" s="1382"/>
      <c r="D58" s="1387"/>
      <c r="E58" s="1382"/>
      <c r="F58" s="1817">
        <f t="shared" si="0"/>
        <v>0</v>
      </c>
      <c r="G58" s="1388"/>
      <c r="H58" s="272"/>
      <c r="I58" s="1372"/>
      <c r="J58" s="1372"/>
    </row>
    <row r="59" spans="1:10" s="22" customFormat="1" ht="12.75" customHeight="1" x14ac:dyDescent="0.2">
      <c r="A59" s="1386" t="s">
        <v>3996</v>
      </c>
      <c r="B59" s="1387">
        <v>0</v>
      </c>
      <c r="C59" s="1382"/>
      <c r="D59" s="1387"/>
      <c r="E59" s="1382"/>
      <c r="F59" s="1817">
        <f t="shared" si="0"/>
        <v>0</v>
      </c>
      <c r="G59" s="1388"/>
      <c r="H59" s="272"/>
      <c r="I59" s="1372"/>
      <c r="J59" s="1372"/>
    </row>
    <row r="60" spans="1:10" s="22" customFormat="1" ht="14.1" customHeight="1" thickBot="1" x14ac:dyDescent="0.25">
      <c r="A60" s="1394" t="s">
        <v>4009</v>
      </c>
      <c r="B60" s="1819">
        <f>B52+B53+B54+B55+B56+B57+B58+B59</f>
        <v>0</v>
      </c>
      <c r="C60" s="1382"/>
      <c r="D60" s="1819">
        <f>D52+D53+D54+D55+D56+D57+D58+D59</f>
        <v>0</v>
      </c>
      <c r="E60" s="1382"/>
      <c r="F60" s="1819">
        <f>B60+D60</f>
        <v>0</v>
      </c>
      <c r="G60" s="1388"/>
      <c r="H60" s="272"/>
      <c r="I60" s="1372"/>
      <c r="J60" s="1372"/>
    </row>
    <row r="61" spans="1:10" s="22" customFormat="1" ht="8.25" customHeight="1" thickTop="1" x14ac:dyDescent="0.2">
      <c r="A61" s="1599"/>
      <c r="B61" s="1382"/>
      <c r="C61" s="1382"/>
      <c r="D61" s="1382"/>
      <c r="E61" s="1382"/>
      <c r="F61" s="1388"/>
      <c r="G61" s="1388"/>
      <c r="H61" s="272"/>
      <c r="I61" s="1372"/>
      <c r="J61" s="1372"/>
    </row>
    <row r="62" spans="1:10" s="22" customFormat="1" ht="12.75" customHeight="1" x14ac:dyDescent="0.2">
      <c r="A62" s="1386" t="s">
        <v>737</v>
      </c>
      <c r="B62" s="1387">
        <v>0</v>
      </c>
      <c r="C62" s="1382"/>
      <c r="D62" s="1387">
        <v>0</v>
      </c>
      <c r="E62" s="1382"/>
      <c r="F62" s="1817">
        <f t="shared" si="0"/>
        <v>0</v>
      </c>
      <c r="G62" s="1388"/>
      <c r="H62" s="272"/>
      <c r="I62" s="1372"/>
      <c r="J62" s="1372"/>
    </row>
    <row r="63" spans="1:10" s="22" customFormat="1" ht="12.75" customHeight="1" x14ac:dyDescent="0.2">
      <c r="A63" s="1386" t="s">
        <v>738</v>
      </c>
      <c r="B63" s="1387">
        <v>0</v>
      </c>
      <c r="C63" s="1382"/>
      <c r="D63" s="1387">
        <v>0</v>
      </c>
      <c r="E63" s="1382"/>
      <c r="F63" s="1817">
        <f t="shared" si="0"/>
        <v>0</v>
      </c>
      <c r="G63" s="1388"/>
      <c r="H63" s="272"/>
      <c r="I63" s="1372"/>
      <c r="J63" s="1372"/>
    </row>
    <row r="64" spans="1:10" s="22" customFormat="1" ht="12.75" customHeight="1" x14ac:dyDescent="0.2">
      <c r="A64" s="1386" t="s">
        <v>3997</v>
      </c>
      <c r="B64" s="1387">
        <v>0</v>
      </c>
      <c r="C64" s="1382"/>
      <c r="D64" s="1382">
        <v>0</v>
      </c>
      <c r="E64" s="1382"/>
      <c r="F64" s="1817">
        <f t="shared" si="0"/>
        <v>0</v>
      </c>
      <c r="G64" s="1388"/>
      <c r="H64" s="272"/>
      <c r="I64" s="1372"/>
      <c r="J64" s="1372"/>
    </row>
    <row r="65" spans="1:10" s="22" customFormat="1" ht="7.5" customHeight="1" x14ac:dyDescent="0.2">
      <c r="A65" s="1386"/>
      <c r="B65" s="1382"/>
      <c r="C65" s="1382"/>
      <c r="D65" s="1652"/>
      <c r="E65" s="1382"/>
      <c r="F65" s="1382"/>
      <c r="G65" s="1388"/>
      <c r="H65" s="272"/>
      <c r="I65" s="1372"/>
      <c r="J65" s="1372"/>
    </row>
    <row r="66" spans="1:10" s="22" customFormat="1" ht="14.1" customHeight="1" thickBot="1" x14ac:dyDescent="0.25">
      <c r="A66" s="1394" t="s">
        <v>4008</v>
      </c>
      <c r="B66" s="1382" t="s">
        <v>973</v>
      </c>
      <c r="C66" s="1382"/>
      <c r="D66" s="1818">
        <f>D49-D60+D62-D63+D64</f>
        <v>0</v>
      </c>
      <c r="E66" s="1382"/>
      <c r="F66" s="1382" t="s">
        <v>973</v>
      </c>
      <c r="G66" s="1388"/>
      <c r="H66" s="272"/>
      <c r="I66" s="1372"/>
      <c r="J66" s="1372"/>
    </row>
    <row r="67" spans="1:10" s="22" customFormat="1" ht="8.1" customHeight="1" thickTop="1" x14ac:dyDescent="0.2">
      <c r="A67" s="1372"/>
      <c r="B67" s="1372"/>
      <c r="C67" s="1372"/>
      <c r="D67" s="1372"/>
      <c r="E67" s="1372"/>
      <c r="F67" s="1372"/>
      <c r="G67" s="1372"/>
      <c r="H67" s="272"/>
      <c r="I67" s="1372"/>
      <c r="J67" s="1372"/>
    </row>
    <row r="68" spans="1:10" s="22" customFormat="1" ht="12.75" x14ac:dyDescent="0.2">
      <c r="A68" s="2734" t="s">
        <v>58</v>
      </c>
      <c r="B68" s="2735"/>
      <c r="C68" s="2735"/>
      <c r="D68" s="2735"/>
      <c r="E68" s="2735"/>
      <c r="F68" s="2735"/>
      <c r="G68" s="2735"/>
      <c r="H68" s="2735"/>
      <c r="I68" s="2735"/>
      <c r="J68" s="2735"/>
    </row>
    <row r="69" spans="1:10" s="22" customFormat="1" ht="12.75" x14ac:dyDescent="0.2">
      <c r="A69" s="1389" t="s">
        <v>59</v>
      </c>
      <c r="B69" s="1389"/>
      <c r="C69" s="1389"/>
      <c r="D69" s="1389"/>
      <c r="E69" s="1389"/>
      <c r="F69" s="1389"/>
      <c r="G69" s="1389"/>
      <c r="H69" s="1385"/>
      <c r="I69" s="1389"/>
      <c r="J69" s="1389"/>
    </row>
    <row r="70" spans="1:10" s="22" customFormat="1" ht="12.75" x14ac:dyDescent="0.2">
      <c r="H70"/>
    </row>
    <row r="71" spans="1:10" ht="12.75" x14ac:dyDescent="0.2">
      <c r="H71"/>
      <c r="I71" s="22"/>
    </row>
    <row r="72" spans="1:10" ht="12.75" x14ac:dyDescent="0.2">
      <c r="H72"/>
      <c r="I72" s="22"/>
    </row>
    <row r="73" spans="1:10" ht="12.75" x14ac:dyDescent="0.2">
      <c r="H73"/>
      <c r="I73" s="22"/>
    </row>
    <row r="74" spans="1:10" ht="12.75" x14ac:dyDescent="0.2">
      <c r="H74"/>
    </row>
    <row r="75" spans="1:10" ht="12.75" x14ac:dyDescent="0.2">
      <c r="H75"/>
    </row>
    <row r="76" spans="1:10" ht="12.75" x14ac:dyDescent="0.2">
      <c r="H76"/>
    </row>
    <row r="77" spans="1:10" ht="12.75" x14ac:dyDescent="0.2">
      <c r="H77"/>
    </row>
    <row r="78" spans="1:10" ht="12.75" x14ac:dyDescent="0.2">
      <c r="H78"/>
    </row>
    <row r="79" spans="1:10" ht="12.75" x14ac:dyDescent="0.2">
      <c r="H79"/>
    </row>
    <row r="80" spans="1:10" ht="12.75" x14ac:dyDescent="0.2">
      <c r="H80"/>
    </row>
    <row r="81" spans="8:8" ht="12.75" x14ac:dyDescent="0.2">
      <c r="H81"/>
    </row>
    <row r="82" spans="8:8" ht="12.75" x14ac:dyDescent="0.2">
      <c r="H82"/>
    </row>
    <row r="83" spans="8:8" ht="12.75" x14ac:dyDescent="0.2">
      <c r="H83"/>
    </row>
    <row r="84" spans="8:8" ht="12.75" x14ac:dyDescent="0.2">
      <c r="H84"/>
    </row>
    <row r="85" spans="8:8" ht="12.75" x14ac:dyDescent="0.2">
      <c r="H85"/>
    </row>
    <row r="86" spans="8:8" ht="12.75" x14ac:dyDescent="0.2">
      <c r="H86"/>
    </row>
    <row r="87" spans="8:8" ht="12.75" x14ac:dyDescent="0.2">
      <c r="H87"/>
    </row>
  </sheetData>
  <sheetProtection algorithmName="SHA-512" hashValue="ZXIYdmVZ1oPJsLp0Wcl4fZxZzBiOxLgnIHB5PWl2ea7Oov3Aq1sdVu81DAay0PsnOVcVTtGXVGWzI5J+RgowPw==" saltValue="+g+I6Cb05u2xyKm6osEfPQ==" spinCount="100000" sheet="1" objects="1" scenarios="1" autoFilter="0"/>
  <mergeCells count="10">
    <mergeCell ref="A1:H1"/>
    <mergeCell ref="A4:H4"/>
    <mergeCell ref="F7:H7"/>
    <mergeCell ref="F8:H8"/>
    <mergeCell ref="A68:J68"/>
    <mergeCell ref="A2:H2"/>
    <mergeCell ref="A3:H3"/>
    <mergeCell ref="F5:H5"/>
    <mergeCell ref="F6:H6"/>
    <mergeCell ref="I2:I4"/>
  </mergeCells>
  <conditionalFormatting sqref="S1">
    <cfRule type="cellIs" dxfId="72" priority="3" stopIfTrue="1" operator="equal">
      <formula>"na"</formula>
    </cfRule>
  </conditionalFormatting>
  <conditionalFormatting sqref="I2:I4">
    <cfRule type="cellIs" dxfId="71" priority="1" stopIfTrue="1" operator="equal">
      <formula>"na"</formula>
    </cfRule>
  </conditionalFormatting>
  <dataValidations count="3">
    <dataValidation type="list" allowBlank="1" showInputMessage="1" showErrorMessage="1" sqref="A27:A28" xr:uid="{00000000-0002-0000-2500-000002000000}">
      <formula1>CurrentLiabilities</formula1>
    </dataValidation>
    <dataValidation type="list" allowBlank="1" showInputMessage="1" showErrorMessage="1" sqref="A31 A30" xr:uid="{00000000-0002-0000-2500-000003000000}">
      <formula1>NoncurrentLiabilities</formula1>
    </dataValidation>
    <dataValidation type="list" allowBlank="1" showInputMessage="1" showErrorMessage="1" sqref="A25" xr:uid="{00000000-0002-0000-2500-000004000000}">
      <formula1>DeferredOutflows</formula1>
    </dataValidation>
  </dataValidations>
  <hyperlinks>
    <hyperlink ref="A1:H1" location="Index!A1" display="Index!A1" xr:uid="{00000000-0004-0000-2500-000000000000}"/>
  </hyperlinks>
  <pageMargins left="0.6" right="0.6" top="0.5" bottom="0.5" header="0.5" footer="0.38"/>
  <pageSetup scale="79" orientation="portrait" r:id="rId1"/>
  <headerFooter alignWithMargins="0">
    <oddFooter>&amp;R431BTA</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500-000000000000}">
          <x14:formula1>
            <xm:f>Notes!$R$4:$R$21</xm:f>
          </x14:formula1>
          <xm:sqref>A17:A18</xm:sqref>
        </x14:dataValidation>
        <x14:dataValidation type="list" allowBlank="1" showInputMessage="1" showErrorMessage="1" xr:uid="{00000000-0002-0000-2500-000001000000}">
          <x14:formula1>
            <xm:f>Notes!$R$24:$R$32</xm:f>
          </x14:formula1>
          <xm:sqref>A20:A21</xm:sqref>
        </x14:dataValidation>
        <x14:dataValidation type="list" allowBlank="1" showInputMessage="1" showErrorMessage="1" xr:uid="{E5787500-58E2-4D6F-AEE0-FE7E47F3FB35}">
          <x14:formula1>
            <xm:f>Notes!$R$77:$R$82</xm:f>
          </x14:formula1>
          <xm:sqref>A33</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9"/>
  <dimension ref="A1:AP55"/>
  <sheetViews>
    <sheetView showGridLines="0" topLeftCell="B1" zoomScaleNormal="100" workbookViewId="0">
      <selection activeCell="AG27" sqref="AG27"/>
    </sheetView>
  </sheetViews>
  <sheetFormatPr defaultColWidth="9.42578125" defaultRowHeight="15.75" x14ac:dyDescent="0.25"/>
  <cols>
    <col min="1" max="1" width="0" style="46" hidden="1" customWidth="1"/>
    <col min="2" max="2" width="7.5703125" style="46" customWidth="1"/>
    <col min="3" max="3" width="1.5703125" style="46" customWidth="1"/>
    <col min="4" max="4" width="11.42578125" style="46" customWidth="1"/>
    <col min="5" max="5" width="1.5703125" style="46" customWidth="1"/>
    <col min="6" max="6" width="8.5703125" style="46" customWidth="1"/>
    <col min="7" max="7" width="1.5703125" style="46" customWidth="1"/>
    <col min="8" max="8" width="20.5703125" style="46" customWidth="1"/>
    <col min="9" max="9" width="1.5703125" style="46" customWidth="1"/>
    <col min="10" max="10" width="5.42578125" style="46" customWidth="1"/>
    <col min="11" max="11" width="1.5703125" style="46" customWidth="1"/>
    <col min="12" max="12" width="7.5703125" style="46" customWidth="1"/>
    <col min="13" max="13" width="1.5703125" style="46" customWidth="1"/>
    <col min="14" max="14" width="13.42578125" style="46" customWidth="1"/>
    <col min="15" max="15" width="1.5703125" style="46" customWidth="1"/>
    <col min="16" max="16" width="9.5703125" style="46" customWidth="1"/>
    <col min="17" max="17" width="1.5703125" style="46" customWidth="1"/>
    <col min="18" max="18" width="21" style="46" customWidth="1"/>
    <col min="19" max="19" width="0.5703125" style="46" customWidth="1"/>
    <col min="20" max="20" width="5.42578125" style="46" customWidth="1"/>
    <col min="21" max="21" width="4.5703125" style="46" bestFit="1" customWidth="1"/>
    <col min="22" max="35" width="5.42578125" style="46" customWidth="1"/>
    <col min="36" max="39" width="5.42578125" customWidth="1"/>
    <col min="40" max="41" width="5.42578125" style="46" customWidth="1"/>
    <col min="42" max="42" width="5.42578125" customWidth="1"/>
    <col min="43" max="16384" width="9.42578125" style="46"/>
  </cols>
  <sheetData>
    <row r="1" spans="2:40" s="154" customFormat="1" ht="25.15" customHeight="1" x14ac:dyDescent="0.25">
      <c r="B1" s="2449" t="str">
        <f>+Index!$A$1</f>
        <v xml:space="preserve">                                                               Office of the State Controller                                                                </v>
      </c>
      <c r="C1" s="2449"/>
      <c r="D1" s="2449"/>
      <c r="E1" s="2449"/>
      <c r="F1" s="2449"/>
      <c r="G1" s="2449"/>
      <c r="H1" s="2449"/>
      <c r="I1" s="2449"/>
      <c r="J1" s="2449"/>
      <c r="K1" s="2449"/>
      <c r="L1" s="2449"/>
      <c r="M1" s="2449"/>
      <c r="N1" s="2449"/>
      <c r="O1" s="2449"/>
      <c r="P1" s="2449"/>
      <c r="Q1" s="2449"/>
      <c r="R1" s="2449"/>
      <c r="S1" s="2449"/>
      <c r="T1" s="2449"/>
      <c r="U1" s="1423" t="str">
        <f>IF(Index!$B$63="na","NA","")</f>
        <v/>
      </c>
      <c r="V1" s="182"/>
      <c r="W1" s="182"/>
    </row>
    <row r="2" spans="2:40" s="154" customFormat="1" ht="15" customHeight="1" x14ac:dyDescent="0.25">
      <c r="C2" s="208"/>
      <c r="D2" s="208"/>
      <c r="E2" s="208"/>
      <c r="F2" s="208"/>
      <c r="G2" s="208"/>
      <c r="H2" s="208"/>
      <c r="I2" s="208"/>
      <c r="J2" s="208"/>
      <c r="K2" s="208" t="str">
        <f>+Index!$A$2</f>
        <v>2022 ACFR Worksheets</v>
      </c>
      <c r="L2" s="208"/>
      <c r="M2" s="208"/>
      <c r="N2" s="208"/>
      <c r="O2" s="208"/>
      <c r="P2" s="208"/>
      <c r="Q2" s="237"/>
      <c r="R2" s="208"/>
      <c r="S2" s="208"/>
      <c r="T2" s="1587" t="s">
        <v>1091</v>
      </c>
      <c r="U2" s="1423"/>
      <c r="V2" s="182"/>
      <c r="W2" s="182"/>
    </row>
    <row r="3" spans="2:40" s="154" customFormat="1" ht="15" customHeight="1" x14ac:dyDescent="0.25">
      <c r="B3" s="2739" t="s">
        <v>3558</v>
      </c>
      <c r="C3" s="2739"/>
      <c r="D3" s="2739"/>
      <c r="E3" s="2739"/>
      <c r="F3" s="2739"/>
      <c r="G3" s="2739"/>
      <c r="H3" s="2739"/>
      <c r="I3" s="2739"/>
      <c r="J3" s="2739"/>
      <c r="K3" s="2739"/>
      <c r="L3" s="2739"/>
      <c r="M3" s="2739"/>
      <c r="N3" s="2739"/>
      <c r="O3" s="2739"/>
      <c r="P3" s="2739"/>
      <c r="Q3" s="2739"/>
      <c r="R3" s="2739"/>
      <c r="S3" s="2739"/>
      <c r="T3" s="2739"/>
      <c r="U3" s="1423"/>
      <c r="V3" s="182"/>
      <c r="W3" s="182"/>
    </row>
    <row r="4" spans="2:40" s="154" customFormat="1" ht="15" customHeight="1" x14ac:dyDescent="0.25">
      <c r="B4" s="2739" t="s">
        <v>1063</v>
      </c>
      <c r="C4" s="2739"/>
      <c r="D4" s="2739"/>
      <c r="E4" s="2739"/>
      <c r="F4" s="2739"/>
      <c r="G4" s="2739"/>
      <c r="H4" s="2739"/>
      <c r="I4" s="2739"/>
      <c r="J4" s="2739"/>
      <c r="K4" s="2739"/>
      <c r="L4" s="2739"/>
      <c r="M4" s="2739"/>
      <c r="N4" s="2739"/>
      <c r="O4" s="2739"/>
      <c r="P4" s="2739"/>
      <c r="Q4" s="2739"/>
      <c r="R4" s="2739"/>
      <c r="S4" s="2739"/>
      <c r="T4" s="2739"/>
    </row>
    <row r="5" spans="2:40" s="46" customFormat="1" ht="15" customHeight="1" x14ac:dyDescent="0.3">
      <c r="B5" s="152"/>
      <c r="C5" s="152"/>
      <c r="D5" s="152"/>
      <c r="E5" s="152"/>
      <c r="F5" s="153"/>
      <c r="G5" s="153"/>
      <c r="H5" s="153"/>
      <c r="I5" s="153"/>
      <c r="J5" s="153"/>
      <c r="K5" s="152"/>
      <c r="L5" s="153"/>
      <c r="M5" s="153"/>
      <c r="N5" s="153"/>
      <c r="O5" s="153"/>
      <c r="P5" s="153"/>
      <c r="Q5" s="153"/>
      <c r="R5" s="153"/>
      <c r="S5" s="153"/>
      <c r="T5" s="153"/>
    </row>
    <row r="6" spans="2:40" ht="15" customHeight="1" x14ac:dyDescent="0.25">
      <c r="B6" s="47" t="s">
        <v>327</v>
      </c>
      <c r="E6" s="2740" t="str">
        <f>+Index!$E$10</f>
        <v>01</v>
      </c>
      <c r="F6" s="2740"/>
      <c r="G6" s="2740"/>
      <c r="H6" s="2740"/>
      <c r="I6" s="525"/>
      <c r="J6" s="525"/>
      <c r="L6" s="155"/>
      <c r="M6" s="155"/>
      <c r="N6" s="48" t="s">
        <v>972</v>
      </c>
      <c r="O6" s="2738" t="str">
        <f>CONCATENATE(Index!$E$12," ",Index!$E$14)</f>
        <v xml:space="preserve"> </v>
      </c>
      <c r="P6" s="2738"/>
      <c r="Q6" s="2738"/>
      <c r="R6" s="2738"/>
      <c r="S6" s="2738"/>
      <c r="T6" s="2738"/>
    </row>
    <row r="7" spans="2:40" ht="15" customHeight="1" x14ac:dyDescent="0.25">
      <c r="B7" s="47" t="s">
        <v>1154</v>
      </c>
      <c r="E7" s="1096" t="str">
        <f>+Index!$E$11</f>
        <v>North Carolina General Assembly</v>
      </c>
      <c r="F7" s="1096"/>
      <c r="G7" s="1096"/>
      <c r="H7" s="1096"/>
      <c r="I7" s="526"/>
      <c r="J7" s="526"/>
      <c r="K7" s="526"/>
      <c r="L7" s="527"/>
      <c r="N7" s="48" t="s">
        <v>348</v>
      </c>
      <c r="O7" s="2741">
        <f>+Index!$E$13</f>
        <v>0</v>
      </c>
      <c r="P7" s="2741"/>
      <c r="Q7" s="2741"/>
      <c r="R7" s="2741"/>
      <c r="S7" s="2741"/>
      <c r="T7" s="2741"/>
    </row>
    <row r="8" spans="2:40" ht="15" customHeight="1" thickBot="1" x14ac:dyDescent="0.3">
      <c r="B8" s="49"/>
      <c r="C8" s="49"/>
      <c r="D8" s="49"/>
      <c r="E8" s="49"/>
      <c r="F8" s="49"/>
      <c r="G8" s="49"/>
      <c r="H8" s="49"/>
      <c r="I8" s="49"/>
      <c r="J8" s="49"/>
      <c r="K8" s="50"/>
      <c r="L8" s="49"/>
      <c r="M8" s="49"/>
      <c r="N8" s="49"/>
      <c r="O8" s="49"/>
      <c r="P8" s="49"/>
      <c r="Q8" s="49"/>
      <c r="R8" s="49"/>
      <c r="S8" s="49"/>
      <c r="T8" s="49"/>
    </row>
    <row r="9" spans="2:40" s="164" customFormat="1" ht="15" customHeight="1" x14ac:dyDescent="0.2">
      <c r="D9" s="163" t="s">
        <v>1155</v>
      </c>
      <c r="F9" s="163" t="s">
        <v>979</v>
      </c>
      <c r="I9" s="167"/>
      <c r="J9" s="168"/>
      <c r="K9" s="163"/>
      <c r="N9" s="163" t="s">
        <v>1064</v>
      </c>
      <c r="P9" s="163" t="s">
        <v>982</v>
      </c>
      <c r="S9" s="163"/>
      <c r="T9" s="163"/>
    </row>
    <row r="10" spans="2:40" s="164" customFormat="1" ht="15" customHeight="1" x14ac:dyDescent="0.2">
      <c r="D10" s="163" t="s">
        <v>684</v>
      </c>
      <c r="F10" s="163" t="s">
        <v>1157</v>
      </c>
      <c r="I10" s="167"/>
      <c r="J10" s="163"/>
      <c r="K10" s="163"/>
      <c r="N10" s="163" t="s">
        <v>684</v>
      </c>
      <c r="P10" s="163" t="s">
        <v>1157</v>
      </c>
      <c r="S10" s="163"/>
      <c r="T10" s="163"/>
    </row>
    <row r="11" spans="2:40" s="164" customFormat="1" ht="15" customHeight="1" thickBot="1" x14ac:dyDescent="0.25">
      <c r="B11" s="169" t="s">
        <v>1157</v>
      </c>
      <c r="C11" s="163"/>
      <c r="D11" s="170" t="s">
        <v>974</v>
      </c>
      <c r="F11" s="169" t="s">
        <v>808</v>
      </c>
      <c r="H11" s="169" t="s">
        <v>1156</v>
      </c>
      <c r="J11" s="163"/>
      <c r="K11" s="163"/>
      <c r="L11" s="169" t="s">
        <v>1157</v>
      </c>
      <c r="M11" s="163"/>
      <c r="N11" s="170" t="s">
        <v>975</v>
      </c>
      <c r="P11" s="169" t="s">
        <v>808</v>
      </c>
      <c r="R11" s="169" t="s">
        <v>1156</v>
      </c>
      <c r="S11" s="163"/>
      <c r="T11" s="163"/>
      <c r="U11" s="163"/>
      <c r="V11" s="163"/>
      <c r="W11" s="163"/>
    </row>
    <row r="12" spans="2:40" s="164" customFormat="1" ht="15" customHeight="1" x14ac:dyDescent="0.2">
      <c r="B12" s="530"/>
      <c r="C12" s="165"/>
      <c r="D12" s="2341"/>
      <c r="E12" s="165"/>
      <c r="F12" s="763"/>
      <c r="G12" s="165"/>
      <c r="H12" s="531"/>
      <c r="J12" s="1216"/>
      <c r="K12" s="165"/>
      <c r="L12" s="532">
        <f t="shared" ref="L12:L31" si="0">+F12</f>
        <v>0</v>
      </c>
      <c r="M12" s="165"/>
      <c r="N12" s="2341"/>
      <c r="O12" s="165"/>
      <c r="P12" s="532">
        <f t="shared" ref="P12:P31" si="1">+B12</f>
        <v>0</v>
      </c>
      <c r="R12" s="533">
        <f t="shared" ref="R12:R31" si="2">+H12</f>
        <v>0</v>
      </c>
      <c r="T12" s="1216"/>
      <c r="U12" s="552"/>
      <c r="V12" s="553"/>
      <c r="W12" s="553"/>
      <c r="X12" s="553"/>
      <c r="Y12" s="553"/>
      <c r="Z12" s="553"/>
      <c r="AA12" s="553"/>
      <c r="AB12" s="553"/>
      <c r="AG12" s="743"/>
      <c r="AH12" s="744"/>
      <c r="AK12" s="743"/>
      <c r="AM12" s="743"/>
      <c r="AN12" s="744"/>
    </row>
    <row r="13" spans="2:40" s="164" customFormat="1" ht="15" customHeight="1" x14ac:dyDescent="0.2">
      <c r="B13" s="530"/>
      <c r="C13" s="165"/>
      <c r="D13" s="530"/>
      <c r="E13" s="165"/>
      <c r="F13" s="763"/>
      <c r="G13" s="165"/>
      <c r="H13" s="531"/>
      <c r="J13" s="1216"/>
      <c r="K13" s="165"/>
      <c r="L13" s="532">
        <f t="shared" si="0"/>
        <v>0</v>
      </c>
      <c r="M13" s="165"/>
      <c r="N13" s="530"/>
      <c r="O13" s="165"/>
      <c r="P13" s="532">
        <f t="shared" si="1"/>
        <v>0</v>
      </c>
      <c r="R13" s="533">
        <f t="shared" si="2"/>
        <v>0</v>
      </c>
      <c r="T13" s="1216"/>
      <c r="U13" s="552"/>
      <c r="V13" s="553"/>
      <c r="W13" s="553"/>
      <c r="X13" s="553"/>
      <c r="Y13" s="553"/>
      <c r="Z13" s="553"/>
      <c r="AA13" s="553"/>
      <c r="AB13" s="553"/>
      <c r="AG13" s="743"/>
      <c r="AH13" s="744"/>
      <c r="AK13" s="743"/>
      <c r="AM13" s="743"/>
      <c r="AN13" s="744"/>
    </row>
    <row r="14" spans="2:40" s="164" customFormat="1" ht="15" customHeight="1" x14ac:dyDescent="0.2">
      <c r="B14" s="530"/>
      <c r="C14" s="165"/>
      <c r="D14" s="530"/>
      <c r="E14" s="165"/>
      <c r="F14" s="763"/>
      <c r="G14" s="165"/>
      <c r="H14" s="531"/>
      <c r="J14" s="1216"/>
      <c r="K14" s="165"/>
      <c r="L14" s="532">
        <f t="shared" si="0"/>
        <v>0</v>
      </c>
      <c r="M14" s="165"/>
      <c r="N14" s="530"/>
      <c r="O14" s="165"/>
      <c r="P14" s="532">
        <f t="shared" si="1"/>
        <v>0</v>
      </c>
      <c r="R14" s="533">
        <f t="shared" si="2"/>
        <v>0</v>
      </c>
      <c r="T14" s="1216"/>
      <c r="U14" s="552"/>
      <c r="V14" s="553"/>
      <c r="W14" s="553"/>
      <c r="X14" s="553"/>
      <c r="Y14" s="553"/>
      <c r="Z14" s="553"/>
      <c r="AA14" s="553"/>
      <c r="AB14" s="553"/>
      <c r="AG14" s="743"/>
      <c r="AH14" s="744"/>
      <c r="AK14" s="743"/>
      <c r="AM14" s="743"/>
      <c r="AN14" s="744"/>
    </row>
    <row r="15" spans="2:40" s="164" customFormat="1" ht="15" customHeight="1" x14ac:dyDescent="0.2">
      <c r="B15" s="530"/>
      <c r="C15" s="165"/>
      <c r="D15" s="530"/>
      <c r="E15" s="165"/>
      <c r="F15" s="763"/>
      <c r="G15" s="165"/>
      <c r="H15" s="531"/>
      <c r="J15" s="1216"/>
      <c r="K15" s="165"/>
      <c r="L15" s="532">
        <f t="shared" si="0"/>
        <v>0</v>
      </c>
      <c r="M15" s="165"/>
      <c r="N15" s="530"/>
      <c r="O15" s="165"/>
      <c r="P15" s="532">
        <f t="shared" si="1"/>
        <v>0</v>
      </c>
      <c r="R15" s="533">
        <f t="shared" si="2"/>
        <v>0</v>
      </c>
      <c r="T15" s="1216"/>
      <c r="U15" s="552"/>
      <c r="V15" s="553"/>
      <c r="W15" s="553"/>
      <c r="X15" s="553"/>
      <c r="Y15" s="553"/>
      <c r="Z15" s="553"/>
      <c r="AA15" s="553"/>
      <c r="AB15" s="553"/>
      <c r="AG15" s="743"/>
      <c r="AH15" s="744"/>
      <c r="AK15" s="743"/>
      <c r="AM15" s="743"/>
      <c r="AN15" s="744"/>
    </row>
    <row r="16" spans="2:40" s="164" customFormat="1" ht="15" customHeight="1" x14ac:dyDescent="0.2">
      <c r="B16" s="530"/>
      <c r="C16" s="165"/>
      <c r="D16" s="530"/>
      <c r="E16" s="165"/>
      <c r="F16" s="763"/>
      <c r="G16" s="165"/>
      <c r="H16" s="531"/>
      <c r="J16" s="1216"/>
      <c r="K16" s="165"/>
      <c r="L16" s="532">
        <f t="shared" si="0"/>
        <v>0</v>
      </c>
      <c r="M16" s="165"/>
      <c r="N16" s="530"/>
      <c r="O16" s="165"/>
      <c r="P16" s="532">
        <f t="shared" si="1"/>
        <v>0</v>
      </c>
      <c r="R16" s="533">
        <f t="shared" si="2"/>
        <v>0</v>
      </c>
      <c r="T16" s="1216"/>
      <c r="U16" s="552"/>
      <c r="V16" s="553"/>
      <c r="W16" s="553"/>
      <c r="X16" s="553"/>
      <c r="Y16" s="553"/>
      <c r="Z16" s="553"/>
      <c r="AA16" s="553"/>
      <c r="AB16" s="553"/>
      <c r="AG16" s="743"/>
      <c r="AH16" s="744"/>
      <c r="AK16" s="743"/>
      <c r="AM16" s="743"/>
      <c r="AN16" s="744"/>
    </row>
    <row r="17" spans="2:40" s="164" customFormat="1" ht="15" customHeight="1" x14ac:dyDescent="0.2">
      <c r="B17" s="530"/>
      <c r="C17" s="165"/>
      <c r="D17" s="530"/>
      <c r="E17" s="165"/>
      <c r="F17" s="763"/>
      <c r="G17" s="165"/>
      <c r="H17" s="531"/>
      <c r="J17" s="1216"/>
      <c r="K17" s="165"/>
      <c r="L17" s="532">
        <f t="shared" si="0"/>
        <v>0</v>
      </c>
      <c r="M17" s="165"/>
      <c r="N17" s="530"/>
      <c r="O17" s="165"/>
      <c r="P17" s="532">
        <f t="shared" si="1"/>
        <v>0</v>
      </c>
      <c r="R17" s="533">
        <f t="shared" si="2"/>
        <v>0</v>
      </c>
      <c r="T17" s="1216"/>
      <c r="U17" s="552"/>
      <c r="V17" s="553"/>
      <c r="W17" s="553"/>
      <c r="X17" s="553"/>
      <c r="Y17" s="553"/>
      <c r="Z17" s="553"/>
      <c r="AA17" s="553"/>
      <c r="AB17" s="553"/>
      <c r="AG17" s="743"/>
      <c r="AH17" s="744"/>
      <c r="AK17" s="743"/>
      <c r="AM17" s="743"/>
      <c r="AN17" s="744"/>
    </row>
    <row r="18" spans="2:40" s="164" customFormat="1" ht="15" customHeight="1" x14ac:dyDescent="0.2">
      <c r="B18" s="530"/>
      <c r="C18" s="165"/>
      <c r="D18" s="530"/>
      <c r="E18" s="165"/>
      <c r="F18" s="763"/>
      <c r="G18" s="165"/>
      <c r="H18" s="531"/>
      <c r="J18" s="1216"/>
      <c r="K18" s="165"/>
      <c r="L18" s="532">
        <f t="shared" si="0"/>
        <v>0</v>
      </c>
      <c r="M18" s="165"/>
      <c r="N18" s="530"/>
      <c r="O18" s="165"/>
      <c r="P18" s="532">
        <f t="shared" si="1"/>
        <v>0</v>
      </c>
      <c r="R18" s="533">
        <f t="shared" si="2"/>
        <v>0</v>
      </c>
      <c r="T18" s="1216"/>
      <c r="U18" s="552"/>
      <c r="V18" s="553"/>
      <c r="W18" s="553"/>
      <c r="X18" s="553"/>
      <c r="Y18" s="553"/>
      <c r="Z18" s="553"/>
      <c r="AA18" s="553"/>
      <c r="AB18" s="553"/>
      <c r="AG18" s="743"/>
      <c r="AH18" s="744"/>
      <c r="AK18" s="743"/>
      <c r="AM18" s="743"/>
      <c r="AN18" s="744"/>
    </row>
    <row r="19" spans="2:40" s="164" customFormat="1" ht="15" customHeight="1" x14ac:dyDescent="0.2">
      <c r="B19" s="530"/>
      <c r="C19" s="165"/>
      <c r="D19" s="530"/>
      <c r="E19" s="165"/>
      <c r="F19" s="763"/>
      <c r="G19" s="165"/>
      <c r="H19" s="531"/>
      <c r="J19" s="1216"/>
      <c r="K19" s="165"/>
      <c r="L19" s="532">
        <f t="shared" si="0"/>
        <v>0</v>
      </c>
      <c r="M19" s="165"/>
      <c r="N19" s="530"/>
      <c r="O19" s="165"/>
      <c r="P19" s="532">
        <f t="shared" si="1"/>
        <v>0</v>
      </c>
      <c r="R19" s="533">
        <f t="shared" si="2"/>
        <v>0</v>
      </c>
      <c r="T19" s="1216"/>
      <c r="U19" s="552"/>
      <c r="V19" s="553"/>
      <c r="W19" s="553"/>
      <c r="X19" s="553"/>
      <c r="Y19" s="553"/>
      <c r="Z19" s="553"/>
      <c r="AA19" s="553"/>
      <c r="AB19" s="553"/>
      <c r="AG19" s="743"/>
      <c r="AH19" s="744"/>
      <c r="AK19" s="743"/>
      <c r="AM19" s="743"/>
      <c r="AN19" s="744"/>
    </row>
    <row r="20" spans="2:40" s="164" customFormat="1" ht="15" customHeight="1" x14ac:dyDescent="0.2">
      <c r="B20" s="530"/>
      <c r="C20" s="165"/>
      <c r="D20" s="530"/>
      <c r="E20" s="165"/>
      <c r="F20" s="763"/>
      <c r="G20" s="165"/>
      <c r="H20" s="531"/>
      <c r="J20" s="1216"/>
      <c r="K20" s="165"/>
      <c r="L20" s="532">
        <f t="shared" si="0"/>
        <v>0</v>
      </c>
      <c r="M20" s="165"/>
      <c r="N20" s="530"/>
      <c r="O20" s="165"/>
      <c r="P20" s="532">
        <f t="shared" si="1"/>
        <v>0</v>
      </c>
      <c r="R20" s="533">
        <f t="shared" si="2"/>
        <v>0</v>
      </c>
      <c r="T20" s="1216"/>
      <c r="U20" s="552"/>
      <c r="V20" s="553"/>
      <c r="W20" s="553"/>
      <c r="X20" s="553"/>
      <c r="Y20" s="553"/>
      <c r="Z20" s="553"/>
      <c r="AA20" s="553"/>
      <c r="AB20" s="553"/>
      <c r="AG20" s="743"/>
      <c r="AH20" s="744"/>
      <c r="AK20" s="743"/>
      <c r="AM20" s="743"/>
      <c r="AN20" s="744"/>
    </row>
    <row r="21" spans="2:40" s="164" customFormat="1" ht="15" customHeight="1" x14ac:dyDescent="0.2">
      <c r="B21" s="530"/>
      <c r="C21" s="165"/>
      <c r="D21" s="530"/>
      <c r="E21" s="165"/>
      <c r="F21" s="763"/>
      <c r="G21" s="165"/>
      <c r="H21" s="531"/>
      <c r="J21" s="1216"/>
      <c r="K21" s="165"/>
      <c r="L21" s="532">
        <f t="shared" si="0"/>
        <v>0</v>
      </c>
      <c r="M21" s="165"/>
      <c r="N21" s="530"/>
      <c r="O21" s="165"/>
      <c r="P21" s="532">
        <f t="shared" si="1"/>
        <v>0</v>
      </c>
      <c r="R21" s="533">
        <f t="shared" si="2"/>
        <v>0</v>
      </c>
      <c r="T21" s="1216"/>
      <c r="U21" s="552"/>
      <c r="V21" s="553"/>
      <c r="W21" s="553"/>
      <c r="X21" s="553"/>
      <c r="Y21" s="553"/>
      <c r="Z21" s="553"/>
      <c r="AA21" s="553"/>
      <c r="AB21" s="553"/>
      <c r="AG21" s="743"/>
      <c r="AH21" s="744"/>
      <c r="AK21" s="743"/>
      <c r="AM21" s="743"/>
      <c r="AN21" s="744"/>
    </row>
    <row r="22" spans="2:40" s="164" customFormat="1" ht="15" customHeight="1" x14ac:dyDescent="0.2">
      <c r="B22" s="530"/>
      <c r="C22" s="165"/>
      <c r="D22" s="530"/>
      <c r="E22" s="165"/>
      <c r="F22" s="763"/>
      <c r="G22" s="165"/>
      <c r="H22" s="531"/>
      <c r="J22" s="1216"/>
      <c r="K22" s="165"/>
      <c r="L22" s="532">
        <f t="shared" si="0"/>
        <v>0</v>
      </c>
      <c r="M22" s="165"/>
      <c r="N22" s="530"/>
      <c r="O22" s="165"/>
      <c r="P22" s="532">
        <f t="shared" si="1"/>
        <v>0</v>
      </c>
      <c r="R22" s="533">
        <f t="shared" si="2"/>
        <v>0</v>
      </c>
      <c r="T22" s="1216"/>
      <c r="U22" s="552"/>
      <c r="V22" s="553"/>
      <c r="W22" s="553"/>
      <c r="X22" s="553"/>
      <c r="Y22" s="553"/>
      <c r="Z22" s="553"/>
      <c r="AA22" s="553"/>
      <c r="AB22" s="553"/>
      <c r="AG22" s="743"/>
      <c r="AH22" s="744"/>
      <c r="AK22" s="743"/>
      <c r="AM22" s="743"/>
      <c r="AN22" s="744"/>
    </row>
    <row r="23" spans="2:40" s="164" customFormat="1" ht="15" customHeight="1" x14ac:dyDescent="0.2">
      <c r="B23" s="530"/>
      <c r="C23" s="165"/>
      <c r="D23" s="530"/>
      <c r="E23" s="165"/>
      <c r="F23" s="763"/>
      <c r="G23" s="165"/>
      <c r="H23" s="531"/>
      <c r="J23" s="1216"/>
      <c r="K23" s="165"/>
      <c r="L23" s="532">
        <f t="shared" si="0"/>
        <v>0</v>
      </c>
      <c r="M23" s="165"/>
      <c r="N23" s="530"/>
      <c r="O23" s="165"/>
      <c r="P23" s="532">
        <f t="shared" si="1"/>
        <v>0</v>
      </c>
      <c r="R23" s="533">
        <f t="shared" si="2"/>
        <v>0</v>
      </c>
      <c r="T23" s="1216"/>
      <c r="U23" s="552"/>
      <c r="V23" s="553"/>
      <c r="W23" s="553"/>
      <c r="X23" s="553"/>
      <c r="Y23" s="553"/>
      <c r="Z23" s="553"/>
      <c r="AA23" s="553"/>
      <c r="AB23" s="553"/>
      <c r="AG23" s="743"/>
      <c r="AH23" s="744"/>
      <c r="AK23" s="743"/>
      <c r="AM23" s="743"/>
      <c r="AN23" s="744"/>
    </row>
    <row r="24" spans="2:40" s="164" customFormat="1" ht="15" customHeight="1" x14ac:dyDescent="0.2">
      <c r="B24" s="530"/>
      <c r="C24" s="165"/>
      <c r="D24" s="530"/>
      <c r="E24" s="165"/>
      <c r="F24" s="763"/>
      <c r="G24" s="165"/>
      <c r="H24" s="531"/>
      <c r="J24" s="1216"/>
      <c r="K24" s="165"/>
      <c r="L24" s="532">
        <f t="shared" si="0"/>
        <v>0</v>
      </c>
      <c r="M24" s="165"/>
      <c r="N24" s="530"/>
      <c r="O24" s="165"/>
      <c r="P24" s="532">
        <f t="shared" si="1"/>
        <v>0</v>
      </c>
      <c r="R24" s="533">
        <f t="shared" si="2"/>
        <v>0</v>
      </c>
      <c r="T24" s="1216"/>
      <c r="U24" s="552"/>
      <c r="V24" s="553"/>
      <c r="W24" s="553"/>
      <c r="X24" s="553"/>
      <c r="Y24" s="553"/>
      <c r="Z24" s="553"/>
      <c r="AA24" s="553"/>
      <c r="AB24" s="553"/>
      <c r="AG24" s="743"/>
      <c r="AH24" s="744"/>
      <c r="AK24" s="743"/>
      <c r="AM24" s="743"/>
      <c r="AN24" s="744"/>
    </row>
    <row r="25" spans="2:40" s="164" customFormat="1" ht="15" customHeight="1" x14ac:dyDescent="0.2">
      <c r="B25" s="530"/>
      <c r="C25" s="165"/>
      <c r="D25" s="530"/>
      <c r="E25" s="165"/>
      <c r="F25" s="763"/>
      <c r="G25" s="165"/>
      <c r="H25" s="531"/>
      <c r="J25" s="1216"/>
      <c r="K25" s="165"/>
      <c r="L25" s="532">
        <f t="shared" si="0"/>
        <v>0</v>
      </c>
      <c r="M25" s="165"/>
      <c r="N25" s="530"/>
      <c r="O25" s="165"/>
      <c r="P25" s="532">
        <f t="shared" si="1"/>
        <v>0</v>
      </c>
      <c r="R25" s="533">
        <f t="shared" si="2"/>
        <v>0</v>
      </c>
      <c r="T25" s="1216"/>
      <c r="U25" s="552"/>
      <c r="V25" s="553"/>
      <c r="W25" s="553"/>
      <c r="X25" s="553"/>
      <c r="Y25" s="553"/>
      <c r="Z25" s="553"/>
      <c r="AA25" s="553"/>
      <c r="AB25" s="553"/>
      <c r="AG25" s="743"/>
      <c r="AH25" s="744"/>
      <c r="AK25" s="743"/>
      <c r="AM25" s="743"/>
      <c r="AN25" s="744"/>
    </row>
    <row r="26" spans="2:40" s="164" customFormat="1" ht="15" customHeight="1" x14ac:dyDescent="0.2">
      <c r="B26" s="530"/>
      <c r="C26" s="165"/>
      <c r="D26" s="530"/>
      <c r="E26" s="165"/>
      <c r="F26" s="763"/>
      <c r="G26" s="165"/>
      <c r="H26" s="531"/>
      <c r="J26" s="1216"/>
      <c r="K26" s="165"/>
      <c r="L26" s="532">
        <f t="shared" si="0"/>
        <v>0</v>
      </c>
      <c r="M26" s="165"/>
      <c r="N26" s="530"/>
      <c r="O26" s="165"/>
      <c r="P26" s="532">
        <f t="shared" si="1"/>
        <v>0</v>
      </c>
      <c r="R26" s="533">
        <f t="shared" si="2"/>
        <v>0</v>
      </c>
      <c r="T26" s="1216"/>
      <c r="U26" s="552"/>
      <c r="V26" s="553"/>
      <c r="W26" s="553"/>
      <c r="X26" s="553"/>
      <c r="Y26" s="553"/>
      <c r="Z26" s="553"/>
      <c r="AA26" s="553"/>
      <c r="AB26" s="553"/>
      <c r="AG26" s="743"/>
      <c r="AH26" s="744"/>
      <c r="AK26" s="743"/>
      <c r="AM26" s="743"/>
      <c r="AN26" s="744"/>
    </row>
    <row r="27" spans="2:40" s="164" customFormat="1" ht="15" customHeight="1" x14ac:dyDescent="0.2">
      <c r="B27" s="530"/>
      <c r="C27" s="165"/>
      <c r="D27" s="530"/>
      <c r="E27" s="165"/>
      <c r="F27" s="763"/>
      <c r="G27" s="165"/>
      <c r="H27" s="531"/>
      <c r="J27" s="1216"/>
      <c r="K27" s="165"/>
      <c r="L27" s="532">
        <f t="shared" si="0"/>
        <v>0</v>
      </c>
      <c r="M27" s="165"/>
      <c r="N27" s="530"/>
      <c r="O27" s="165"/>
      <c r="P27" s="532">
        <f t="shared" si="1"/>
        <v>0</v>
      </c>
      <c r="R27" s="533">
        <f t="shared" si="2"/>
        <v>0</v>
      </c>
      <c r="T27" s="1216"/>
      <c r="U27" s="552"/>
      <c r="V27" s="553"/>
      <c r="W27" s="553"/>
      <c r="X27" s="553"/>
      <c r="Y27" s="553"/>
      <c r="Z27" s="553"/>
      <c r="AA27" s="553"/>
      <c r="AB27" s="553"/>
      <c r="AG27" s="743"/>
      <c r="AH27" s="744"/>
      <c r="AK27" s="743"/>
      <c r="AM27" s="743"/>
      <c r="AN27" s="744"/>
    </row>
    <row r="28" spans="2:40" s="164" customFormat="1" ht="15" customHeight="1" x14ac:dyDescent="0.2">
      <c r="B28" s="530"/>
      <c r="C28" s="165"/>
      <c r="D28" s="530"/>
      <c r="E28" s="165"/>
      <c r="F28" s="763"/>
      <c r="G28" s="165"/>
      <c r="H28" s="531"/>
      <c r="J28" s="1216"/>
      <c r="K28" s="165"/>
      <c r="L28" s="532">
        <f t="shared" si="0"/>
        <v>0</v>
      </c>
      <c r="M28" s="165"/>
      <c r="N28" s="530"/>
      <c r="O28" s="165"/>
      <c r="P28" s="532">
        <f t="shared" si="1"/>
        <v>0</v>
      </c>
      <c r="R28" s="533">
        <f t="shared" si="2"/>
        <v>0</v>
      </c>
      <c r="T28" s="1216"/>
      <c r="U28" s="552"/>
      <c r="V28" s="553"/>
      <c r="W28" s="553"/>
      <c r="X28" s="553"/>
      <c r="Y28" s="553"/>
      <c r="Z28" s="553"/>
      <c r="AA28" s="553"/>
      <c r="AB28" s="553"/>
      <c r="AG28" s="743"/>
      <c r="AH28" s="744"/>
      <c r="AK28" s="743"/>
      <c r="AM28" s="743"/>
      <c r="AN28" s="744"/>
    </row>
    <row r="29" spans="2:40" s="164" customFormat="1" ht="15" customHeight="1" x14ac:dyDescent="0.2">
      <c r="B29" s="530"/>
      <c r="C29" s="165"/>
      <c r="D29" s="530"/>
      <c r="E29" s="165"/>
      <c r="F29" s="763"/>
      <c r="G29" s="165"/>
      <c r="H29" s="531"/>
      <c r="J29" s="1216"/>
      <c r="K29" s="165"/>
      <c r="L29" s="532">
        <f t="shared" si="0"/>
        <v>0</v>
      </c>
      <c r="M29" s="165"/>
      <c r="N29" s="530"/>
      <c r="O29" s="165"/>
      <c r="P29" s="532">
        <f t="shared" si="1"/>
        <v>0</v>
      </c>
      <c r="R29" s="533">
        <f t="shared" si="2"/>
        <v>0</v>
      </c>
      <c r="T29" s="1216"/>
      <c r="U29" s="552"/>
      <c r="V29" s="553"/>
      <c r="W29" s="553"/>
      <c r="X29" s="553"/>
      <c r="Y29" s="553"/>
      <c r="Z29" s="553"/>
      <c r="AA29" s="553"/>
      <c r="AB29" s="553"/>
      <c r="AG29" s="743"/>
      <c r="AH29" s="744"/>
      <c r="AK29" s="743"/>
      <c r="AM29" s="743"/>
      <c r="AN29" s="744"/>
    </row>
    <row r="30" spans="2:40" s="164" customFormat="1" ht="15" customHeight="1" x14ac:dyDescent="0.2">
      <c r="B30" s="530"/>
      <c r="C30" s="165"/>
      <c r="D30" s="530"/>
      <c r="E30" s="165"/>
      <c r="F30" s="763"/>
      <c r="G30" s="165"/>
      <c r="H30" s="531"/>
      <c r="J30" s="1216"/>
      <c r="K30" s="165"/>
      <c r="L30" s="532">
        <f t="shared" si="0"/>
        <v>0</v>
      </c>
      <c r="M30" s="165"/>
      <c r="N30" s="530"/>
      <c r="O30" s="165"/>
      <c r="P30" s="532">
        <f t="shared" si="1"/>
        <v>0</v>
      </c>
      <c r="R30" s="533">
        <f t="shared" si="2"/>
        <v>0</v>
      </c>
      <c r="T30" s="1216"/>
      <c r="U30" s="552"/>
      <c r="V30" s="553"/>
      <c r="W30" s="553"/>
      <c r="X30" s="553"/>
      <c r="Y30" s="553"/>
      <c r="Z30" s="553"/>
      <c r="AA30" s="553"/>
      <c r="AB30" s="553"/>
      <c r="AG30" s="743"/>
      <c r="AH30" s="744"/>
      <c r="AK30" s="743"/>
      <c r="AM30" s="743"/>
      <c r="AN30" s="744"/>
    </row>
    <row r="31" spans="2:40" s="164" customFormat="1" ht="15" customHeight="1" x14ac:dyDescent="0.2">
      <c r="B31" s="530"/>
      <c r="C31" s="165"/>
      <c r="D31" s="530"/>
      <c r="E31" s="165"/>
      <c r="F31" s="763"/>
      <c r="G31" s="165"/>
      <c r="H31" s="531"/>
      <c r="J31" s="1216"/>
      <c r="K31" s="165"/>
      <c r="L31" s="532">
        <f t="shared" si="0"/>
        <v>0</v>
      </c>
      <c r="M31" s="165"/>
      <c r="N31" s="530"/>
      <c r="O31" s="165"/>
      <c r="P31" s="532">
        <f t="shared" si="1"/>
        <v>0</v>
      </c>
      <c r="R31" s="533">
        <f t="shared" si="2"/>
        <v>0</v>
      </c>
      <c r="T31" s="1216"/>
      <c r="U31" s="552"/>
      <c r="V31" s="553"/>
      <c r="W31" s="553"/>
      <c r="X31" s="553"/>
      <c r="Y31" s="553"/>
      <c r="Z31" s="553"/>
      <c r="AA31" s="553"/>
      <c r="AB31" s="553"/>
      <c r="AG31" s="743"/>
      <c r="AH31" s="744"/>
      <c r="AK31" s="743"/>
      <c r="AM31" s="743"/>
      <c r="AN31" s="744"/>
    </row>
    <row r="32" spans="2:40" s="164" customFormat="1" ht="15" customHeight="1" thickBot="1" x14ac:dyDescent="0.25">
      <c r="D32" s="163" t="s">
        <v>976</v>
      </c>
      <c r="E32" s="163"/>
      <c r="F32" s="163"/>
      <c r="G32" s="163"/>
      <c r="H32" s="166">
        <f>SUM(H12:H31)</f>
        <v>0</v>
      </c>
      <c r="N32" s="163" t="s">
        <v>977</v>
      </c>
      <c r="O32" s="163"/>
      <c r="P32" s="163"/>
      <c r="Q32" s="163"/>
      <c r="R32" s="166">
        <f>SUM(R12:R31)</f>
        <v>0</v>
      </c>
      <c r="U32" s="553"/>
      <c r="V32" s="553"/>
      <c r="W32" s="553"/>
      <c r="X32" s="553"/>
      <c r="Y32" s="553"/>
      <c r="Z32" s="553"/>
      <c r="AA32" s="553"/>
      <c r="AB32" s="553"/>
    </row>
    <row r="33" spans="1:23" s="164" customFormat="1" ht="18" customHeight="1" x14ac:dyDescent="0.2">
      <c r="D33" s="163" t="s">
        <v>973</v>
      </c>
      <c r="E33" s="163"/>
      <c r="F33" s="163"/>
      <c r="G33" s="163"/>
      <c r="H33" s="163" t="s">
        <v>978</v>
      </c>
      <c r="N33" s="2737" t="str">
        <f>IF(R33&lt;&gt;0,"Out of Balance","")</f>
        <v/>
      </c>
      <c r="O33" s="2737"/>
      <c r="P33" s="2737"/>
      <c r="Q33" s="528"/>
      <c r="R33" s="529">
        <f>+H32-R32</f>
        <v>0</v>
      </c>
    </row>
    <row r="34" spans="1:23" s="164" customFormat="1" ht="15" customHeight="1" x14ac:dyDescent="0.2">
      <c r="B34" s="263" t="s">
        <v>771</v>
      </c>
      <c r="D34" s="163"/>
      <c r="E34" s="163"/>
      <c r="F34" s="163"/>
      <c r="G34" s="163"/>
      <c r="K34" s="163"/>
      <c r="O34" s="163"/>
      <c r="P34" s="163"/>
      <c r="Q34" s="163"/>
    </row>
    <row r="35" spans="1:23" s="164" customFormat="1" ht="15" customHeight="1" x14ac:dyDescent="0.2">
      <c r="B35" s="168" t="s">
        <v>5537</v>
      </c>
      <c r="D35" s="163"/>
      <c r="E35" s="163"/>
      <c r="F35" s="163"/>
      <c r="G35" s="163"/>
      <c r="K35" s="163"/>
      <c r="O35" s="163"/>
      <c r="P35" s="163"/>
      <c r="Q35" s="163"/>
    </row>
    <row r="36" spans="1:23" s="164" customFormat="1" ht="15" customHeight="1" x14ac:dyDescent="0.2">
      <c r="B36" s="168"/>
      <c r="D36" s="163"/>
      <c r="E36" s="163"/>
      <c r="F36" s="163"/>
      <c r="G36" s="163"/>
      <c r="K36" s="163"/>
      <c r="O36" s="163"/>
      <c r="P36" s="163"/>
      <c r="Q36" s="163"/>
    </row>
    <row r="37" spans="1:23" s="164" customFormat="1" ht="15" customHeight="1" x14ac:dyDescent="0.2">
      <c r="D37" s="163"/>
      <c r="E37" s="163"/>
      <c r="F37" s="163"/>
      <c r="G37" s="163"/>
      <c r="K37" s="163"/>
      <c r="O37" s="163"/>
      <c r="P37" s="163"/>
      <c r="Q37" s="163"/>
    </row>
    <row r="38" spans="1:23" s="164" customFormat="1" ht="15" customHeight="1" x14ac:dyDescent="0.2">
      <c r="A38" s="443" t="str">
        <f ca="1">MID(CELL("filename",A1),FIND("]",CELL("filename",A1))+1,256)</f>
        <v>501</v>
      </c>
      <c r="B38" s="443" t="s">
        <v>449</v>
      </c>
      <c r="D38" s="163"/>
      <c r="E38" s="163"/>
      <c r="F38" s="163"/>
      <c r="G38" s="163"/>
      <c r="K38" s="163"/>
      <c r="O38" s="163"/>
      <c r="P38" s="163"/>
      <c r="Q38" s="163"/>
    </row>
    <row r="39" spans="1:23" s="164" customFormat="1" ht="15" customHeight="1" x14ac:dyDescent="0.2">
      <c r="A39" s="443" t="s">
        <v>446</v>
      </c>
      <c r="B39" s="443" t="str">
        <f t="shared" ref="B39:B48" ca="1" si="3">IF(ISNA(INDEX(ErrorTable,MATCH($A$38&amp;$A39&amp;FALSE,ErrorKey,0),6)),"",INDEX(ErrorTable,MATCH($A$38&amp;$A39&amp;FALSE,ErrorKey,0),6))</f>
        <v/>
      </c>
      <c r="D39" s="163"/>
      <c r="E39" s="163"/>
      <c r="F39" s="163"/>
      <c r="G39" s="163"/>
      <c r="K39" s="163"/>
      <c r="O39" s="163"/>
      <c r="P39" s="163"/>
      <c r="Q39" s="163"/>
    </row>
    <row r="40" spans="1:23" s="164" customFormat="1" ht="15" customHeight="1" x14ac:dyDescent="0.2">
      <c r="A40" s="443" t="s">
        <v>447</v>
      </c>
      <c r="B40" s="443" t="str">
        <f t="shared" ca="1" si="3"/>
        <v/>
      </c>
      <c r="D40" s="163"/>
      <c r="E40" s="163"/>
      <c r="F40" s="163"/>
      <c r="G40" s="163"/>
      <c r="K40" s="163"/>
      <c r="O40" s="163"/>
      <c r="P40" s="163"/>
      <c r="Q40" s="163"/>
    </row>
    <row r="41" spans="1:23" s="164" customFormat="1" ht="15" customHeight="1" x14ac:dyDescent="0.2">
      <c r="A41" s="443" t="s">
        <v>448</v>
      </c>
      <c r="B41" s="443" t="str">
        <f t="shared" ca="1" si="3"/>
        <v/>
      </c>
      <c r="D41" s="163"/>
      <c r="E41" s="163"/>
      <c r="F41" s="163"/>
      <c r="G41" s="163"/>
      <c r="K41" s="163"/>
      <c r="O41" s="163"/>
      <c r="P41" s="163"/>
      <c r="Q41" s="163"/>
    </row>
    <row r="42" spans="1:23" s="164" customFormat="1" ht="15" customHeight="1" x14ac:dyDescent="0.2">
      <c r="A42" s="443" t="s">
        <v>450</v>
      </c>
      <c r="B42" s="443" t="str">
        <f t="shared" ca="1" si="3"/>
        <v/>
      </c>
      <c r="D42" s="163"/>
      <c r="E42" s="163"/>
      <c r="F42" s="163"/>
      <c r="G42" s="163"/>
      <c r="K42" s="163"/>
      <c r="O42" s="163"/>
      <c r="P42" s="163"/>
      <c r="Q42" s="163"/>
    </row>
    <row r="43" spans="1:23" ht="20.85" customHeight="1" x14ac:dyDescent="0.25">
      <c r="A43" s="443" t="s">
        <v>451</v>
      </c>
      <c r="B43" s="443" t="str">
        <f t="shared" ca="1" si="3"/>
        <v/>
      </c>
    </row>
    <row r="44" spans="1:23" ht="20.85" customHeight="1" x14ac:dyDescent="0.25">
      <c r="A44" s="443" t="s">
        <v>452</v>
      </c>
      <c r="B44" s="443" t="str">
        <f t="shared" ca="1" si="3"/>
        <v/>
      </c>
      <c r="D44" s="52" t="s">
        <v>973</v>
      </c>
      <c r="E44" s="52"/>
      <c r="F44" s="52"/>
      <c r="G44" s="52"/>
      <c r="H44" s="52"/>
      <c r="I44" s="52"/>
      <c r="J44" s="52"/>
      <c r="K44" s="52"/>
      <c r="L44" s="52"/>
      <c r="M44" s="52"/>
    </row>
    <row r="45" spans="1:23" ht="20.85" customHeight="1" x14ac:dyDescent="0.25">
      <c r="A45" s="443" t="s">
        <v>453</v>
      </c>
      <c r="B45" s="443" t="str">
        <f t="shared" ca="1" si="3"/>
        <v/>
      </c>
      <c r="D45" s="52" t="s">
        <v>973</v>
      </c>
      <c r="E45" s="52"/>
      <c r="F45" s="52"/>
      <c r="G45" s="52"/>
      <c r="M45" s="52"/>
      <c r="N45" s="51" t="s">
        <v>973</v>
      </c>
      <c r="O45" s="51"/>
      <c r="P45" s="51"/>
      <c r="Q45" s="51"/>
      <c r="U45" s="52" t="s">
        <v>973</v>
      </c>
      <c r="V45" s="52"/>
      <c r="W45" s="52"/>
    </row>
    <row r="46" spans="1:23" ht="20.85" customHeight="1" x14ac:dyDescent="0.25">
      <c r="A46" s="443" t="s">
        <v>454</v>
      </c>
      <c r="B46" s="443" t="str">
        <f t="shared" ca="1" si="3"/>
        <v/>
      </c>
    </row>
    <row r="47" spans="1:23" ht="20.85" customHeight="1" x14ac:dyDescent="0.25">
      <c r="A47" s="443" t="s">
        <v>455</v>
      </c>
      <c r="B47" s="443" t="str">
        <f t="shared" ca="1" si="3"/>
        <v/>
      </c>
    </row>
    <row r="48" spans="1:23" ht="20.85" customHeight="1" x14ac:dyDescent="0.25">
      <c r="A48" s="443" t="s">
        <v>456</v>
      </c>
      <c r="B48" s="443" t="str">
        <f t="shared" ca="1" si="3"/>
        <v/>
      </c>
    </row>
    <row r="49" spans="4:23" ht="20.85" customHeight="1" x14ac:dyDescent="0.25"/>
    <row r="50" spans="4:23" ht="20.85" customHeight="1" x14ac:dyDescent="0.25"/>
    <row r="51" spans="4:23" ht="20.85" customHeight="1" x14ac:dyDescent="0.25"/>
    <row r="52" spans="4:23" ht="20.85" customHeight="1" x14ac:dyDescent="0.25">
      <c r="D52" s="46" t="s">
        <v>973</v>
      </c>
    </row>
    <row r="53" spans="4:23" ht="20.85" customHeight="1" x14ac:dyDescent="0.25"/>
    <row r="54" spans="4:23" ht="20.85" customHeight="1" x14ac:dyDescent="0.25"/>
    <row r="55" spans="4:23" ht="20.85" customHeight="1" x14ac:dyDescent="0.25">
      <c r="D55" s="52" t="s">
        <v>973</v>
      </c>
      <c r="E55" s="52"/>
      <c r="F55" s="52"/>
      <c r="G55" s="52"/>
      <c r="M55" s="52"/>
      <c r="N55" s="51" t="s">
        <v>973</v>
      </c>
      <c r="O55" s="51"/>
      <c r="P55" s="51"/>
      <c r="Q55" s="51"/>
      <c r="U55" s="52" t="s">
        <v>973</v>
      </c>
      <c r="V55" s="52"/>
      <c r="W55" s="52"/>
    </row>
  </sheetData>
  <sheetProtection algorithmName="SHA-512" hashValue="NmSjOmaWTdEbroqOFrzzKlVxiyRu2IPwFY62F081l3hHKxXr2FJJJ0HLeOFMEVwrAp7dc+ayz3RVg8qvophRig==" saltValue="DhmrkC1Ps05p9EdE018zkw==" spinCount="100000" sheet="1" objects="1" scenarios="1" autoFilter="0"/>
  <dataConsolidate link="1"/>
  <customSheetViews>
    <customSheetView guid="{B08879A4-635B-4C39-9937-AC7883D562FC}" showGridLines="0" hiddenColumns="1" topLeftCell="B1">
      <selection activeCell="B12" sqref="B12"/>
      <pageMargins left="0.5" right="0.5" top="0.75" bottom="0.5" header="0.5" footer="0.5"/>
      <printOptions horizontalCentered="1"/>
      <pageSetup orientation="landscape" blackAndWhite="1" r:id="rId1"/>
      <headerFooter alignWithMargins="0">
        <oddFooter>&amp;R&amp;A</oddFooter>
      </headerFooter>
    </customSheetView>
    <customSheetView guid="{1250FD07-FF56-4A9D-AF9E-C27124A7EBE9}" showGridLines="0" fitToPage="1" hiddenColumns="1" showRuler="0">
      <selection sqref="A1:U1"/>
      <pageMargins left="0.5" right="0.5" top="0.75" bottom="0.5" header="0.5" footer="0.5"/>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hiddenColumns="1" showRuler="0">
      <selection sqref="A1:U1"/>
      <pageMargins left="0.5" right="0.5" top="0.75" bottom="0.5" header="0.5" footer="0.5"/>
      <printOptions horizontalCentered="1"/>
      <pageSetup orientation="landscape" blackAndWhite="1" horizontalDpi="300" verticalDpi="300" r:id="rId3"/>
      <headerFooter alignWithMargins="0">
        <oddFooter>&amp;R&amp;A</oddFooter>
      </headerFooter>
    </customSheetView>
    <customSheetView guid="{9FCFC836-1CA5-48BF-958D-24D2EA94B219}" showGridLines="0" hiddenColumns="1" topLeftCell="B1">
      <selection activeCell="B12" sqref="B12"/>
      <pageMargins left="0.5" right="0.5" top="0.75" bottom="0.5" header="0.5" footer="0.5"/>
      <printOptions horizontalCentered="1"/>
      <pageSetup orientation="landscape" blackAndWhite="1" r:id="rId4"/>
      <headerFooter alignWithMargins="0">
        <oddFooter>&amp;R&amp;A</oddFooter>
      </headerFooter>
    </customSheetView>
  </customSheetViews>
  <mergeCells count="7">
    <mergeCell ref="N33:P33"/>
    <mergeCell ref="O6:T6"/>
    <mergeCell ref="B1:T1"/>
    <mergeCell ref="B3:T3"/>
    <mergeCell ref="B4:T4"/>
    <mergeCell ref="E6:H6"/>
    <mergeCell ref="O7:T7"/>
  </mergeCells>
  <phoneticPr fontId="15" type="noConversion"/>
  <conditionalFormatting sqref="U1:W3">
    <cfRule type="cellIs" dxfId="70" priority="1" stopIfTrue="1" operator="equal">
      <formula>"na"</formula>
    </cfRule>
  </conditionalFormatting>
  <dataValidations count="1">
    <dataValidation type="textLength" operator="equal" allowBlank="1" showInputMessage="1" showErrorMessage="1" errorTitle="Invalid data!" error="GASB number must be 4 digits." sqref="B12:B31" xr:uid="{00000000-0002-0000-2600-000000000000}">
      <formula1>4</formula1>
    </dataValidation>
  </dataValidations>
  <hyperlinks>
    <hyperlink ref="B1:T1" location="Index!A1" display="Index!A1" xr:uid="{00000000-0004-0000-2600-000000000000}"/>
  </hyperlinks>
  <printOptions horizontalCentered="1"/>
  <pageMargins left="0.5" right="0.5" top="0.75" bottom="0.5" header="0.5" footer="0.5"/>
  <pageSetup scale="99" orientation="landscape" blackAndWhite="1" r:id="rId5"/>
  <headerFooter alignWithMargins="0">
    <oddFooter>&amp;R&amp;A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dimension ref="A1:S51"/>
  <sheetViews>
    <sheetView showGridLines="0" topLeftCell="B1" zoomScaleNormal="100" workbookViewId="0">
      <selection activeCell="V21" sqref="V21"/>
    </sheetView>
  </sheetViews>
  <sheetFormatPr defaultColWidth="9.42578125" defaultRowHeight="15.75" x14ac:dyDescent="0.25"/>
  <cols>
    <col min="1" max="1" width="0" style="845" hidden="1" customWidth="1"/>
    <col min="2" max="2" width="13.42578125" style="845" customWidth="1"/>
    <col min="3" max="3" width="1" style="845" customWidth="1"/>
    <col min="4" max="4" width="11.42578125" style="845" customWidth="1"/>
    <col min="5" max="5" width="1" style="845" customWidth="1"/>
    <col min="6" max="6" width="9.85546875" style="845" customWidth="1"/>
    <col min="7" max="7" width="1" style="845" customWidth="1"/>
    <col min="8" max="8" width="20.85546875" style="845" customWidth="1"/>
    <col min="9" max="9" width="1" style="845" customWidth="1"/>
    <col min="10" max="10" width="20.5703125" style="845" customWidth="1"/>
    <col min="11" max="11" width="1.7109375" style="845" customWidth="1"/>
    <col min="12" max="12" width="1.42578125" style="845" customWidth="1"/>
    <col min="13" max="13" width="16.42578125" style="845" customWidth="1"/>
    <col min="14" max="14" width="1.42578125" style="845" customWidth="1"/>
    <col min="15" max="15" width="16.42578125" style="845" customWidth="1"/>
    <col min="16" max="16" width="1.28515625" style="845" customWidth="1"/>
    <col min="17" max="17" width="28.140625" style="845" customWidth="1"/>
    <col min="18" max="18" width="4.42578125" style="845" customWidth="1"/>
    <col min="19" max="16384" width="9.42578125" style="845"/>
  </cols>
  <sheetData>
    <row r="1" spans="2:19" ht="15" customHeight="1" x14ac:dyDescent="0.25">
      <c r="B1" s="2449" t="str">
        <f>+Index!$A$1</f>
        <v xml:space="preserve">                                                               Office of the State Controller                                                                </v>
      </c>
      <c r="C1" s="2449"/>
      <c r="D1" s="2449"/>
      <c r="E1" s="2449"/>
      <c r="F1" s="2449"/>
      <c r="G1" s="2449"/>
      <c r="H1" s="2449"/>
      <c r="I1" s="2449"/>
      <c r="J1" s="2449"/>
      <c r="K1" s="2449"/>
      <c r="L1" s="2449"/>
      <c r="M1" s="2449"/>
      <c r="N1" s="2449"/>
      <c r="O1" s="2449"/>
      <c r="P1" s="2449"/>
      <c r="Q1" s="2449"/>
      <c r="R1" s="2510" t="str">
        <f>IF(Index!$B$64="na","NA","")</f>
        <v/>
      </c>
      <c r="S1" s="2745"/>
    </row>
    <row r="2" spans="2:19" ht="15" customHeight="1" x14ac:dyDescent="0.25">
      <c r="B2" s="2743" t="str">
        <f>+Index!$A$2</f>
        <v>2022 ACFR Worksheets</v>
      </c>
      <c r="C2" s="2743"/>
      <c r="D2" s="2743"/>
      <c r="E2" s="2743"/>
      <c r="F2" s="2743"/>
      <c r="G2" s="2743"/>
      <c r="H2" s="2743"/>
      <c r="I2" s="2743"/>
      <c r="J2" s="2743"/>
      <c r="K2" s="2743"/>
      <c r="L2" s="2743"/>
      <c r="M2" s="2743"/>
      <c r="N2" s="2743"/>
      <c r="O2" s="2743"/>
      <c r="P2" s="2743"/>
      <c r="Q2" s="2743"/>
      <c r="R2" s="2510"/>
      <c r="S2" s="2745"/>
    </row>
    <row r="3" spans="2:19" ht="15" customHeight="1" x14ac:dyDescent="0.25">
      <c r="B3" s="2743" t="s">
        <v>3559</v>
      </c>
      <c r="C3" s="2743"/>
      <c r="D3" s="2743"/>
      <c r="E3" s="2743"/>
      <c r="F3" s="2743"/>
      <c r="G3" s="2743"/>
      <c r="H3" s="2743"/>
      <c r="I3" s="2743"/>
      <c r="J3" s="2743"/>
      <c r="K3" s="2743"/>
      <c r="L3" s="2743"/>
      <c r="M3" s="2743"/>
      <c r="N3" s="2743"/>
      <c r="O3" s="2743"/>
      <c r="P3" s="2743"/>
      <c r="Q3" s="2743"/>
      <c r="R3" s="2510"/>
      <c r="S3" s="2745"/>
    </row>
    <row r="4" spans="2:19" ht="15" customHeight="1" x14ac:dyDescent="0.25">
      <c r="B4" s="2743" t="s">
        <v>4798</v>
      </c>
      <c r="C4" s="2743"/>
      <c r="D4" s="2743"/>
      <c r="E4" s="2743"/>
      <c r="F4" s="2743"/>
      <c r="G4" s="2743"/>
      <c r="H4" s="2743"/>
      <c r="I4" s="2743"/>
      <c r="J4" s="2743"/>
      <c r="K4" s="2743"/>
      <c r="L4" s="2743"/>
      <c r="M4" s="2743"/>
      <c r="N4" s="2743"/>
      <c r="O4" s="2743"/>
      <c r="P4" s="2743"/>
      <c r="Q4" s="2743"/>
    </row>
    <row r="5" spans="2:19" ht="15" customHeight="1" x14ac:dyDescent="0.25">
      <c r="B5" s="156"/>
      <c r="C5" s="548"/>
      <c r="D5" s="159"/>
      <c r="E5" s="159"/>
      <c r="F5" s="159"/>
      <c r="G5" s="159"/>
      <c r="H5" s="159"/>
      <c r="I5" s="159"/>
      <c r="J5" s="159"/>
      <c r="K5" s="159"/>
      <c r="L5" s="159"/>
      <c r="M5" s="760" t="s">
        <v>1838</v>
      </c>
      <c r="N5" s="760"/>
      <c r="O5" s="760"/>
      <c r="P5" s="159"/>
      <c r="Q5" s="159"/>
      <c r="R5" s="156"/>
    </row>
    <row r="6" spans="2:19" ht="15" customHeight="1" x14ac:dyDescent="0.25">
      <c r="B6" s="549" t="s">
        <v>327</v>
      </c>
      <c r="C6" s="156"/>
      <c r="D6" s="2746" t="str">
        <f>+Index!$E$10</f>
        <v>01</v>
      </c>
      <c r="E6" s="2746"/>
      <c r="F6" s="2746"/>
      <c r="G6" s="2746"/>
      <c r="H6" s="157"/>
      <c r="I6" s="156"/>
      <c r="J6" s="156"/>
      <c r="K6" s="550" t="s">
        <v>972</v>
      </c>
      <c r="L6" s="2747" t="str">
        <f>CONCATENATE(Index!$E$12," ",Index!$E$14)</f>
        <v xml:space="preserve"> </v>
      </c>
      <c r="M6" s="2747"/>
      <c r="N6" s="2747"/>
      <c r="O6" s="2747"/>
      <c r="P6" s="2747"/>
      <c r="Q6" s="854"/>
    </row>
    <row r="7" spans="2:19" ht="15" customHeight="1" x14ac:dyDescent="0.25">
      <c r="B7" s="549" t="s">
        <v>1154</v>
      </c>
      <c r="C7" s="156"/>
      <c r="D7" s="2746" t="str">
        <f>+Index!$E$11</f>
        <v>North Carolina General Assembly</v>
      </c>
      <c r="E7" s="2746"/>
      <c r="F7" s="2746"/>
      <c r="G7" s="2746"/>
      <c r="H7" s="2746"/>
      <c r="I7" s="156"/>
      <c r="J7" s="156"/>
      <c r="K7" s="550" t="s">
        <v>348</v>
      </c>
      <c r="L7" s="2748">
        <f>+Index!$E$13</f>
        <v>0</v>
      </c>
      <c r="M7" s="2748"/>
      <c r="N7" s="2748"/>
      <c r="O7" s="2748"/>
      <c r="P7" s="2748"/>
      <c r="Q7" s="854"/>
    </row>
    <row r="8" spans="2:19" ht="15" customHeight="1" x14ac:dyDescent="0.25">
      <c r="B8" s="549" t="s">
        <v>723</v>
      </c>
      <c r="C8" s="156"/>
      <c r="D8" s="554"/>
      <c r="E8" s="156"/>
      <c r="F8" s="156"/>
      <c r="G8" s="156"/>
      <c r="H8" s="156"/>
      <c r="I8" s="156"/>
      <c r="J8" s="156"/>
      <c r="K8" s="156"/>
      <c r="L8" s="156"/>
      <c r="M8" s="156"/>
      <c r="N8" s="156"/>
      <c r="O8" s="156"/>
      <c r="P8" s="156"/>
      <c r="Q8" s="858"/>
    </row>
    <row r="9" spans="2:19" ht="11.25" customHeight="1" thickBot="1" x14ac:dyDescent="0.3">
      <c r="B9" s="847"/>
      <c r="C9" s="849"/>
      <c r="D9" s="847"/>
      <c r="E9" s="847"/>
      <c r="F9" s="848"/>
      <c r="G9" s="847"/>
      <c r="H9" s="848"/>
      <c r="I9" s="859"/>
      <c r="J9" s="2744"/>
      <c r="K9" s="2744"/>
      <c r="L9" s="2744"/>
      <c r="M9" s="2744"/>
      <c r="N9" s="2228"/>
      <c r="O9" s="2228"/>
      <c r="P9" s="859"/>
      <c r="Q9" s="860"/>
    </row>
    <row r="10" spans="2:19" ht="14.1" customHeight="1" thickBot="1" x14ac:dyDescent="0.3">
      <c r="B10" s="2214" t="s">
        <v>1155</v>
      </c>
      <c r="C10" s="2214"/>
      <c r="D10" s="2215" t="s">
        <v>979</v>
      </c>
      <c r="E10" s="2216"/>
      <c r="F10" s="2215" t="s">
        <v>979</v>
      </c>
      <c r="G10" s="2216"/>
      <c r="H10" s="2217"/>
      <c r="I10" s="851"/>
      <c r="J10" s="2742" t="s">
        <v>1096</v>
      </c>
      <c r="K10" s="2742"/>
      <c r="L10" s="2742"/>
      <c r="M10" s="2742"/>
      <c r="N10" s="2742"/>
      <c r="O10" s="2742"/>
      <c r="P10" s="851"/>
      <c r="Q10" s="855"/>
    </row>
    <row r="11" spans="2:19" ht="14.1" customHeight="1" x14ac:dyDescent="0.25">
      <c r="B11" s="2214" t="s">
        <v>684</v>
      </c>
      <c r="C11" s="2214"/>
      <c r="D11" s="2215" t="s">
        <v>722</v>
      </c>
      <c r="E11" s="2216"/>
      <c r="F11" s="2215" t="s">
        <v>1157</v>
      </c>
      <c r="G11" s="2216"/>
      <c r="H11" s="2217"/>
      <c r="I11" s="851"/>
      <c r="J11" s="2218"/>
      <c r="K11" s="2218"/>
      <c r="L11" s="2218"/>
      <c r="M11" s="2219" t="s">
        <v>5381</v>
      </c>
      <c r="N11" s="2219"/>
      <c r="O11" s="2219" t="s">
        <v>5380</v>
      </c>
      <c r="P11" s="851"/>
      <c r="Q11" s="855"/>
    </row>
    <row r="12" spans="2:19" ht="14.1" customHeight="1" thickBot="1" x14ac:dyDescent="0.3">
      <c r="B12" s="2220" t="s">
        <v>1293</v>
      </c>
      <c r="C12" s="2215"/>
      <c r="D12" s="2220" t="s">
        <v>808</v>
      </c>
      <c r="E12" s="855"/>
      <c r="F12" s="2220" t="s">
        <v>808</v>
      </c>
      <c r="G12" s="855"/>
      <c r="H12" s="2221" t="s">
        <v>1156</v>
      </c>
      <c r="I12" s="851"/>
      <c r="J12" s="2221" t="s">
        <v>1097</v>
      </c>
      <c r="K12" s="2222"/>
      <c r="L12" s="2223"/>
      <c r="M12" s="2221" t="s">
        <v>5382</v>
      </c>
      <c r="N12" s="2219"/>
      <c r="O12" s="2221" t="s">
        <v>1307</v>
      </c>
      <c r="P12" s="851"/>
      <c r="Q12" s="2221" t="s">
        <v>980</v>
      </c>
      <c r="R12" s="850" t="s">
        <v>973</v>
      </c>
    </row>
    <row r="13" spans="2:19" ht="17.25" customHeight="1" x14ac:dyDescent="0.25">
      <c r="B13" s="1165"/>
      <c r="C13" s="851"/>
      <c r="D13" s="1166"/>
      <c r="E13" s="851"/>
      <c r="F13" s="1165"/>
      <c r="G13" s="846"/>
      <c r="H13" s="852"/>
      <c r="I13" s="855"/>
      <c r="J13" s="1165"/>
      <c r="K13" s="853"/>
      <c r="L13" s="1168"/>
      <c r="M13" s="1165"/>
      <c r="N13" s="2230"/>
      <c r="O13" s="2343"/>
      <c r="P13" s="855"/>
      <c r="Q13" s="2342"/>
    </row>
    <row r="14" spans="2:19" ht="17.25" customHeight="1" x14ac:dyDescent="0.25">
      <c r="B14" s="1165"/>
      <c r="C14" s="851"/>
      <c r="D14" s="1166"/>
      <c r="E14" s="851"/>
      <c r="F14" s="853"/>
      <c r="G14" s="846"/>
      <c r="H14" s="852"/>
      <c r="I14" s="855"/>
      <c r="J14" s="853"/>
      <c r="K14" s="853"/>
      <c r="L14" s="1168"/>
      <c r="M14" s="853"/>
      <c r="N14" s="2230"/>
      <c r="O14" s="2343"/>
      <c r="P14" s="855"/>
      <c r="Q14" s="854"/>
    </row>
    <row r="15" spans="2:19" ht="17.25" customHeight="1" x14ac:dyDescent="0.25">
      <c r="B15" s="1165"/>
      <c r="C15" s="851"/>
      <c r="D15" s="1166"/>
      <c r="E15" s="851"/>
      <c r="F15" s="853"/>
      <c r="G15" s="846"/>
      <c r="H15" s="852"/>
      <c r="I15" s="855"/>
      <c r="J15" s="853"/>
      <c r="K15" s="853"/>
      <c r="L15" s="1168"/>
      <c r="M15" s="853"/>
      <c r="N15" s="2230"/>
      <c r="O15" s="2343"/>
      <c r="P15" s="855"/>
      <c r="Q15" s="854"/>
    </row>
    <row r="16" spans="2:19" ht="17.25" customHeight="1" x14ac:dyDescent="0.25">
      <c r="B16" s="1165"/>
      <c r="C16" s="851"/>
      <c r="D16" s="1166"/>
      <c r="E16" s="851"/>
      <c r="F16" s="853"/>
      <c r="G16" s="846"/>
      <c r="H16" s="852"/>
      <c r="I16" s="855"/>
      <c r="J16" s="853"/>
      <c r="K16" s="853"/>
      <c r="L16" s="1168"/>
      <c r="M16" s="853"/>
      <c r="N16" s="2230"/>
      <c r="O16" s="2343"/>
      <c r="P16" s="855"/>
      <c r="Q16" s="854"/>
    </row>
    <row r="17" spans="2:17" ht="17.25" customHeight="1" x14ac:dyDescent="0.25">
      <c r="B17" s="1165"/>
      <c r="C17" s="851"/>
      <c r="D17" s="1166"/>
      <c r="E17" s="851"/>
      <c r="F17" s="853"/>
      <c r="G17" s="846"/>
      <c r="H17" s="852"/>
      <c r="I17" s="855"/>
      <c r="J17" s="853"/>
      <c r="K17" s="853"/>
      <c r="L17" s="1168"/>
      <c r="M17" s="853"/>
      <c r="N17" s="2230"/>
      <c r="O17" s="2343"/>
      <c r="P17" s="855"/>
      <c r="Q17" s="854"/>
    </row>
    <row r="18" spans="2:17" ht="17.25" customHeight="1" x14ac:dyDescent="0.25">
      <c r="B18" s="1165"/>
      <c r="C18" s="1167"/>
      <c r="D18" s="1166"/>
      <c r="E18" s="851"/>
      <c r="F18" s="853"/>
      <c r="G18" s="846"/>
      <c r="H18" s="852"/>
      <c r="I18" s="855"/>
      <c r="J18" s="853"/>
      <c r="K18" s="853"/>
      <c r="L18" s="1168"/>
      <c r="M18" s="853"/>
      <c r="N18" s="2230"/>
      <c r="O18" s="2343"/>
      <c r="P18" s="855"/>
      <c r="Q18" s="854"/>
    </row>
    <row r="19" spans="2:17" ht="17.25" customHeight="1" x14ac:dyDescent="0.25">
      <c r="B19" s="1165"/>
      <c r="C19" s="1167"/>
      <c r="D19" s="1166"/>
      <c r="E19" s="851"/>
      <c r="F19" s="853"/>
      <c r="G19" s="846"/>
      <c r="H19" s="852"/>
      <c r="I19" s="855"/>
      <c r="J19" s="853"/>
      <c r="K19" s="853"/>
      <c r="L19" s="1168"/>
      <c r="M19" s="853"/>
      <c r="N19" s="2230"/>
      <c r="O19" s="2343"/>
      <c r="P19" s="855"/>
      <c r="Q19" s="854"/>
    </row>
    <row r="20" spans="2:17" ht="17.25" customHeight="1" x14ac:dyDescent="0.25">
      <c r="B20" s="1165"/>
      <c r="C20" s="1167"/>
      <c r="D20" s="1166"/>
      <c r="E20" s="851"/>
      <c r="F20" s="853"/>
      <c r="G20" s="846"/>
      <c r="H20" s="852"/>
      <c r="I20" s="855"/>
      <c r="J20" s="853"/>
      <c r="K20" s="853"/>
      <c r="L20" s="1168"/>
      <c r="M20" s="853"/>
      <c r="N20" s="2230"/>
      <c r="O20" s="2343"/>
      <c r="P20" s="855"/>
      <c r="Q20" s="854"/>
    </row>
    <row r="21" spans="2:17" ht="17.25" customHeight="1" x14ac:dyDescent="0.25">
      <c r="B21" s="1165"/>
      <c r="C21" s="851"/>
      <c r="D21" s="1166"/>
      <c r="E21" s="851"/>
      <c r="F21" s="853"/>
      <c r="G21" s="846"/>
      <c r="H21" s="852"/>
      <c r="I21" s="855"/>
      <c r="J21" s="853"/>
      <c r="K21" s="853"/>
      <c r="L21" s="1168"/>
      <c r="M21" s="853"/>
      <c r="N21" s="2230"/>
      <c r="O21" s="2343"/>
      <c r="P21" s="855"/>
      <c r="Q21" s="854"/>
    </row>
    <row r="22" spans="2:17" ht="17.25" customHeight="1" x14ac:dyDescent="0.25">
      <c r="B22" s="1165"/>
      <c r="C22" s="851"/>
      <c r="D22" s="1166"/>
      <c r="E22" s="851"/>
      <c r="F22" s="853"/>
      <c r="G22" s="846"/>
      <c r="H22" s="852"/>
      <c r="I22" s="855"/>
      <c r="J22" s="853"/>
      <c r="K22" s="853"/>
      <c r="L22" s="1168"/>
      <c r="M22" s="853"/>
      <c r="N22" s="2230"/>
      <c r="O22" s="2343"/>
      <c r="P22" s="855"/>
      <c r="Q22" s="854"/>
    </row>
    <row r="23" spans="2:17" ht="17.25" customHeight="1" x14ac:dyDescent="0.25">
      <c r="B23" s="1165"/>
      <c r="C23" s="851"/>
      <c r="D23" s="1166"/>
      <c r="E23" s="851"/>
      <c r="F23" s="853"/>
      <c r="G23" s="846"/>
      <c r="H23" s="852"/>
      <c r="I23" s="855"/>
      <c r="J23" s="853"/>
      <c r="K23" s="853"/>
      <c r="L23" s="1168"/>
      <c r="M23" s="853"/>
      <c r="N23" s="2230"/>
      <c r="O23" s="2343"/>
      <c r="P23" s="855"/>
      <c r="Q23" s="854"/>
    </row>
    <row r="24" spans="2:17" ht="17.25" customHeight="1" x14ac:dyDescent="0.25">
      <c r="B24" s="1165"/>
      <c r="C24" s="851"/>
      <c r="D24" s="1166"/>
      <c r="E24" s="851"/>
      <c r="F24" s="853"/>
      <c r="G24" s="846"/>
      <c r="H24" s="852"/>
      <c r="I24" s="855"/>
      <c r="J24" s="853"/>
      <c r="K24" s="853"/>
      <c r="L24" s="1168"/>
      <c r="M24" s="853"/>
      <c r="N24" s="2230"/>
      <c r="O24" s="2343"/>
      <c r="P24" s="855"/>
      <c r="Q24" s="854"/>
    </row>
    <row r="25" spans="2:17" ht="17.25" customHeight="1" x14ac:dyDescent="0.25">
      <c r="B25" s="1165"/>
      <c r="C25" s="851"/>
      <c r="D25" s="1166"/>
      <c r="E25" s="851"/>
      <c r="F25" s="853"/>
      <c r="G25" s="846"/>
      <c r="H25" s="852"/>
      <c r="I25" s="855"/>
      <c r="J25" s="853"/>
      <c r="K25" s="853"/>
      <c r="L25" s="1168"/>
      <c r="M25" s="853"/>
      <c r="N25" s="2230"/>
      <c r="O25" s="2343"/>
      <c r="P25" s="855"/>
      <c r="Q25" s="854"/>
    </row>
    <row r="26" spans="2:17" ht="17.25" customHeight="1" x14ac:dyDescent="0.25">
      <c r="B26" s="1165"/>
      <c r="C26" s="851"/>
      <c r="D26" s="1166"/>
      <c r="E26" s="851"/>
      <c r="F26" s="853"/>
      <c r="G26" s="846"/>
      <c r="H26" s="852"/>
      <c r="I26" s="855"/>
      <c r="J26" s="853"/>
      <c r="K26" s="853"/>
      <c r="L26" s="1168"/>
      <c r="M26" s="853"/>
      <c r="N26" s="2230"/>
      <c r="O26" s="2343"/>
      <c r="P26" s="855"/>
      <c r="Q26" s="854"/>
    </row>
    <row r="27" spans="2:17" ht="17.25" customHeight="1" x14ac:dyDescent="0.25">
      <c r="B27" s="1165"/>
      <c r="C27" s="851"/>
      <c r="D27" s="1166"/>
      <c r="E27" s="851"/>
      <c r="F27" s="853"/>
      <c r="G27" s="846"/>
      <c r="H27" s="852"/>
      <c r="I27" s="855"/>
      <c r="J27" s="853"/>
      <c r="K27" s="853"/>
      <c r="L27" s="1168"/>
      <c r="M27" s="853"/>
      <c r="N27" s="2230"/>
      <c r="O27" s="2343"/>
      <c r="P27" s="855"/>
      <c r="Q27" s="854"/>
    </row>
    <row r="28" spans="2:17" ht="17.25" customHeight="1" x14ac:dyDescent="0.25">
      <c r="B28" s="1165"/>
      <c r="C28" s="851"/>
      <c r="D28" s="1166"/>
      <c r="E28" s="851"/>
      <c r="F28" s="853"/>
      <c r="G28" s="846"/>
      <c r="H28" s="852"/>
      <c r="I28" s="855"/>
      <c r="J28" s="853"/>
      <c r="K28" s="853"/>
      <c r="L28" s="1168"/>
      <c r="M28" s="853"/>
      <c r="N28" s="2230"/>
      <c r="O28" s="2343"/>
      <c r="P28" s="855"/>
      <c r="Q28" s="854"/>
    </row>
    <row r="29" spans="2:17" ht="17.25" customHeight="1" x14ac:dyDescent="0.25">
      <c r="B29" s="1165"/>
      <c r="C29" s="851"/>
      <c r="D29" s="1166"/>
      <c r="E29" s="851"/>
      <c r="F29" s="853"/>
      <c r="G29" s="846"/>
      <c r="H29" s="852"/>
      <c r="I29" s="855"/>
      <c r="J29" s="853"/>
      <c r="K29" s="853"/>
      <c r="L29" s="1168"/>
      <c r="M29" s="853"/>
      <c r="N29" s="2230"/>
      <c r="O29" s="2343"/>
      <c r="P29" s="855"/>
      <c r="Q29" s="854"/>
    </row>
    <row r="30" spans="2:17" ht="17.25" customHeight="1" thickBot="1" x14ac:dyDescent="0.3">
      <c r="B30" s="2213"/>
      <c r="C30" s="2213"/>
      <c r="D30" s="855"/>
      <c r="E30" s="851"/>
      <c r="F30" s="851" t="s">
        <v>1292</v>
      </c>
      <c r="G30" s="855">
        <v>132</v>
      </c>
      <c r="H30" s="2211">
        <f>SUM(H13:H29)</f>
        <v>0</v>
      </c>
      <c r="I30" s="855"/>
      <c r="J30" s="551" t="s">
        <v>5374</v>
      </c>
      <c r="K30" s="855"/>
      <c r="L30" s="851"/>
      <c r="M30" s="855"/>
      <c r="N30" s="855"/>
      <c r="O30" s="855"/>
      <c r="P30" s="855"/>
      <c r="Q30" s="855"/>
    </row>
    <row r="31" spans="2:17" ht="18" customHeight="1" x14ac:dyDescent="0.25">
      <c r="B31" s="2212" t="s">
        <v>771</v>
      </c>
      <c r="C31" s="2213"/>
      <c r="D31" s="855"/>
      <c r="E31" s="855"/>
      <c r="F31" s="855"/>
      <c r="G31" s="851"/>
      <c r="H31" s="855"/>
      <c r="I31" s="855"/>
      <c r="J31" s="855"/>
      <c r="K31" s="855"/>
      <c r="L31" s="855"/>
      <c r="M31" s="855"/>
      <c r="N31" s="855"/>
      <c r="O31" s="855"/>
      <c r="P31" s="846"/>
      <c r="Q31" s="856"/>
    </row>
    <row r="32" spans="2:17" ht="26.1" customHeight="1" x14ac:dyDescent="0.25"/>
    <row r="33" spans="1:18" ht="26.1" customHeight="1" x14ac:dyDescent="0.25">
      <c r="A33" s="443">
        <v>505</v>
      </c>
      <c r="B33" s="443" t="s">
        <v>449</v>
      </c>
    </row>
    <row r="34" spans="1:18" ht="20.85" customHeight="1" x14ac:dyDescent="0.25">
      <c r="A34" s="443" t="s">
        <v>446</v>
      </c>
      <c r="B34" s="443" t="str">
        <f t="shared" ref="B34:B43" ca="1" si="0">IF(ISNA(INDEX(ErrorTable,MATCH($A$33&amp;$A34&amp;FALSE,ErrorKey,0),6)),"",INDEX(ErrorTable,MATCH($A$33&amp;$A34&amp;FALSE,ErrorKey,0),6))</f>
        <v>GASB number is blank.</v>
      </c>
    </row>
    <row r="35" spans="1:18" ht="20.85" customHeight="1" x14ac:dyDescent="0.25">
      <c r="A35" s="443" t="s">
        <v>447</v>
      </c>
      <c r="B35" s="443" t="str">
        <f t="shared" ca="1" si="0"/>
        <v/>
      </c>
    </row>
    <row r="36" spans="1:18" ht="20.85" customHeight="1" x14ac:dyDescent="0.25">
      <c r="A36" s="443" t="s">
        <v>448</v>
      </c>
      <c r="B36" s="443" t="str">
        <f t="shared" ca="1" si="0"/>
        <v/>
      </c>
    </row>
    <row r="37" spans="1:18" ht="20.85" customHeight="1" x14ac:dyDescent="0.25">
      <c r="A37" s="443" t="s">
        <v>450</v>
      </c>
      <c r="B37" s="443" t="str">
        <f t="shared" ca="1" si="0"/>
        <v/>
      </c>
    </row>
    <row r="38" spans="1:18" ht="20.85" customHeight="1" x14ac:dyDescent="0.25">
      <c r="A38" s="443" t="s">
        <v>451</v>
      </c>
      <c r="B38" s="443" t="str">
        <f t="shared" ca="1" si="0"/>
        <v/>
      </c>
    </row>
    <row r="39" spans="1:18" ht="20.85" customHeight="1" x14ac:dyDescent="0.25">
      <c r="A39" s="443" t="s">
        <v>452</v>
      </c>
      <c r="B39" s="443" t="str">
        <f t="shared" ca="1" si="0"/>
        <v/>
      </c>
    </row>
    <row r="40" spans="1:18" ht="20.85" customHeight="1" x14ac:dyDescent="0.25">
      <c r="A40" s="443" t="s">
        <v>453</v>
      </c>
      <c r="B40" s="443" t="str">
        <f t="shared" ca="1" si="0"/>
        <v/>
      </c>
      <c r="D40" s="857" t="s">
        <v>973</v>
      </c>
      <c r="E40" s="857"/>
      <c r="F40" s="857"/>
      <c r="G40" s="857"/>
      <c r="H40" s="857"/>
      <c r="I40" s="857"/>
      <c r="J40" s="857"/>
      <c r="K40" s="857" t="s">
        <v>973</v>
      </c>
    </row>
    <row r="41" spans="1:18" ht="20.85" customHeight="1" x14ac:dyDescent="0.25">
      <c r="A41" s="443" t="s">
        <v>454</v>
      </c>
      <c r="B41" s="443" t="str">
        <f t="shared" ca="1" si="0"/>
        <v/>
      </c>
      <c r="D41" s="857" t="s">
        <v>973</v>
      </c>
      <c r="E41" s="857"/>
      <c r="K41" s="857" t="s">
        <v>973</v>
      </c>
      <c r="L41" s="850"/>
      <c r="R41" s="857" t="s">
        <v>973</v>
      </c>
    </row>
    <row r="42" spans="1:18" ht="20.85" customHeight="1" x14ac:dyDescent="0.25">
      <c r="A42" s="443" t="s">
        <v>455</v>
      </c>
      <c r="B42" s="443" t="str">
        <f t="shared" ca="1" si="0"/>
        <v/>
      </c>
    </row>
    <row r="43" spans="1:18" ht="20.85" customHeight="1" x14ac:dyDescent="0.25">
      <c r="A43" s="443" t="s">
        <v>456</v>
      </c>
      <c r="B43" s="443" t="str">
        <f t="shared" ca="1" si="0"/>
        <v/>
      </c>
    </row>
    <row r="44" spans="1:18" ht="20.85" customHeight="1" x14ac:dyDescent="0.25"/>
    <row r="45" spans="1:18" ht="20.85" customHeight="1" x14ac:dyDescent="0.25"/>
    <row r="46" spans="1:18" ht="20.85" customHeight="1" x14ac:dyDescent="0.25"/>
    <row r="47" spans="1:18" ht="20.85" customHeight="1" x14ac:dyDescent="0.25"/>
    <row r="48" spans="1:18" ht="20.85" customHeight="1" x14ac:dyDescent="0.25">
      <c r="D48" s="845" t="s">
        <v>973</v>
      </c>
    </row>
    <row r="49" spans="4:18" ht="20.85" customHeight="1" x14ac:dyDescent="0.25"/>
    <row r="50" spans="4:18" ht="20.85" customHeight="1" x14ac:dyDescent="0.25"/>
    <row r="51" spans="4:18" ht="20.85" customHeight="1" x14ac:dyDescent="0.25">
      <c r="D51" s="857" t="s">
        <v>973</v>
      </c>
      <c r="E51" s="857"/>
      <c r="K51" s="857" t="s">
        <v>973</v>
      </c>
      <c r="L51" s="850"/>
      <c r="R51" s="857" t="s">
        <v>973</v>
      </c>
    </row>
  </sheetData>
  <sheetProtection algorithmName="SHA-512" hashValue="kV/pbUMXo0m2+0sjjiDN9zz721KxJXgnELOjivo5u3oTV15wKIpxpcBED3gr9WCxAQ7ZbMIOt7gPuLVJuDff9Q==" saltValue="EwpzENY08azYa4SPUOYJ7A==" spinCount="100000" sheet="1" objects="1" scenarios="1" autoFilter="0"/>
  <dataConsolidate link="1"/>
  <customSheetViews>
    <customSheetView guid="{B08879A4-635B-4C39-9937-AC7883D562FC}" showGridLines="0" fitToPage="1">
      <selection sqref="A1:N1"/>
      <pageMargins left="0.5" right="0.5" top="0.75" bottom="0.5" header="0.5" footer="0.5"/>
      <pageSetup scale="85" orientation="landscape" blackAndWhite="1" r:id="rId1"/>
      <headerFooter alignWithMargins="0">
        <oddFooter>&amp;R&amp;"Arial,Regular"&amp;A</oddFooter>
      </headerFooter>
    </customSheetView>
    <customSheetView guid="{9FCFC836-1CA5-48BF-958D-24D2EA94B219}" showGridLines="0" fitToPage="1">
      <selection sqref="A1:N1"/>
      <pageMargins left="0.5" right="0.5" top="0.75" bottom="0.5" header="0.5" footer="0.5"/>
      <pageSetup scale="85" orientation="landscape" blackAndWhite="1" r:id="rId2"/>
      <headerFooter alignWithMargins="0">
        <oddFooter>&amp;R&amp;"Arial,Regular"&amp;A</oddFooter>
      </headerFooter>
    </customSheetView>
  </customSheetViews>
  <mergeCells count="12">
    <mergeCell ref="J10:O10"/>
    <mergeCell ref="B4:Q4"/>
    <mergeCell ref="J9:M9"/>
    <mergeCell ref="S1:S3"/>
    <mergeCell ref="R1:R3"/>
    <mergeCell ref="B3:Q3"/>
    <mergeCell ref="B1:Q1"/>
    <mergeCell ref="B2:Q2"/>
    <mergeCell ref="D6:G6"/>
    <mergeCell ref="L6:P6"/>
    <mergeCell ref="D7:H7"/>
    <mergeCell ref="L7:P7"/>
  </mergeCells>
  <conditionalFormatting sqref="C18:C20 R1:S3">
    <cfRule type="cellIs" dxfId="69" priority="7" stopIfTrue="1" operator="equal">
      <formula>"na"</formula>
    </cfRule>
  </conditionalFormatting>
  <dataValidations count="2">
    <dataValidation type="textLength" operator="equal" allowBlank="1" showInputMessage="1" showErrorMessage="1" errorTitle="Invalid data!" error="GASB number must be 4 digits." sqref="D8" xr:uid="{00000000-0002-0000-2700-000000000000}">
      <formula1>4</formula1>
    </dataValidation>
    <dataValidation type="list" allowBlank="1" showInputMessage="1" showErrorMessage="1" sqref="D13:D29" xr:uid="{00000000-0002-0000-2700-000001000000}">
      <formula1>List505thru520</formula1>
    </dataValidation>
  </dataValidations>
  <hyperlinks>
    <hyperlink ref="B1:Q1" location="Index!A1" display="Index!A1" xr:uid="{00000000-0004-0000-2700-000000000000}"/>
  </hyperlinks>
  <pageMargins left="0.5" right="0.5" top="0.75" bottom="0.5" header="0.5" footer="0.5"/>
  <pageSetup scale="85" orientation="landscape" blackAndWhite="1" r:id="rId3"/>
  <headerFooter alignWithMargins="0">
    <oddFooter>&amp;R&amp;"Arial,Regular"&amp;A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1">
    <pageSetUpPr fitToPage="1"/>
  </sheetPr>
  <dimension ref="A1:Q54"/>
  <sheetViews>
    <sheetView showGridLines="0" topLeftCell="B1" zoomScaleNormal="100" workbookViewId="0">
      <selection activeCell="U22" sqref="U22"/>
    </sheetView>
  </sheetViews>
  <sheetFormatPr defaultColWidth="9.42578125" defaultRowHeight="15.75" x14ac:dyDescent="0.25"/>
  <cols>
    <col min="1" max="1" width="9.42578125" style="53" hidden="1" customWidth="1"/>
    <col min="2" max="2" width="13.5703125" style="53" customWidth="1"/>
    <col min="3" max="3" width="1.5703125" style="53" customWidth="1"/>
    <col min="4" max="4" width="7" style="53" customWidth="1"/>
    <col min="5" max="5" width="1.5703125" style="53" customWidth="1"/>
    <col min="6" max="6" width="7.85546875" style="53" customWidth="1"/>
    <col min="7" max="7" width="1.5703125" style="53" customWidth="1"/>
    <col min="8" max="8" width="20" style="53" customWidth="1"/>
    <col min="9" max="9" width="1.140625" style="53" customWidth="1"/>
    <col min="10" max="10" width="15.42578125" style="53" customWidth="1"/>
    <col min="11" max="11" width="1.42578125" style="53" customWidth="1"/>
    <col min="12" max="12" width="13.42578125" style="53" customWidth="1"/>
    <col min="13" max="13" width="1.140625" style="53" customWidth="1"/>
    <col min="14" max="14" width="13.42578125" style="53" customWidth="1"/>
    <col min="15" max="15" width="1" style="53" customWidth="1"/>
    <col min="16" max="16" width="34.5703125" style="53" customWidth="1"/>
    <col min="17" max="17" width="4.5703125" style="53" bestFit="1" customWidth="1"/>
    <col min="18" max="16384" width="9.42578125" style="53"/>
  </cols>
  <sheetData>
    <row r="1" spans="2:17" s="171" customFormat="1" ht="15" customHeight="1" x14ac:dyDescent="0.25">
      <c r="B1" s="2449" t="str">
        <f>+Index!$A$1</f>
        <v xml:space="preserve">                                                               Office of the State Controller                                                                </v>
      </c>
      <c r="C1" s="2449"/>
      <c r="D1" s="2449"/>
      <c r="E1" s="2449"/>
      <c r="F1" s="2449"/>
      <c r="G1" s="2449"/>
      <c r="H1" s="2449"/>
      <c r="I1" s="2449"/>
      <c r="J1" s="2449"/>
      <c r="K1" s="2449"/>
      <c r="L1" s="2449"/>
      <c r="M1" s="2449"/>
      <c r="N1" s="2449"/>
      <c r="O1" s="2449"/>
      <c r="P1" s="2449"/>
      <c r="Q1" s="2510" t="str">
        <f>IF(Index!$B$65="na","NA","")</f>
        <v/>
      </c>
    </row>
    <row r="2" spans="2:17" s="171" customFormat="1" ht="15" customHeight="1" x14ac:dyDescent="0.25">
      <c r="B2" s="2750" t="str">
        <f>+Index!$A$2</f>
        <v>2022 ACFR Worksheets</v>
      </c>
      <c r="C2" s="2750"/>
      <c r="D2" s="2750"/>
      <c r="E2" s="2750"/>
      <c r="F2" s="2750"/>
      <c r="G2" s="2750"/>
      <c r="H2" s="2750"/>
      <c r="I2" s="2750"/>
      <c r="J2" s="2750"/>
      <c r="K2" s="2750"/>
      <c r="L2" s="2750"/>
      <c r="M2" s="2750"/>
      <c r="N2" s="2750"/>
      <c r="O2" s="2750"/>
      <c r="P2" s="2750"/>
      <c r="Q2" s="2510"/>
    </row>
    <row r="3" spans="2:17" s="171" customFormat="1" ht="15" customHeight="1" x14ac:dyDescent="0.25">
      <c r="B3" s="2750" t="s">
        <v>3560</v>
      </c>
      <c r="C3" s="2750"/>
      <c r="D3" s="2750"/>
      <c r="E3" s="2750"/>
      <c r="F3" s="2750"/>
      <c r="G3" s="2750"/>
      <c r="H3" s="2750"/>
      <c r="I3" s="2750"/>
      <c r="J3" s="2750"/>
      <c r="K3" s="2750"/>
      <c r="L3" s="2750"/>
      <c r="M3" s="2750"/>
      <c r="N3" s="2750"/>
      <c r="O3" s="2750"/>
      <c r="P3" s="2750"/>
      <c r="Q3" s="2510"/>
    </row>
    <row r="4" spans="2:17" s="171" customFormat="1" ht="15" customHeight="1" x14ac:dyDescent="0.25">
      <c r="B4" s="2750" t="s">
        <v>4799</v>
      </c>
      <c r="C4" s="2750"/>
      <c r="D4" s="2750"/>
      <c r="E4" s="2750"/>
      <c r="F4" s="2750"/>
      <c r="G4" s="2750"/>
      <c r="H4" s="2750"/>
      <c r="I4" s="2750"/>
      <c r="J4" s="2750"/>
      <c r="K4" s="2750"/>
      <c r="L4" s="2750"/>
      <c r="M4" s="2750"/>
      <c r="N4" s="2750"/>
      <c r="O4" s="2750"/>
      <c r="P4" s="2750"/>
    </row>
    <row r="5" spans="2:17" s="173" customFormat="1" ht="15" customHeight="1" x14ac:dyDescent="0.2">
      <c r="B5" s="179"/>
      <c r="C5" s="180"/>
      <c r="D5" s="180"/>
      <c r="E5" s="180"/>
      <c r="F5" s="180"/>
      <c r="G5" s="180"/>
      <c r="H5" s="180"/>
      <c r="I5" s="180"/>
      <c r="J5" s="180"/>
      <c r="K5" s="179"/>
      <c r="L5" s="760" t="s">
        <v>1838</v>
      </c>
      <c r="M5" s="760"/>
      <c r="N5" s="760"/>
      <c r="O5" s="180"/>
      <c r="P5" s="180"/>
    </row>
    <row r="6" spans="2:17" s="173" customFormat="1" ht="15" customHeight="1" x14ac:dyDescent="0.2">
      <c r="B6" s="172" t="s">
        <v>327</v>
      </c>
      <c r="D6" s="2746" t="str">
        <f>+Index!$E$10</f>
        <v>01</v>
      </c>
      <c r="E6" s="2746"/>
      <c r="F6" s="2746"/>
      <c r="G6" s="2746"/>
      <c r="H6" s="157"/>
      <c r="O6" s="174" t="s">
        <v>972</v>
      </c>
      <c r="P6" s="773" t="str">
        <f>CONCATENATE(Index!$E$12," ",Index!$E$14)</f>
        <v xml:space="preserve"> </v>
      </c>
    </row>
    <row r="7" spans="2:17" s="173" customFormat="1" ht="15" customHeight="1" x14ac:dyDescent="0.2">
      <c r="B7" s="172" t="s">
        <v>1154</v>
      </c>
      <c r="D7" s="2746" t="str">
        <f>+Index!$E$11</f>
        <v>North Carolina General Assembly</v>
      </c>
      <c r="E7" s="2746"/>
      <c r="F7" s="2746"/>
      <c r="G7" s="2746"/>
      <c r="H7" s="2746"/>
      <c r="O7" s="174" t="s">
        <v>348</v>
      </c>
      <c r="P7" s="775">
        <f>+Index!$E$13</f>
        <v>0</v>
      </c>
    </row>
    <row r="8" spans="2:17" s="173" customFormat="1" ht="15" customHeight="1" x14ac:dyDescent="0.2">
      <c r="B8" s="172" t="s">
        <v>723</v>
      </c>
      <c r="D8" s="560"/>
    </row>
    <row r="9" spans="2:17" s="173" customFormat="1" ht="15" customHeight="1" thickBot="1" x14ac:dyDescent="0.25">
      <c r="B9" s="175"/>
      <c r="C9" s="175"/>
      <c r="D9" s="175"/>
      <c r="E9" s="175"/>
      <c r="F9" s="175"/>
      <c r="G9" s="175"/>
      <c r="H9" s="175"/>
      <c r="I9" s="175"/>
      <c r="J9" s="175"/>
      <c r="K9" s="176"/>
      <c r="L9" s="175"/>
      <c r="M9" s="175"/>
      <c r="N9" s="175"/>
      <c r="O9" s="175"/>
      <c r="P9" s="175"/>
    </row>
    <row r="10" spans="2:17" s="173" customFormat="1" ht="15" customHeight="1" thickBot="1" x14ac:dyDescent="0.25">
      <c r="B10" s="177" t="s">
        <v>1064</v>
      </c>
      <c r="D10" s="158" t="s">
        <v>982</v>
      </c>
      <c r="E10" s="156"/>
      <c r="F10" s="158" t="s">
        <v>982</v>
      </c>
      <c r="I10" s="179"/>
      <c r="J10" s="2749" t="s">
        <v>156</v>
      </c>
      <c r="K10" s="2749"/>
      <c r="L10" s="2749"/>
      <c r="M10" s="2749"/>
      <c r="N10" s="2749"/>
      <c r="O10" s="159"/>
    </row>
    <row r="11" spans="2:17" s="173" customFormat="1" ht="15" customHeight="1" x14ac:dyDescent="0.2">
      <c r="B11" s="177" t="s">
        <v>684</v>
      </c>
      <c r="D11" s="158" t="s">
        <v>722</v>
      </c>
      <c r="E11" s="156"/>
      <c r="F11" s="158" t="s">
        <v>1157</v>
      </c>
      <c r="I11" s="179"/>
      <c r="J11" s="156"/>
      <c r="K11" s="156"/>
      <c r="L11" s="2219" t="s">
        <v>5381</v>
      </c>
      <c r="M11" s="158"/>
      <c r="N11" s="2219" t="s">
        <v>5380</v>
      </c>
      <c r="O11" s="156"/>
    </row>
    <row r="12" spans="2:17" s="173" customFormat="1" ht="15" customHeight="1" thickBot="1" x14ac:dyDescent="0.25">
      <c r="B12" s="239" t="s">
        <v>1092</v>
      </c>
      <c r="C12" s="177"/>
      <c r="D12" s="160" t="s">
        <v>808</v>
      </c>
      <c r="E12" s="156"/>
      <c r="F12" s="160" t="s">
        <v>808</v>
      </c>
      <c r="H12" s="181" t="s">
        <v>1156</v>
      </c>
      <c r="J12" s="160" t="s">
        <v>1097</v>
      </c>
      <c r="K12" s="162"/>
      <c r="L12" s="2221" t="s">
        <v>5382</v>
      </c>
      <c r="M12" s="158"/>
      <c r="N12" s="2221" t="s">
        <v>1307</v>
      </c>
      <c r="O12" s="162"/>
      <c r="P12" s="181" t="s">
        <v>980</v>
      </c>
    </row>
    <row r="13" spans="2:17" s="173" customFormat="1" ht="15" customHeight="1" x14ac:dyDescent="0.2">
      <c r="B13" s="561"/>
      <c r="C13" s="242"/>
      <c r="D13" s="554"/>
      <c r="E13" s="161"/>
      <c r="F13" s="554"/>
      <c r="G13" s="242"/>
      <c r="H13" s="556"/>
      <c r="I13" s="1849"/>
      <c r="J13" s="1851"/>
      <c r="K13" s="1850"/>
      <c r="L13" s="558"/>
      <c r="M13" s="2231"/>
      <c r="N13" s="2344"/>
      <c r="O13" s="1850"/>
      <c r="P13" s="557"/>
    </row>
    <row r="14" spans="2:17" s="173" customFormat="1" ht="15" customHeight="1" x14ac:dyDescent="0.2">
      <c r="B14" s="561"/>
      <c r="C14" s="242"/>
      <c r="D14" s="554"/>
      <c r="E14" s="161"/>
      <c r="F14" s="554"/>
      <c r="G14" s="242"/>
      <c r="H14" s="556"/>
      <c r="I14" s="1849"/>
      <c r="J14" s="557"/>
      <c r="K14" s="1850"/>
      <c r="L14" s="558"/>
      <c r="M14" s="2231"/>
      <c r="N14" s="2344"/>
      <c r="O14" s="1850"/>
      <c r="P14" s="1851"/>
    </row>
    <row r="15" spans="2:17" s="173" customFormat="1" ht="15" customHeight="1" x14ac:dyDescent="0.2">
      <c r="B15" s="561"/>
      <c r="C15" s="242"/>
      <c r="D15" s="554"/>
      <c r="E15" s="161"/>
      <c r="F15" s="554"/>
      <c r="G15" s="242"/>
      <c r="H15" s="556"/>
      <c r="I15" s="1849"/>
      <c r="J15" s="557"/>
      <c r="K15" s="1850"/>
      <c r="L15" s="558"/>
      <c r="M15" s="2231"/>
      <c r="N15" s="2345"/>
      <c r="O15" s="1850"/>
      <c r="P15" s="1851"/>
    </row>
    <row r="16" spans="2:17" s="173" customFormat="1" ht="15" customHeight="1" x14ac:dyDescent="0.2">
      <c r="B16" s="1474"/>
      <c r="C16" s="242"/>
      <c r="D16" s="554"/>
      <c r="E16" s="161"/>
      <c r="F16" s="554"/>
      <c r="G16" s="242"/>
      <c r="H16" s="556"/>
      <c r="J16" s="557"/>
      <c r="K16" s="156"/>
      <c r="L16" s="558"/>
      <c r="M16" s="2231"/>
      <c r="N16" s="2344"/>
      <c r="O16" s="156"/>
      <c r="P16" s="557"/>
    </row>
    <row r="17" spans="2:16" s="173" customFormat="1" ht="15" customHeight="1" x14ac:dyDescent="0.2">
      <c r="B17" s="1475"/>
      <c r="C17" s="555"/>
      <c r="D17" s="554"/>
      <c r="E17" s="161"/>
      <c r="F17" s="554"/>
      <c r="G17" s="161"/>
      <c r="H17" s="556"/>
      <c r="J17" s="560"/>
      <c r="L17" s="563"/>
      <c r="M17" s="2232"/>
      <c r="N17" s="2344"/>
      <c r="P17" s="560"/>
    </row>
    <row r="18" spans="2:16" s="173" customFormat="1" ht="15" customHeight="1" x14ac:dyDescent="0.2">
      <c r="B18" s="1474"/>
      <c r="C18" s="555"/>
      <c r="D18" s="554"/>
      <c r="E18" s="161"/>
      <c r="F18" s="554"/>
      <c r="G18" s="161"/>
      <c r="H18" s="556"/>
      <c r="J18" s="560"/>
      <c r="L18" s="563"/>
      <c r="M18" s="2232"/>
      <c r="N18" s="2344"/>
      <c r="P18" s="560"/>
    </row>
    <row r="19" spans="2:16" s="173" customFormat="1" ht="15" customHeight="1" x14ac:dyDescent="0.2">
      <c r="B19" s="1475"/>
      <c r="C19" s="555"/>
      <c r="D19" s="554"/>
      <c r="E19" s="161"/>
      <c r="F19" s="554"/>
      <c r="G19" s="161"/>
      <c r="H19" s="556"/>
      <c r="J19" s="560"/>
      <c r="L19" s="563"/>
      <c r="M19" s="2232"/>
      <c r="N19" s="2344"/>
      <c r="P19" s="560"/>
    </row>
    <row r="20" spans="2:16" s="173" customFormat="1" ht="15" customHeight="1" x14ac:dyDescent="0.2">
      <c r="B20" s="1474"/>
      <c r="C20" s="555"/>
      <c r="D20" s="554"/>
      <c r="E20" s="161"/>
      <c r="F20" s="554"/>
      <c r="G20" s="161"/>
      <c r="H20" s="556"/>
      <c r="J20" s="560"/>
      <c r="L20" s="563"/>
      <c r="M20" s="2232"/>
      <c r="N20" s="2344"/>
      <c r="P20" s="560"/>
    </row>
    <row r="21" spans="2:16" s="173" customFormat="1" ht="15" customHeight="1" x14ac:dyDescent="0.2">
      <c r="B21" s="1475"/>
      <c r="C21" s="555"/>
      <c r="D21" s="554"/>
      <c r="E21" s="161"/>
      <c r="F21" s="554"/>
      <c r="G21" s="161"/>
      <c r="H21" s="556"/>
      <c r="J21" s="560"/>
      <c r="L21" s="563"/>
      <c r="M21" s="2232"/>
      <c r="N21" s="2344"/>
      <c r="P21" s="560"/>
    </row>
    <row r="22" spans="2:16" s="173" customFormat="1" ht="15" customHeight="1" x14ac:dyDescent="0.2">
      <c r="B22" s="1474"/>
      <c r="C22" s="555"/>
      <c r="D22" s="554"/>
      <c r="E22" s="161"/>
      <c r="F22" s="554"/>
      <c r="G22" s="161"/>
      <c r="H22" s="556"/>
      <c r="J22" s="560"/>
      <c r="L22" s="563"/>
      <c r="M22" s="2232"/>
      <c r="N22" s="2344"/>
      <c r="P22" s="560"/>
    </row>
    <row r="23" spans="2:16" s="173" customFormat="1" ht="15" customHeight="1" x14ac:dyDescent="0.2">
      <c r="B23" s="1475"/>
      <c r="C23" s="555"/>
      <c r="D23" s="554"/>
      <c r="E23" s="161"/>
      <c r="F23" s="554"/>
      <c r="G23" s="161"/>
      <c r="H23" s="556"/>
      <c r="J23" s="560"/>
      <c r="L23" s="563"/>
      <c r="M23" s="2232"/>
      <c r="N23" s="2344"/>
      <c r="P23" s="560"/>
    </row>
    <row r="24" spans="2:16" s="173" customFormat="1" ht="15" customHeight="1" x14ac:dyDescent="0.2">
      <c r="B24" s="1474"/>
      <c r="C24" s="555"/>
      <c r="D24" s="554"/>
      <c r="E24" s="161"/>
      <c r="F24" s="554"/>
      <c r="G24" s="161"/>
      <c r="H24" s="556"/>
      <c r="J24" s="560"/>
      <c r="L24" s="563"/>
      <c r="M24" s="2232"/>
      <c r="N24" s="2344"/>
      <c r="P24" s="560"/>
    </row>
    <row r="25" spans="2:16" s="173" customFormat="1" ht="15" customHeight="1" x14ac:dyDescent="0.2">
      <c r="B25" s="1475"/>
      <c r="C25" s="555"/>
      <c r="D25" s="554"/>
      <c r="E25" s="161"/>
      <c r="F25" s="554"/>
      <c r="G25" s="161"/>
      <c r="H25" s="556"/>
      <c r="J25" s="560"/>
      <c r="L25" s="563"/>
      <c r="M25" s="2232"/>
      <c r="N25" s="2344"/>
      <c r="P25" s="560"/>
    </row>
    <row r="26" spans="2:16" s="173" customFormat="1" ht="15" customHeight="1" x14ac:dyDescent="0.2">
      <c r="B26" s="1474"/>
      <c r="C26" s="555"/>
      <c r="D26" s="554"/>
      <c r="E26" s="161"/>
      <c r="F26" s="554"/>
      <c r="G26" s="161"/>
      <c r="H26" s="556"/>
      <c r="J26" s="560"/>
      <c r="L26" s="563"/>
      <c r="M26" s="2232"/>
      <c r="N26" s="2344"/>
      <c r="P26" s="560"/>
    </row>
    <row r="27" spans="2:16" s="173" customFormat="1" ht="15" customHeight="1" x14ac:dyDescent="0.2">
      <c r="B27" s="1475"/>
      <c r="C27" s="555"/>
      <c r="D27" s="554"/>
      <c r="E27" s="161"/>
      <c r="F27" s="554"/>
      <c r="G27" s="161"/>
      <c r="H27" s="556"/>
      <c r="J27" s="560"/>
      <c r="L27" s="563"/>
      <c r="M27" s="2232"/>
      <c r="N27" s="2344"/>
      <c r="P27" s="560"/>
    </row>
    <row r="28" spans="2:16" s="173" customFormat="1" ht="15" customHeight="1" x14ac:dyDescent="0.2">
      <c r="B28" s="1474"/>
      <c r="C28" s="555"/>
      <c r="D28" s="554"/>
      <c r="E28" s="161"/>
      <c r="F28" s="554"/>
      <c r="G28" s="161"/>
      <c r="H28" s="556"/>
      <c r="J28" s="560"/>
      <c r="L28" s="563"/>
      <c r="M28" s="2232"/>
      <c r="N28" s="2344"/>
      <c r="P28" s="560"/>
    </row>
    <row r="29" spans="2:16" s="173" customFormat="1" ht="15" customHeight="1" x14ac:dyDescent="0.2">
      <c r="B29" s="1475"/>
      <c r="C29" s="555"/>
      <c r="D29" s="554"/>
      <c r="E29" s="161"/>
      <c r="F29" s="554"/>
      <c r="G29" s="161"/>
      <c r="H29" s="556"/>
      <c r="J29" s="560"/>
      <c r="L29" s="563"/>
      <c r="M29" s="2232"/>
      <c r="N29" s="2344"/>
      <c r="P29" s="560"/>
    </row>
    <row r="30" spans="2:16" s="173" customFormat="1" ht="15" customHeight="1" x14ac:dyDescent="0.2">
      <c r="B30" s="1474"/>
      <c r="C30" s="555"/>
      <c r="D30" s="554"/>
      <c r="E30" s="161"/>
      <c r="F30" s="554"/>
      <c r="G30" s="161"/>
      <c r="H30" s="556"/>
      <c r="J30" s="560"/>
      <c r="L30" s="563"/>
      <c r="M30" s="2232"/>
      <c r="N30" s="2344"/>
      <c r="P30" s="560"/>
    </row>
    <row r="31" spans="2:16" s="173" customFormat="1" ht="15" customHeight="1" thickBot="1" x14ac:dyDescent="0.25">
      <c r="E31" s="177"/>
      <c r="F31" s="177" t="s">
        <v>981</v>
      </c>
      <c r="G31" s="177"/>
      <c r="H31" s="178">
        <f>SUM(H13:H30)</f>
        <v>0</v>
      </c>
      <c r="J31" s="245" t="s">
        <v>5374</v>
      </c>
    </row>
    <row r="32" spans="2:16" s="173" customFormat="1" ht="7.35" customHeight="1" x14ac:dyDescent="0.2">
      <c r="E32" s="177"/>
      <c r="G32" s="177"/>
      <c r="O32" s="177"/>
    </row>
    <row r="33" spans="1:15" s="173" customFormat="1" ht="15" customHeight="1" x14ac:dyDescent="0.2">
      <c r="B33" s="245" t="s">
        <v>771</v>
      </c>
      <c r="E33" s="177"/>
      <c r="G33" s="177"/>
      <c r="O33" s="177"/>
    </row>
    <row r="34" spans="1:15" s="173" customFormat="1" ht="15" customHeight="1" x14ac:dyDescent="0.2">
      <c r="E34" s="177"/>
      <c r="G34" s="177"/>
      <c r="O34" s="177"/>
    </row>
    <row r="35" spans="1:15" s="173" customFormat="1" ht="15" customHeight="1" x14ac:dyDescent="0.2">
      <c r="E35" s="177"/>
      <c r="G35" s="177"/>
      <c r="O35" s="177"/>
    </row>
    <row r="36" spans="1:15" s="173" customFormat="1" ht="15" customHeight="1" x14ac:dyDescent="0.2">
      <c r="E36" s="177"/>
      <c r="G36" s="177"/>
      <c r="O36" s="177"/>
    </row>
    <row r="37" spans="1:15" s="173" customFormat="1" ht="15" customHeight="1" x14ac:dyDescent="0.2">
      <c r="A37" s="443" t="str">
        <f ca="1">MID(CELL("filename",A1),FIND("]",CELL("filename",A1))+1,256)</f>
        <v>510</v>
      </c>
      <c r="B37" s="443" t="s">
        <v>449</v>
      </c>
      <c r="E37" s="177"/>
      <c r="G37" s="177"/>
      <c r="O37" s="177"/>
    </row>
    <row r="38" spans="1:15" s="173" customFormat="1" ht="15" customHeight="1" x14ac:dyDescent="0.2">
      <c r="A38" s="443" t="s">
        <v>446</v>
      </c>
      <c r="B38" s="443" t="str">
        <f ca="1">IF(ISNA(INDEX(ErrorTable,MATCH($A$37&amp;$A38&amp;FALSE,ErrorKey,0),6)),"",INDEX(ErrorTable,MATCH($A$37&amp;$A38&amp;FALSE,ErrorKey,0),6))</f>
        <v>GASB number is blank.</v>
      </c>
      <c r="E38" s="177"/>
      <c r="G38" s="177"/>
      <c r="O38" s="177"/>
    </row>
    <row r="39" spans="1:15" ht="20.85" customHeight="1" x14ac:dyDescent="0.25">
      <c r="A39" s="443" t="s">
        <v>447</v>
      </c>
      <c r="B39" s="443" t="str">
        <f t="shared" ref="B39:B47" ca="1" si="0">IF(ISNA(INDEX(ErrorTable,MATCH($A$37&amp;$A39&amp;FALSE,ErrorKey,0),6)),"",INDEX(ErrorTable,MATCH($A$37&amp;$A39&amp;FALSE,ErrorKey,0),6))</f>
        <v/>
      </c>
    </row>
    <row r="40" spans="1:15" ht="20.85" customHeight="1" x14ac:dyDescent="0.25">
      <c r="A40" s="443" t="s">
        <v>448</v>
      </c>
      <c r="B40" s="443" t="str">
        <f t="shared" ca="1" si="0"/>
        <v/>
      </c>
    </row>
    <row r="41" spans="1:15" ht="20.85" customHeight="1" x14ac:dyDescent="0.25">
      <c r="A41" s="443" t="s">
        <v>450</v>
      </c>
      <c r="B41" s="443" t="str">
        <f t="shared" ca="1" si="0"/>
        <v/>
      </c>
    </row>
    <row r="42" spans="1:15" ht="20.85" customHeight="1" x14ac:dyDescent="0.25">
      <c r="A42" s="443" t="s">
        <v>451</v>
      </c>
      <c r="B42" s="443" t="str">
        <f t="shared" ca="1" si="0"/>
        <v/>
      </c>
    </row>
    <row r="43" spans="1:15" ht="20.85" customHeight="1" x14ac:dyDescent="0.25">
      <c r="A43" s="443" t="s">
        <v>452</v>
      </c>
      <c r="B43" s="443" t="str">
        <f t="shared" ca="1" si="0"/>
        <v/>
      </c>
      <c r="D43" s="55" t="s">
        <v>973</v>
      </c>
      <c r="E43" s="55"/>
      <c r="F43" s="55"/>
      <c r="G43" s="55"/>
      <c r="H43" s="55"/>
      <c r="I43" s="55"/>
      <c r="J43" s="55"/>
      <c r="K43" s="55"/>
    </row>
    <row r="44" spans="1:15" ht="20.85" customHeight="1" x14ac:dyDescent="0.25">
      <c r="A44" s="443" t="s">
        <v>453</v>
      </c>
      <c r="B44" s="443" t="str">
        <f t="shared" ca="1" si="0"/>
        <v/>
      </c>
      <c r="D44" s="55" t="s">
        <v>973</v>
      </c>
      <c r="E44" s="55"/>
      <c r="F44" s="55"/>
      <c r="G44" s="55"/>
      <c r="L44" s="54" t="s">
        <v>973</v>
      </c>
      <c r="M44" s="54"/>
      <c r="N44" s="54"/>
      <c r="O44" s="54"/>
    </row>
    <row r="45" spans="1:15" ht="20.85" customHeight="1" x14ac:dyDescent="0.25">
      <c r="A45" s="443" t="s">
        <v>454</v>
      </c>
      <c r="B45" s="443" t="str">
        <f t="shared" ca="1" si="0"/>
        <v/>
      </c>
    </row>
    <row r="46" spans="1:15" ht="20.85" customHeight="1" x14ac:dyDescent="0.25">
      <c r="A46" s="443" t="s">
        <v>455</v>
      </c>
      <c r="B46" s="443" t="str">
        <f t="shared" ca="1" si="0"/>
        <v/>
      </c>
    </row>
    <row r="47" spans="1:15" ht="20.85" customHeight="1" x14ac:dyDescent="0.25">
      <c r="A47" s="443" t="s">
        <v>456</v>
      </c>
      <c r="B47" s="443" t="str">
        <f t="shared" ca="1" si="0"/>
        <v/>
      </c>
    </row>
    <row r="48" spans="1:15" ht="20.85" customHeight="1" x14ac:dyDescent="0.25"/>
    <row r="49" spans="4:15" ht="20.85" customHeight="1" x14ac:dyDescent="0.25"/>
    <row r="50" spans="4:15" ht="20.85" customHeight="1" x14ac:dyDescent="0.25"/>
    <row r="51" spans="4:15" ht="20.85" customHeight="1" x14ac:dyDescent="0.25">
      <c r="D51" s="53" t="s">
        <v>973</v>
      </c>
    </row>
    <row r="52" spans="4:15" ht="20.85" customHeight="1" x14ac:dyDescent="0.25"/>
    <row r="53" spans="4:15" ht="20.85" customHeight="1" x14ac:dyDescent="0.25"/>
    <row r="54" spans="4:15" ht="20.85" customHeight="1" x14ac:dyDescent="0.25">
      <c r="D54" s="55" t="s">
        <v>973</v>
      </c>
      <c r="E54" s="55"/>
      <c r="F54" s="55"/>
      <c r="G54" s="55"/>
      <c r="L54" s="54" t="s">
        <v>973</v>
      </c>
      <c r="M54" s="54"/>
      <c r="N54" s="54"/>
      <c r="O54" s="54"/>
    </row>
  </sheetData>
  <sheetProtection algorithmName="SHA-512" hashValue="N9ARrGuG8DubKQsmR4MqQF2mmfMAl3nAZz8nd9dPMXBpZBVDMv+qoipbsmUZzmbdkosg41pwNRvygG31OsPILw==" saltValue="A7Wf/Q6ZlW7Nq4xpWOIOxA==" spinCount="100000" sheet="1" objects="1" scenarios="1" autoFilter="0"/>
  <dataConsolidate link="1"/>
  <customSheetViews>
    <customSheetView guid="{B08879A4-635B-4C39-9937-AC7883D562FC}" showGridLines="0" fitToPage="1" hiddenColumns="1" topLeftCell="B1">
      <selection activeCell="B12" sqref="B12"/>
      <pageMargins left="0.5" right="0.5" top="0.75" bottom="0.5" header="0.5" footer="0.5"/>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5" right="0.5" top="0.75" bottom="0.5" header="0.5" footer="0.5"/>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5" right="0.5" top="0.75" bottom="0.5" header="0.5" footer="0.5"/>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5" right="0.5" top="0.75" bottom="0.5" header="0.5" footer="0.5"/>
      <printOptions horizontalCentered="1"/>
      <pageSetup orientation="landscape" blackAndWhite="1" r:id="rId4"/>
      <headerFooter alignWithMargins="0">
        <oddFooter>&amp;R&amp;A</oddFooter>
      </headerFooter>
    </customSheetView>
  </customSheetViews>
  <mergeCells count="8">
    <mergeCell ref="D6:G6"/>
    <mergeCell ref="D7:H7"/>
    <mergeCell ref="J10:N10"/>
    <mergeCell ref="Q1:Q3"/>
    <mergeCell ref="B1:P1"/>
    <mergeCell ref="B2:P2"/>
    <mergeCell ref="B3:P3"/>
    <mergeCell ref="B4:P4"/>
  </mergeCells>
  <phoneticPr fontId="15" type="noConversion"/>
  <conditionalFormatting sqref="Q1:Q3">
    <cfRule type="cellIs" dxfId="68" priority="1" stopIfTrue="1" operator="equal">
      <formula>"na"</formula>
    </cfRule>
  </conditionalFormatting>
  <dataValidations count="2">
    <dataValidation type="textLength" operator="equal" allowBlank="1" showInputMessage="1" showErrorMessage="1" errorTitle="Invalid data!" error="GASB number must be 4 digits." sqref="D8 F13:F30" xr:uid="{00000000-0002-0000-2800-000000000000}">
      <formula1>4</formula1>
    </dataValidation>
    <dataValidation type="list" allowBlank="1" showInputMessage="1" showErrorMessage="1" sqref="D13:D30" xr:uid="{00000000-0002-0000-2800-000001000000}">
      <formula1>List505thru520</formula1>
    </dataValidation>
  </dataValidations>
  <hyperlinks>
    <hyperlink ref="B1:P1" location="Index!A1" display="Index!A1" xr:uid="{00000000-0004-0000-2800-000000000000}"/>
  </hyperlinks>
  <printOptions horizontalCentered="1"/>
  <pageMargins left="0.5" right="0.5" top="0.75" bottom="0.5" header="0.5" footer="0.5"/>
  <pageSetup scale="94" orientation="landscape" blackAndWhite="1" r:id="rId5"/>
  <headerFooter alignWithMargins="0">
    <oddFooter>&amp;R&amp;A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11">
    <pageSetUpPr fitToPage="1"/>
  </sheetPr>
  <dimension ref="A1:V54"/>
  <sheetViews>
    <sheetView showGridLines="0" topLeftCell="B1" zoomScaleNormal="100" workbookViewId="0"/>
  </sheetViews>
  <sheetFormatPr defaultColWidth="9.42578125" defaultRowHeight="15.75" x14ac:dyDescent="0.25"/>
  <cols>
    <col min="1" max="1" width="9.42578125" style="53" hidden="1" customWidth="1"/>
    <col min="2" max="2" width="13.85546875" style="53" customWidth="1"/>
    <col min="3" max="3" width="1.5703125" style="53" customWidth="1"/>
    <col min="4" max="4" width="7.42578125" style="53" customWidth="1"/>
    <col min="5" max="5" width="1.5703125" style="53" customWidth="1"/>
    <col min="6" max="6" width="8" style="53" customWidth="1"/>
    <col min="7" max="7" width="1.5703125" style="53" customWidth="1"/>
    <col min="8" max="8" width="19.140625" style="53" customWidth="1"/>
    <col min="9" max="9" width="1.28515625" style="53" customWidth="1"/>
    <col min="10" max="10" width="15.42578125" style="53" customWidth="1"/>
    <col min="11" max="11" width="1.140625" style="53" customWidth="1"/>
    <col min="12" max="12" width="13.42578125" style="53" customWidth="1"/>
    <col min="13" max="13" width="0.85546875" style="53" customWidth="1"/>
    <col min="14" max="14" width="13.42578125" style="53" customWidth="1"/>
    <col min="15" max="15" width="0.85546875" style="53" customWidth="1"/>
    <col min="16" max="16" width="36.42578125" style="53" customWidth="1"/>
    <col min="17" max="17" width="4.5703125" style="53" bestFit="1" customWidth="1"/>
    <col min="18" max="16384" width="9.42578125" style="53"/>
  </cols>
  <sheetData>
    <row r="1" spans="2:17" s="171" customFormat="1" ht="15" customHeight="1" x14ac:dyDescent="0.25">
      <c r="B1" s="2449" t="str">
        <f>+Index!$A$1</f>
        <v xml:space="preserve">                                                               Office of the State Controller                                                                </v>
      </c>
      <c r="C1" s="2449"/>
      <c r="D1" s="2449"/>
      <c r="E1" s="2449"/>
      <c r="F1" s="2449"/>
      <c r="G1" s="2449"/>
      <c r="H1" s="2449"/>
      <c r="I1" s="2449"/>
      <c r="J1" s="2449"/>
      <c r="K1" s="2449"/>
      <c r="L1" s="2449"/>
      <c r="M1" s="2449"/>
      <c r="N1" s="2449"/>
      <c r="O1" s="2449"/>
      <c r="P1" s="2449"/>
      <c r="Q1" s="2510" t="str">
        <f>IF(Index!$B$66="na","NA","")</f>
        <v/>
      </c>
    </row>
    <row r="2" spans="2:17" s="171" customFormat="1" ht="15" customHeight="1" x14ac:dyDescent="0.25">
      <c r="B2" s="2750" t="str">
        <f>+Index!$A$2</f>
        <v>2022 ACFR Worksheets</v>
      </c>
      <c r="C2" s="2750"/>
      <c r="D2" s="2750"/>
      <c r="E2" s="2750"/>
      <c r="F2" s="2750"/>
      <c r="G2" s="2750"/>
      <c r="H2" s="2750"/>
      <c r="I2" s="2750"/>
      <c r="J2" s="2750"/>
      <c r="K2" s="2750"/>
      <c r="L2" s="2750"/>
      <c r="M2" s="2750"/>
      <c r="N2" s="2750"/>
      <c r="O2" s="2750"/>
      <c r="P2" s="2750"/>
      <c r="Q2" s="2510"/>
    </row>
    <row r="3" spans="2:17" s="171" customFormat="1" ht="15" customHeight="1" x14ac:dyDescent="0.25">
      <c r="B3" s="2750" t="s">
        <v>1520</v>
      </c>
      <c r="C3" s="2750"/>
      <c r="D3" s="2750"/>
      <c r="E3" s="2750"/>
      <c r="F3" s="2750"/>
      <c r="G3" s="2750"/>
      <c r="H3" s="2750"/>
      <c r="I3" s="2750"/>
      <c r="J3" s="2750"/>
      <c r="K3" s="2750"/>
      <c r="L3" s="2750"/>
      <c r="M3" s="2750"/>
      <c r="N3" s="2750"/>
      <c r="O3" s="2750"/>
      <c r="P3" s="2750"/>
      <c r="Q3" s="2510"/>
    </row>
    <row r="4" spans="2:17" s="171" customFormat="1" ht="15" customHeight="1" x14ac:dyDescent="0.25">
      <c r="B4" s="2743" t="s">
        <v>4798</v>
      </c>
      <c r="C4" s="2743"/>
      <c r="D4" s="2743"/>
      <c r="E4" s="2743"/>
      <c r="F4" s="2743"/>
      <c r="G4" s="2743"/>
      <c r="H4" s="2743"/>
      <c r="I4" s="2743"/>
      <c r="J4" s="2743"/>
      <c r="K4" s="2743"/>
      <c r="L4" s="2743"/>
      <c r="M4" s="2743"/>
      <c r="N4" s="2743"/>
      <c r="O4" s="2743"/>
      <c r="P4" s="2743"/>
      <c r="Q4" s="2743"/>
    </row>
    <row r="5" spans="2:17" s="173" customFormat="1" ht="15" customHeight="1" x14ac:dyDescent="0.3">
      <c r="B5" s="179"/>
      <c r="C5" s="180"/>
      <c r="D5" s="180"/>
      <c r="E5" s="180"/>
      <c r="F5" s="180"/>
      <c r="G5" s="180"/>
      <c r="H5" s="180"/>
      <c r="I5" s="180"/>
      <c r="J5" s="180"/>
      <c r="K5" s="179"/>
      <c r="L5" s="1469"/>
      <c r="M5" s="1469"/>
      <c r="N5" s="1469"/>
      <c r="O5" s="180"/>
      <c r="P5" s="1588" t="s">
        <v>3793</v>
      </c>
    </row>
    <row r="6" spans="2:17" s="173" customFormat="1" ht="15" customHeight="1" x14ac:dyDescent="0.2">
      <c r="B6" s="172" t="s">
        <v>327</v>
      </c>
      <c r="D6" s="2746" t="str">
        <f>+Index!$E$10</f>
        <v>01</v>
      </c>
      <c r="E6" s="2746"/>
      <c r="F6" s="2746"/>
      <c r="G6" s="2746"/>
      <c r="H6" s="157"/>
      <c r="O6" s="174" t="s">
        <v>972</v>
      </c>
      <c r="P6" s="773" t="str">
        <f>CONCATENATE(Index!$E$12," ",Index!$E$14)</f>
        <v xml:space="preserve"> </v>
      </c>
    </row>
    <row r="7" spans="2:17" s="173" customFormat="1" ht="15" customHeight="1" x14ac:dyDescent="0.2">
      <c r="B7" s="172" t="s">
        <v>1154</v>
      </c>
      <c r="D7" s="2746" t="str">
        <f>+Index!$E$11</f>
        <v>North Carolina General Assembly</v>
      </c>
      <c r="E7" s="2746"/>
      <c r="F7" s="2746"/>
      <c r="G7" s="2746"/>
      <c r="H7" s="2746"/>
      <c r="O7" s="174" t="s">
        <v>348</v>
      </c>
      <c r="P7" s="775">
        <f>+Index!$E$13</f>
        <v>0</v>
      </c>
    </row>
    <row r="8" spans="2:17" s="173" customFormat="1" ht="15" customHeight="1" x14ac:dyDescent="0.2">
      <c r="B8" s="172" t="s">
        <v>723</v>
      </c>
      <c r="D8" s="560"/>
    </row>
    <row r="9" spans="2:17" s="173" customFormat="1" ht="15" customHeight="1" thickBot="1" x14ac:dyDescent="0.25">
      <c r="B9" s="175"/>
      <c r="C9" s="175"/>
      <c r="D9" s="175"/>
      <c r="E9" s="175"/>
      <c r="F9" s="175"/>
      <c r="G9" s="175"/>
      <c r="H9" s="175"/>
      <c r="I9" s="175"/>
      <c r="J9" s="175"/>
      <c r="K9" s="176"/>
      <c r="L9" s="175"/>
      <c r="M9" s="175"/>
      <c r="N9" s="175"/>
      <c r="O9" s="175"/>
      <c r="P9" s="175"/>
    </row>
    <row r="10" spans="2:17" s="173" customFormat="1" ht="17.25" customHeight="1" thickBot="1" x14ac:dyDescent="0.25">
      <c r="B10" s="1080" t="s">
        <v>1521</v>
      </c>
      <c r="C10" s="1081"/>
      <c r="D10" s="158" t="s">
        <v>979</v>
      </c>
      <c r="E10" s="156"/>
      <c r="F10" s="158" t="s">
        <v>979</v>
      </c>
      <c r="I10" s="179"/>
      <c r="J10" s="2749" t="s">
        <v>1096</v>
      </c>
      <c r="K10" s="2749"/>
      <c r="L10" s="2749"/>
      <c r="M10" s="2749"/>
      <c r="N10" s="2749"/>
      <c r="O10" s="159"/>
    </row>
    <row r="11" spans="2:17" s="173" customFormat="1" ht="15" customHeight="1" x14ac:dyDescent="0.2">
      <c r="B11" s="177" t="s">
        <v>1064</v>
      </c>
      <c r="D11" s="158" t="s">
        <v>722</v>
      </c>
      <c r="E11" s="156"/>
      <c r="F11" s="158" t="s">
        <v>1157</v>
      </c>
      <c r="I11" s="179"/>
      <c r="J11" s="156"/>
      <c r="K11" s="156"/>
      <c r="L11" s="2219" t="s">
        <v>5381</v>
      </c>
      <c r="M11" s="158"/>
      <c r="N11" s="2219" t="s">
        <v>5380</v>
      </c>
      <c r="O11" s="156"/>
    </row>
    <row r="12" spans="2:17" s="173" customFormat="1" ht="15" customHeight="1" thickBot="1" x14ac:dyDescent="0.25">
      <c r="B12" s="181" t="s">
        <v>684</v>
      </c>
      <c r="C12" s="177"/>
      <c r="D12" s="160" t="s">
        <v>808</v>
      </c>
      <c r="E12" s="156"/>
      <c r="F12" s="160" t="s">
        <v>808</v>
      </c>
      <c r="H12" s="181" t="s">
        <v>1156</v>
      </c>
      <c r="J12" s="160" t="s">
        <v>1097</v>
      </c>
      <c r="K12" s="162"/>
      <c r="L12" s="2221" t="s">
        <v>5382</v>
      </c>
      <c r="M12" s="158"/>
      <c r="N12" s="2221" t="s">
        <v>1307</v>
      </c>
      <c r="O12" s="162"/>
      <c r="P12" s="181" t="s">
        <v>980</v>
      </c>
    </row>
    <row r="13" spans="2:17" s="173" customFormat="1" ht="15" customHeight="1" x14ac:dyDescent="0.2">
      <c r="B13" s="241">
        <v>114600</v>
      </c>
      <c r="D13" s="561"/>
      <c r="E13" s="242"/>
      <c r="F13" s="561"/>
      <c r="G13" s="242"/>
      <c r="H13" s="562"/>
      <c r="J13" s="557"/>
      <c r="K13" s="156"/>
      <c r="L13" s="558"/>
      <c r="M13" s="2231"/>
      <c r="N13" s="2344"/>
      <c r="P13" s="560"/>
    </row>
    <row r="14" spans="2:17" s="173" customFormat="1" ht="15" customHeight="1" x14ac:dyDescent="0.2">
      <c r="B14" s="241">
        <v>114600</v>
      </c>
      <c r="D14" s="561"/>
      <c r="E14" s="242"/>
      <c r="F14" s="561"/>
      <c r="G14" s="242"/>
      <c r="H14" s="562"/>
      <c r="J14" s="557"/>
      <c r="K14" s="156"/>
      <c r="L14" s="558"/>
      <c r="M14" s="2231"/>
      <c r="N14" s="2344"/>
      <c r="P14" s="560"/>
    </row>
    <row r="15" spans="2:17" s="173" customFormat="1" ht="15" customHeight="1" x14ac:dyDescent="0.2">
      <c r="B15" s="241">
        <v>114600</v>
      </c>
      <c r="D15" s="561"/>
      <c r="E15" s="242"/>
      <c r="F15" s="561"/>
      <c r="G15" s="242"/>
      <c r="H15" s="562"/>
      <c r="J15" s="557"/>
      <c r="K15" s="156"/>
      <c r="L15" s="558"/>
      <c r="M15" s="2231"/>
      <c r="N15" s="2344"/>
      <c r="P15" s="560"/>
    </row>
    <row r="16" spans="2:17" s="173" customFormat="1" ht="15" customHeight="1" x14ac:dyDescent="0.2">
      <c r="B16" s="241">
        <v>114600</v>
      </c>
      <c r="D16" s="561"/>
      <c r="E16" s="242"/>
      <c r="F16" s="561"/>
      <c r="G16" s="242"/>
      <c r="H16" s="562"/>
      <c r="J16" s="557"/>
      <c r="K16" s="156"/>
      <c r="L16" s="558"/>
      <c r="M16" s="2231"/>
      <c r="N16" s="2345"/>
      <c r="P16" s="560"/>
    </row>
    <row r="17" spans="2:22" s="173" customFormat="1" ht="15" customHeight="1" x14ac:dyDescent="0.2">
      <c r="B17" s="241">
        <v>114600</v>
      </c>
      <c r="D17" s="561"/>
      <c r="E17" s="242"/>
      <c r="F17" s="561"/>
      <c r="G17" s="242"/>
      <c r="H17" s="562"/>
      <c r="J17" s="560"/>
      <c r="L17" s="563"/>
      <c r="M17" s="2232"/>
      <c r="N17" s="2344"/>
      <c r="P17" s="560"/>
    </row>
    <row r="18" spans="2:22" s="173" customFormat="1" ht="15" customHeight="1" x14ac:dyDescent="0.2">
      <c r="B18" s="241">
        <v>114600</v>
      </c>
      <c r="D18" s="561"/>
      <c r="E18" s="242"/>
      <c r="F18" s="561"/>
      <c r="G18" s="242"/>
      <c r="H18" s="562"/>
      <c r="J18" s="560"/>
      <c r="L18" s="563"/>
      <c r="M18" s="2232"/>
      <c r="N18" s="2344"/>
      <c r="P18" s="560"/>
    </row>
    <row r="19" spans="2:22" s="173" customFormat="1" ht="15" customHeight="1" x14ac:dyDescent="0.2">
      <c r="B19" s="241">
        <v>114600</v>
      </c>
      <c r="D19" s="561"/>
      <c r="E19" s="242"/>
      <c r="F19" s="561"/>
      <c r="G19" s="242"/>
      <c r="H19" s="562"/>
      <c r="J19" s="560"/>
      <c r="L19" s="563"/>
      <c r="M19" s="2232"/>
      <c r="N19" s="2344"/>
      <c r="P19" s="560"/>
    </row>
    <row r="20" spans="2:22" s="173" customFormat="1" ht="15" customHeight="1" x14ac:dyDescent="0.2">
      <c r="B20" s="241">
        <v>114600</v>
      </c>
      <c r="D20" s="561"/>
      <c r="E20" s="242"/>
      <c r="F20" s="561"/>
      <c r="G20" s="242"/>
      <c r="H20" s="562"/>
      <c r="J20" s="560"/>
      <c r="L20" s="563"/>
      <c r="M20" s="2232"/>
      <c r="N20" s="2344"/>
      <c r="P20" s="560"/>
    </row>
    <row r="21" spans="2:22" s="173" customFormat="1" ht="15" customHeight="1" x14ac:dyDescent="0.2">
      <c r="B21" s="241">
        <v>114600</v>
      </c>
      <c r="D21" s="561"/>
      <c r="E21" s="242"/>
      <c r="F21" s="561"/>
      <c r="G21" s="242"/>
      <c r="H21" s="562"/>
      <c r="J21" s="560"/>
      <c r="L21" s="563"/>
      <c r="M21" s="2232"/>
      <c r="N21" s="2344"/>
      <c r="P21" s="560"/>
    </row>
    <row r="22" spans="2:22" s="173" customFormat="1" ht="15" customHeight="1" x14ac:dyDescent="0.2">
      <c r="B22" s="241">
        <v>114600</v>
      </c>
      <c r="D22" s="561"/>
      <c r="E22" s="242"/>
      <c r="F22" s="561"/>
      <c r="G22" s="242"/>
      <c r="H22" s="562"/>
      <c r="J22" s="560"/>
      <c r="L22" s="563"/>
      <c r="M22" s="2232"/>
      <c r="N22" s="2344"/>
      <c r="P22" s="560"/>
    </row>
    <row r="23" spans="2:22" s="173" customFormat="1" ht="15" customHeight="1" x14ac:dyDescent="0.2">
      <c r="B23" s="241">
        <v>114600</v>
      </c>
      <c r="D23" s="561"/>
      <c r="E23" s="242"/>
      <c r="F23" s="561"/>
      <c r="G23" s="242"/>
      <c r="H23" s="562"/>
      <c r="J23" s="560"/>
      <c r="L23" s="563"/>
      <c r="M23" s="2232"/>
      <c r="N23" s="2344"/>
      <c r="P23" s="560"/>
    </row>
    <row r="24" spans="2:22" s="173" customFormat="1" ht="15" customHeight="1" x14ac:dyDescent="0.2">
      <c r="B24" s="241">
        <v>114600</v>
      </c>
      <c r="D24" s="561"/>
      <c r="E24" s="242"/>
      <c r="F24" s="561"/>
      <c r="G24" s="242"/>
      <c r="H24" s="562"/>
      <c r="J24" s="560"/>
      <c r="L24" s="563"/>
      <c r="M24" s="2232"/>
      <c r="N24" s="2344"/>
      <c r="P24" s="560"/>
    </row>
    <row r="25" spans="2:22" s="173" customFormat="1" ht="15" customHeight="1" thickBot="1" x14ac:dyDescent="0.25">
      <c r="B25" s="242"/>
      <c r="D25" s="177"/>
      <c r="E25" s="177"/>
      <c r="F25" s="177" t="s">
        <v>981</v>
      </c>
      <c r="G25" s="177"/>
      <c r="H25" s="178">
        <f>SUM(H13:H24)</f>
        <v>0</v>
      </c>
      <c r="J25" s="245" t="s">
        <v>5538</v>
      </c>
      <c r="L25" s="244"/>
      <c r="M25" s="244"/>
      <c r="N25" s="244"/>
    </row>
    <row r="26" spans="2:22" s="173" customFormat="1" ht="7.35" customHeight="1" x14ac:dyDescent="0.2">
      <c r="E26" s="177"/>
      <c r="F26" s="177"/>
      <c r="G26" s="177"/>
      <c r="O26" s="177"/>
    </row>
    <row r="27" spans="2:22" s="1589" customFormat="1" ht="15" customHeight="1" x14ac:dyDescent="0.2">
      <c r="B27" s="1080" t="s">
        <v>3971</v>
      </c>
      <c r="C27" s="1590"/>
      <c r="D27" s="1085"/>
      <c r="E27" s="177"/>
      <c r="F27" s="177"/>
      <c r="G27" s="177"/>
      <c r="H27" s="1591"/>
      <c r="L27" s="1592"/>
      <c r="M27" s="1592"/>
      <c r="N27" s="1592"/>
      <c r="R27" s="1593"/>
      <c r="S27" s="1593"/>
      <c r="T27" s="1593"/>
      <c r="U27" s="1593"/>
      <c r="V27" s="1593"/>
    </row>
    <row r="28" spans="2:22" s="1589" customFormat="1" ht="15" customHeight="1" x14ac:dyDescent="0.2">
      <c r="B28" s="1594">
        <v>124100</v>
      </c>
      <c r="D28" s="561"/>
      <c r="E28" s="1595"/>
      <c r="F28" s="1474"/>
      <c r="G28" s="1595"/>
      <c r="H28" s="1596">
        <v>0</v>
      </c>
      <c r="J28" s="560"/>
      <c r="K28" s="173"/>
      <c r="L28" s="563"/>
      <c r="M28" s="2232"/>
      <c r="N28" s="2344"/>
      <c r="O28" s="173"/>
      <c r="P28" s="560"/>
      <c r="R28" s="1593"/>
      <c r="S28" s="1593"/>
      <c r="T28" s="1593"/>
      <c r="U28" s="1593"/>
      <c r="V28" s="1593"/>
    </row>
    <row r="29" spans="2:22" s="1589" customFormat="1" ht="15" customHeight="1" x14ac:dyDescent="0.2">
      <c r="B29" s="1594">
        <v>124100</v>
      </c>
      <c r="D29" s="561"/>
      <c r="E29" s="1595"/>
      <c r="F29" s="1474"/>
      <c r="G29" s="1595"/>
      <c r="H29" s="1596"/>
      <c r="J29" s="560"/>
      <c r="K29" s="173"/>
      <c r="L29" s="563"/>
      <c r="M29" s="2232"/>
      <c r="N29" s="2344"/>
      <c r="O29" s="173"/>
      <c r="P29" s="560"/>
      <c r="R29" s="1593"/>
      <c r="S29" s="1593"/>
      <c r="T29" s="1593"/>
      <c r="U29" s="1593"/>
      <c r="V29" s="1593"/>
    </row>
    <row r="30" spans="2:22" s="1589" customFormat="1" ht="15" customHeight="1" x14ac:dyDescent="0.2">
      <c r="B30" s="1594">
        <v>124100</v>
      </c>
      <c r="D30" s="561"/>
      <c r="E30" s="1595"/>
      <c r="F30" s="1474"/>
      <c r="G30" s="1595"/>
      <c r="H30" s="1596"/>
      <c r="J30" s="560"/>
      <c r="K30" s="173"/>
      <c r="L30" s="563"/>
      <c r="M30" s="2232"/>
      <c r="N30" s="2344"/>
      <c r="O30" s="173"/>
      <c r="P30" s="560"/>
      <c r="R30" s="1593"/>
      <c r="S30" s="1593"/>
      <c r="T30" s="1593"/>
      <c r="U30" s="1593"/>
      <c r="V30" s="1593"/>
    </row>
    <row r="31" spans="2:22" s="1589" customFormat="1" ht="15" customHeight="1" thickBot="1" x14ac:dyDescent="0.25">
      <c r="E31" s="177"/>
      <c r="F31" s="177" t="s">
        <v>981</v>
      </c>
      <c r="G31" s="177"/>
      <c r="H31" s="1597">
        <f>SUM(H28:H30)</f>
        <v>0</v>
      </c>
      <c r="J31" s="245" t="s">
        <v>5539</v>
      </c>
      <c r="R31" s="1593"/>
      <c r="S31" s="1593"/>
      <c r="T31" s="1593"/>
      <c r="U31" s="1593"/>
      <c r="V31" s="1593"/>
    </row>
    <row r="32" spans="2:22" s="1589" customFormat="1" ht="7.35" customHeight="1" x14ac:dyDescent="0.2">
      <c r="E32" s="177"/>
      <c r="F32" s="177"/>
      <c r="G32" s="177"/>
      <c r="O32" s="177"/>
      <c r="R32" s="1593"/>
      <c r="S32" s="1593"/>
      <c r="T32" s="1593"/>
      <c r="U32" s="1593"/>
      <c r="V32" s="1593"/>
    </row>
    <row r="33" spans="1:15" s="173" customFormat="1" ht="15" customHeight="1" x14ac:dyDescent="0.2">
      <c r="B33" s="245" t="s">
        <v>771</v>
      </c>
      <c r="E33" s="177"/>
      <c r="F33" s="177"/>
      <c r="G33" s="177"/>
      <c r="O33" s="177"/>
    </row>
    <row r="34" spans="1:15" s="173" customFormat="1" ht="15" customHeight="1" x14ac:dyDescent="0.2">
      <c r="E34" s="177"/>
      <c r="F34" s="177"/>
      <c r="G34" s="177"/>
      <c r="O34" s="177"/>
    </row>
    <row r="35" spans="1:15" s="173" customFormat="1" ht="15" customHeight="1" x14ac:dyDescent="0.2">
      <c r="E35" s="177"/>
      <c r="F35" s="177"/>
      <c r="G35" s="177"/>
      <c r="O35" s="177"/>
    </row>
    <row r="36" spans="1:15" s="173" customFormat="1" ht="15" customHeight="1" x14ac:dyDescent="0.2">
      <c r="E36" s="177"/>
      <c r="F36" s="177"/>
      <c r="G36" s="177"/>
      <c r="O36" s="177"/>
    </row>
    <row r="37" spans="1:15" s="173" customFormat="1" ht="15" customHeight="1" x14ac:dyDescent="0.2">
      <c r="A37" s="443" t="str">
        <f ca="1">MID(CELL("filename",A1),FIND("]",CELL("filename",A1))+1,256)</f>
        <v>515</v>
      </c>
      <c r="B37" s="443" t="s">
        <v>449</v>
      </c>
      <c r="E37" s="177"/>
      <c r="F37" s="177"/>
      <c r="G37" s="177"/>
      <c r="O37" s="177"/>
    </row>
    <row r="38" spans="1:15" s="173" customFormat="1" ht="15" x14ac:dyDescent="0.2">
      <c r="A38" s="443" t="s">
        <v>446</v>
      </c>
      <c r="B38" s="443" t="str">
        <f t="shared" ref="B38:B47" ca="1" si="0">IF(ISNA(INDEX(ErrorTable,MATCH($A$37&amp;$A38&amp;FALSE,ErrorKey,0),6)),"",INDEX(ErrorTable,MATCH($A$37&amp;$A38&amp;FALSE,ErrorKey,0),6))</f>
        <v>GASB number is blank.</v>
      </c>
      <c r="E38" s="177"/>
      <c r="F38" s="177"/>
      <c r="G38" s="177"/>
      <c r="O38" s="177"/>
    </row>
    <row r="39" spans="1:15" ht="20.85" customHeight="1" x14ac:dyDescent="0.25">
      <c r="A39" s="443" t="s">
        <v>447</v>
      </c>
      <c r="B39" s="443" t="str">
        <f t="shared" ca="1" si="0"/>
        <v/>
      </c>
    </row>
    <row r="40" spans="1:15" ht="20.85" customHeight="1" x14ac:dyDescent="0.25">
      <c r="A40" s="443" t="s">
        <v>448</v>
      </c>
      <c r="B40" s="443" t="str">
        <f t="shared" ca="1" si="0"/>
        <v/>
      </c>
    </row>
    <row r="41" spans="1:15" ht="20.85" customHeight="1" x14ac:dyDescent="0.25">
      <c r="A41" s="443" t="s">
        <v>450</v>
      </c>
      <c r="B41" s="443" t="str">
        <f t="shared" ca="1" si="0"/>
        <v/>
      </c>
    </row>
    <row r="42" spans="1:15" ht="20.85" customHeight="1" x14ac:dyDescent="0.25">
      <c r="A42" s="443" t="s">
        <v>451</v>
      </c>
      <c r="B42" s="443" t="str">
        <f t="shared" ca="1" si="0"/>
        <v/>
      </c>
    </row>
    <row r="43" spans="1:15" ht="20.85" customHeight="1" x14ac:dyDescent="0.25">
      <c r="A43" s="443" t="s">
        <v>452</v>
      </c>
      <c r="B43" s="443" t="str">
        <f t="shared" ca="1" si="0"/>
        <v/>
      </c>
      <c r="D43" s="55" t="s">
        <v>973</v>
      </c>
      <c r="E43" s="55"/>
      <c r="F43" s="55"/>
      <c r="G43" s="55"/>
      <c r="H43" s="55"/>
      <c r="I43" s="55"/>
      <c r="J43" s="55"/>
      <c r="K43" s="55"/>
    </row>
    <row r="44" spans="1:15" ht="20.85" customHeight="1" x14ac:dyDescent="0.25">
      <c r="A44" s="443" t="s">
        <v>453</v>
      </c>
      <c r="B44" s="443" t="str">
        <f t="shared" ca="1" si="0"/>
        <v/>
      </c>
      <c r="D44" s="55" t="s">
        <v>973</v>
      </c>
      <c r="E44" s="55"/>
      <c r="F44" s="55"/>
      <c r="G44" s="55"/>
      <c r="L44" s="54" t="s">
        <v>973</v>
      </c>
      <c r="M44" s="54"/>
      <c r="N44" s="54"/>
      <c r="O44" s="54"/>
    </row>
    <row r="45" spans="1:15" ht="20.85" customHeight="1" x14ac:dyDescent="0.25">
      <c r="A45" s="443" t="s">
        <v>454</v>
      </c>
      <c r="B45" s="443" t="str">
        <f t="shared" ca="1" si="0"/>
        <v/>
      </c>
    </row>
    <row r="46" spans="1:15" ht="20.85" customHeight="1" x14ac:dyDescent="0.25">
      <c r="A46" s="443" t="s">
        <v>455</v>
      </c>
      <c r="B46" s="443" t="str">
        <f t="shared" ca="1" si="0"/>
        <v/>
      </c>
    </row>
    <row r="47" spans="1:15" ht="20.85" customHeight="1" x14ac:dyDescent="0.25">
      <c r="A47" s="443" t="s">
        <v>456</v>
      </c>
      <c r="B47" s="443" t="str">
        <f t="shared" ca="1" si="0"/>
        <v/>
      </c>
    </row>
    <row r="48" spans="1:15" ht="20.85" customHeight="1" x14ac:dyDescent="0.25"/>
    <row r="49" spans="4:15" ht="20.85" customHeight="1" x14ac:dyDescent="0.25"/>
    <row r="50" spans="4:15" ht="20.85" customHeight="1" x14ac:dyDescent="0.25"/>
    <row r="51" spans="4:15" ht="20.85" customHeight="1" x14ac:dyDescent="0.25">
      <c r="D51" s="53" t="s">
        <v>973</v>
      </c>
    </row>
    <row r="52" spans="4:15" ht="20.85" customHeight="1" x14ac:dyDescent="0.25"/>
    <row r="53" spans="4:15" ht="20.85" customHeight="1" x14ac:dyDescent="0.25"/>
    <row r="54" spans="4:15" ht="20.85" customHeight="1" x14ac:dyDescent="0.25">
      <c r="D54" s="55" t="s">
        <v>973</v>
      </c>
      <c r="E54" s="55"/>
      <c r="F54" s="55"/>
      <c r="G54" s="55"/>
      <c r="L54" s="54" t="s">
        <v>973</v>
      </c>
      <c r="M54" s="54"/>
      <c r="N54" s="54"/>
      <c r="O54" s="54"/>
    </row>
  </sheetData>
  <sheetProtection algorithmName="SHA-512" hashValue="u+C27Y2Qgr/lQC6x/iKF9lTE8l+qr0b4/ftVfTDi6BZXxUP4YkW1FkA4ikXkYxZyKILfsi3tnSJGOAWqL9Kwug==" saltValue="mqJ35ly/xar9vr2HPPOABg==" spinCount="100000" sheet="1" objects="1" scenarios="1" autoFilter="0"/>
  <dataConsolidate link="1"/>
  <customSheetViews>
    <customSheetView guid="{B08879A4-635B-4C39-9937-AC7883D562FC}" showGridLines="0" fitToPage="1" hiddenColumns="1" topLeftCell="B1">
      <selection activeCell="B12" sqref="B12"/>
      <pageMargins left="0.5" right="0.5" top="0.75" bottom="0.5" header="0.5" footer="0.5"/>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5" right="0.5" top="0.75" bottom="0.5" header="0.5" footer="0.5"/>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5" right="0.5" top="0.75" bottom="0.5" header="0.5" footer="0.5"/>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5" right="0.5" top="0.75" bottom="0.5" header="0.5" footer="0.5"/>
      <printOptions horizontalCentered="1"/>
      <pageSetup orientation="landscape" blackAndWhite="1" r:id="rId4"/>
      <headerFooter alignWithMargins="0">
        <oddFooter>&amp;R&amp;A</oddFooter>
      </headerFooter>
    </customSheetView>
  </customSheetViews>
  <mergeCells count="8">
    <mergeCell ref="D7:H7"/>
    <mergeCell ref="B4:Q4"/>
    <mergeCell ref="J10:N10"/>
    <mergeCell ref="Q1:Q3"/>
    <mergeCell ref="B2:P2"/>
    <mergeCell ref="B3:P3"/>
    <mergeCell ref="B1:P1"/>
    <mergeCell ref="D6:G6"/>
  </mergeCells>
  <phoneticPr fontId="15" type="noConversion"/>
  <conditionalFormatting sqref="Q1:Q3">
    <cfRule type="cellIs" dxfId="67" priority="1" stopIfTrue="1" operator="equal">
      <formula>"na"</formula>
    </cfRule>
  </conditionalFormatting>
  <dataValidations count="2">
    <dataValidation type="textLength" operator="equal" allowBlank="1" showInputMessage="1" showErrorMessage="1" errorTitle="Invalid data!" error="GASB number must be 4 digits." sqref="D8 F13:F24" xr:uid="{00000000-0002-0000-2900-000000000000}">
      <formula1>4</formula1>
    </dataValidation>
    <dataValidation type="list" allowBlank="1" showInputMessage="1" showErrorMessage="1" sqref="D13:D24 D28:D30" xr:uid="{00000000-0002-0000-2900-000001000000}">
      <formula1>List505thru520</formula1>
    </dataValidation>
  </dataValidations>
  <hyperlinks>
    <hyperlink ref="B1:P1" location="Index!A1" display="Index!A1" xr:uid="{00000000-0004-0000-2900-000000000000}"/>
  </hyperlinks>
  <printOptions horizontalCentered="1"/>
  <pageMargins left="0.5" right="0.5" top="0.75" bottom="0.5" header="0.5" footer="0.5"/>
  <pageSetup scale="91" orientation="landscape" blackAndWhite="1"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O81"/>
  <sheetViews>
    <sheetView showGridLines="0" topLeftCell="B1" zoomScaleNormal="100" workbookViewId="0">
      <selection activeCell="L31" sqref="L31"/>
    </sheetView>
  </sheetViews>
  <sheetFormatPr defaultColWidth="9.42578125" defaultRowHeight="12.75" x14ac:dyDescent="0.2"/>
  <cols>
    <col min="1" max="1" width="9.42578125" style="61" hidden="1" customWidth="1"/>
    <col min="2" max="3" width="3.42578125" style="61" customWidth="1"/>
    <col min="4" max="4" width="14.5703125" style="61" customWidth="1"/>
    <col min="5" max="5" width="9.42578125" style="61"/>
    <col min="6" max="6" width="12.5703125" style="61" customWidth="1"/>
    <col min="7" max="7" width="7.5703125" style="61" customWidth="1"/>
    <col min="8" max="8" width="8.5703125" style="61" customWidth="1"/>
    <col min="9" max="9" width="7.42578125" style="61" customWidth="1"/>
    <col min="10" max="10" width="8.42578125" style="61" customWidth="1"/>
    <col min="11" max="11" width="7" style="61" customWidth="1"/>
    <col min="12" max="12" width="8.42578125" style="61" customWidth="1"/>
    <col min="13" max="13" width="4.5703125" style="61" customWidth="1"/>
    <col min="14" max="14" width="10.42578125" style="61" customWidth="1"/>
    <col min="15" max="15" width="14.42578125" style="61" customWidth="1"/>
    <col min="16" max="16384" width="9.42578125" style="61"/>
  </cols>
  <sheetData>
    <row r="1" spans="1:13" ht="15.75" x14ac:dyDescent="0.25">
      <c r="A1" s="61" t="str">
        <f t="shared" ref="A1:A37" si="0">AgyIdx</f>
        <v>01</v>
      </c>
      <c r="B1" s="2379" t="str">
        <f>+Index!$A$1</f>
        <v xml:space="preserve">                                                               Office of the State Controller                                                                </v>
      </c>
      <c r="C1" s="2379"/>
      <c r="D1" s="2379"/>
      <c r="E1" s="2379"/>
      <c r="F1" s="2379"/>
      <c r="G1" s="2379"/>
      <c r="H1" s="2379"/>
      <c r="I1" s="2379"/>
      <c r="J1" s="2379"/>
      <c r="K1" s="2379"/>
      <c r="L1" s="2379"/>
      <c r="M1" s="2432" t="str">
        <f>IF(Index!$B$17="na","NA","")</f>
        <v/>
      </c>
    </row>
    <row r="2" spans="1:13" ht="15.75" x14ac:dyDescent="0.25">
      <c r="A2" s="61" t="str">
        <f t="shared" si="0"/>
        <v>01</v>
      </c>
      <c r="B2" s="2435" t="str">
        <f>+Index!$A$2</f>
        <v>2022 ACFR Worksheets</v>
      </c>
      <c r="C2" s="2435"/>
      <c r="D2" s="2435"/>
      <c r="E2" s="2435"/>
      <c r="F2" s="2435"/>
      <c r="G2" s="2435"/>
      <c r="H2" s="2435"/>
      <c r="I2" s="2435"/>
      <c r="J2" s="2435"/>
      <c r="K2" s="2435"/>
      <c r="L2" s="2435"/>
      <c r="M2" s="2432"/>
    </row>
    <row r="3" spans="1:13" ht="15.75" x14ac:dyDescent="0.25">
      <c r="A3" s="61" t="str">
        <f t="shared" si="0"/>
        <v>01</v>
      </c>
      <c r="B3" s="2436" t="s">
        <v>3702</v>
      </c>
      <c r="C3" s="2436"/>
      <c r="D3" s="2436"/>
      <c r="E3" s="2436"/>
      <c r="F3" s="2436"/>
      <c r="G3" s="2436"/>
      <c r="H3" s="2436"/>
      <c r="I3" s="2436"/>
      <c r="J3" s="2436"/>
      <c r="K3" s="2436"/>
      <c r="L3" s="2436"/>
      <c r="M3" s="2432"/>
    </row>
    <row r="4" spans="1:13" ht="12.75" customHeight="1" x14ac:dyDescent="0.25">
      <c r="A4" s="61" t="str">
        <f t="shared" si="0"/>
        <v>01</v>
      </c>
      <c r="B4" s="446"/>
      <c r="C4" s="446"/>
      <c r="D4" s="446"/>
      <c r="E4" s="446"/>
      <c r="F4" s="446"/>
      <c r="G4" s="446"/>
      <c r="H4" s="446"/>
      <c r="I4" s="446"/>
      <c r="J4" s="446"/>
      <c r="K4" s="446"/>
      <c r="L4" s="447"/>
      <c r="M4" s="448"/>
    </row>
    <row r="5" spans="1:13" ht="15.75" x14ac:dyDescent="0.25">
      <c r="A5" s="61" t="str">
        <f t="shared" si="0"/>
        <v>01</v>
      </c>
      <c r="B5" s="449" t="s">
        <v>326</v>
      </c>
      <c r="C5" s="449"/>
      <c r="D5" s="450"/>
      <c r="E5" s="451"/>
      <c r="F5" s="445"/>
      <c r="G5" s="445"/>
      <c r="H5" s="452" t="s">
        <v>327</v>
      </c>
      <c r="I5" s="2437" t="str">
        <f>+Index!$E$10</f>
        <v>01</v>
      </c>
      <c r="J5" s="2437"/>
      <c r="K5" s="2437"/>
      <c r="L5" s="2437"/>
    </row>
    <row r="6" spans="1:13" ht="15.75" x14ac:dyDescent="0.25">
      <c r="A6" s="61" t="str">
        <f t="shared" si="0"/>
        <v>01</v>
      </c>
      <c r="F6" s="453"/>
      <c r="G6" s="445"/>
      <c r="H6" s="452" t="s">
        <v>1154</v>
      </c>
      <c r="I6" s="2433" t="str">
        <f>AgyName</f>
        <v>North Carolina General Assembly</v>
      </c>
      <c r="J6" s="2433"/>
      <c r="K6" s="2433"/>
      <c r="L6" s="2433"/>
    </row>
    <row r="7" spans="1:13" ht="15.75" x14ac:dyDescent="0.25">
      <c r="A7" s="61" t="str">
        <f t="shared" si="0"/>
        <v>01</v>
      </c>
      <c r="B7" s="449"/>
      <c r="C7" s="449"/>
      <c r="D7" s="445"/>
      <c r="E7" s="454"/>
      <c r="F7" s="454"/>
      <c r="G7" s="445"/>
      <c r="H7" s="452" t="s">
        <v>972</v>
      </c>
      <c r="I7" s="2434" t="str">
        <f>CONCATENATE(Index!$E$12," ",Index!$E$14)</f>
        <v xml:space="preserve"> </v>
      </c>
      <c r="J7" s="2434"/>
      <c r="K7" s="2434"/>
      <c r="L7" s="2434"/>
    </row>
    <row r="8" spans="1:13" ht="15.75" x14ac:dyDescent="0.25">
      <c r="A8" s="61" t="str">
        <f t="shared" si="0"/>
        <v>01</v>
      </c>
      <c r="B8" s="449"/>
      <c r="C8" s="449"/>
      <c r="D8" s="445"/>
      <c r="E8" s="454"/>
      <c r="F8" s="454"/>
      <c r="G8" s="445"/>
      <c r="H8" s="452" t="s">
        <v>348</v>
      </c>
      <c r="I8" s="2434">
        <f>+Index!$E$13</f>
        <v>0</v>
      </c>
      <c r="J8" s="2434"/>
      <c r="K8" s="2434"/>
      <c r="L8" s="2434"/>
    </row>
    <row r="9" spans="1:13" ht="6" customHeight="1" thickBot="1" x14ac:dyDescent="0.3">
      <c r="A9" s="61" t="str">
        <f t="shared" si="0"/>
        <v>01</v>
      </c>
      <c r="B9" s="455"/>
      <c r="C9" s="455"/>
      <c r="D9" s="455"/>
      <c r="E9" s="455"/>
      <c r="F9" s="455"/>
      <c r="G9" s="455"/>
      <c r="H9" s="455"/>
      <c r="I9" s="455"/>
      <c r="J9" s="455"/>
      <c r="K9" s="455"/>
      <c r="L9" s="455"/>
    </row>
    <row r="10" spans="1:13" ht="9" customHeight="1" x14ac:dyDescent="0.25">
      <c r="A10" s="61" t="str">
        <f t="shared" si="0"/>
        <v>01</v>
      </c>
      <c r="B10" s="445"/>
      <c r="C10" s="445"/>
      <c r="D10" s="445"/>
      <c r="E10" s="445"/>
      <c r="F10" s="445"/>
      <c r="G10" s="445"/>
      <c r="H10" s="445"/>
      <c r="I10" s="445"/>
      <c r="J10" s="445"/>
      <c r="K10" s="445"/>
      <c r="L10" s="445"/>
    </row>
    <row r="11" spans="1:13" ht="12" customHeight="1" x14ac:dyDescent="0.2">
      <c r="A11" s="61" t="str">
        <f t="shared" si="0"/>
        <v>01</v>
      </c>
      <c r="B11" s="456" t="s">
        <v>133</v>
      </c>
      <c r="C11" s="1190" t="s">
        <v>4632</v>
      </c>
      <c r="D11" s="457"/>
      <c r="E11" s="457"/>
      <c r="F11" s="457"/>
      <c r="G11" s="457"/>
      <c r="H11" s="457"/>
      <c r="I11" s="457"/>
      <c r="J11" s="457"/>
      <c r="K11" s="457"/>
      <c r="L11" s="457"/>
    </row>
    <row r="12" spans="1:13" ht="12" customHeight="1" x14ac:dyDescent="0.2">
      <c r="A12" s="61" t="str">
        <f t="shared" si="0"/>
        <v>01</v>
      </c>
      <c r="B12" s="456"/>
      <c r="C12" s="457" t="s">
        <v>824</v>
      </c>
      <c r="D12" s="457"/>
      <c r="E12" s="457"/>
      <c r="F12" s="457"/>
      <c r="G12" s="457"/>
      <c r="H12" s="457"/>
      <c r="I12" s="457"/>
      <c r="J12" s="457"/>
      <c r="K12" s="457"/>
      <c r="L12" s="457"/>
    </row>
    <row r="13" spans="1:13" ht="12" customHeight="1" x14ac:dyDescent="0.2">
      <c r="A13" s="61" t="str">
        <f t="shared" si="0"/>
        <v>01</v>
      </c>
      <c r="B13" s="457"/>
      <c r="C13" s="458" t="s">
        <v>841</v>
      </c>
      <c r="D13" s="457" t="s">
        <v>134</v>
      </c>
      <c r="E13" s="457"/>
      <c r="F13" s="459" t="s">
        <v>841</v>
      </c>
      <c r="G13" s="457" t="s">
        <v>135</v>
      </c>
      <c r="H13" s="457"/>
      <c r="I13" s="460"/>
      <c r="J13" s="461"/>
      <c r="K13" s="460"/>
      <c r="L13" s="461"/>
    </row>
    <row r="14" spans="1:13" ht="12" customHeight="1" x14ac:dyDescent="0.2">
      <c r="A14" s="61" t="str">
        <f t="shared" si="0"/>
        <v>01</v>
      </c>
      <c r="B14" s="457"/>
      <c r="C14" s="458" t="s">
        <v>841</v>
      </c>
      <c r="D14" s="457" t="s">
        <v>381</v>
      </c>
      <c r="E14" s="457"/>
      <c r="F14" s="459" t="s">
        <v>841</v>
      </c>
      <c r="G14" s="457" t="s">
        <v>382</v>
      </c>
      <c r="H14" s="457"/>
      <c r="I14" s="460"/>
      <c r="J14" s="461"/>
      <c r="K14" s="460"/>
      <c r="L14" s="461"/>
    </row>
    <row r="15" spans="1:13" ht="12" customHeight="1" x14ac:dyDescent="0.2">
      <c r="A15" s="61" t="str">
        <f t="shared" si="0"/>
        <v>01</v>
      </c>
      <c r="B15" s="457"/>
      <c r="C15" s="457" t="s">
        <v>383</v>
      </c>
      <c r="E15" s="457"/>
      <c r="F15" s="457"/>
      <c r="G15" s="457"/>
      <c r="H15" s="457"/>
      <c r="I15" s="460"/>
      <c r="J15" s="461"/>
      <c r="K15" s="460"/>
      <c r="L15" s="461"/>
    </row>
    <row r="16" spans="1:13" ht="12" customHeight="1" x14ac:dyDescent="0.2">
      <c r="A16" s="61" t="str">
        <f t="shared" si="0"/>
        <v>01</v>
      </c>
      <c r="B16" s="457"/>
      <c r="C16" s="457"/>
      <c r="D16" s="462" t="s">
        <v>967</v>
      </c>
      <c r="E16" s="457"/>
      <c r="F16" s="2443" t="s">
        <v>968</v>
      </c>
      <c r="G16" s="2443"/>
      <c r="H16" s="2443"/>
      <c r="I16" s="2443"/>
      <c r="J16" s="2443"/>
      <c r="K16" s="2443"/>
      <c r="L16" s="2443"/>
    </row>
    <row r="17" spans="1:15" ht="12" customHeight="1" x14ac:dyDescent="0.2">
      <c r="A17" s="61" t="str">
        <f t="shared" si="0"/>
        <v>01</v>
      </c>
      <c r="B17" s="457"/>
      <c r="C17" s="457"/>
      <c r="D17" s="1559"/>
      <c r="E17" s="457"/>
      <c r="F17" s="2439"/>
      <c r="G17" s="2440"/>
      <c r="H17" s="2440"/>
      <c r="I17" s="2440"/>
      <c r="J17" s="2440"/>
      <c r="K17" s="2440"/>
      <c r="L17" s="2440"/>
      <c r="N17" s="2444" t="str">
        <f>IF(ISBLANK($F$17)=TRUE,"Valuation Missing"," ")</f>
        <v>Valuation Missing</v>
      </c>
      <c r="O17" s="2378"/>
    </row>
    <row r="18" spans="1:15" ht="12" customHeight="1" x14ac:dyDescent="0.2">
      <c r="A18" s="61" t="str">
        <f t="shared" si="0"/>
        <v>01</v>
      </c>
      <c r="B18" s="457"/>
      <c r="C18" s="457"/>
      <c r="D18" s="710"/>
      <c r="E18" s="457"/>
      <c r="F18" s="2441"/>
      <c r="G18" s="2442"/>
      <c r="H18" s="2442"/>
      <c r="I18" s="2442"/>
      <c r="J18" s="2442"/>
      <c r="K18" s="2442"/>
      <c r="L18" s="2442"/>
    </row>
    <row r="19" spans="1:15" ht="5.0999999999999996" customHeight="1" x14ac:dyDescent="0.2">
      <c r="A19" s="61" t="str">
        <f t="shared" si="0"/>
        <v>01</v>
      </c>
      <c r="B19" s="457"/>
      <c r="C19" s="457"/>
      <c r="D19" s="457"/>
      <c r="E19" s="457"/>
      <c r="F19" s="457"/>
      <c r="G19" s="457"/>
      <c r="H19" s="457"/>
      <c r="I19" s="460"/>
      <c r="J19" s="461"/>
      <c r="K19" s="460"/>
      <c r="L19" s="461"/>
    </row>
    <row r="20" spans="1:15" ht="12" customHeight="1" x14ac:dyDescent="0.2">
      <c r="A20" s="61" t="str">
        <f t="shared" si="0"/>
        <v>01</v>
      </c>
      <c r="B20" s="1190" t="s">
        <v>384</v>
      </c>
      <c r="C20" s="1190" t="s">
        <v>385</v>
      </c>
      <c r="D20" s="949"/>
      <c r="E20" s="949"/>
      <c r="F20" s="949"/>
      <c r="G20" s="949"/>
      <c r="H20" s="949"/>
      <c r="I20" s="949"/>
      <c r="J20" s="949"/>
      <c r="K20" s="949"/>
      <c r="L20" s="949"/>
    </row>
    <row r="21" spans="1:15" ht="12" customHeight="1" x14ac:dyDescent="0.2">
      <c r="A21" s="61" t="str">
        <f t="shared" si="0"/>
        <v>01</v>
      </c>
      <c r="B21" s="949"/>
      <c r="C21" s="463" t="s">
        <v>5569</v>
      </c>
      <c r="E21" s="949"/>
      <c r="F21" s="949"/>
      <c r="G21" s="949"/>
      <c r="H21" s="1989"/>
      <c r="I21" s="2322"/>
      <c r="J21" s="1989"/>
      <c r="K21" s="2322"/>
      <c r="L21" s="949"/>
    </row>
    <row r="22" spans="1:15" ht="12" customHeight="1" x14ac:dyDescent="0.2">
      <c r="A22" s="61" t="str">
        <f t="shared" si="0"/>
        <v>01</v>
      </c>
      <c r="B22" s="949"/>
      <c r="C22" s="949" t="s">
        <v>1349</v>
      </c>
      <c r="E22" s="949"/>
      <c r="F22" s="949"/>
      <c r="G22" s="949"/>
      <c r="H22" s="1989"/>
      <c r="I22" s="2322"/>
      <c r="J22" s="1989"/>
      <c r="K22" s="2322"/>
      <c r="L22" s="949"/>
    </row>
    <row r="23" spans="1:15" ht="12" customHeight="1" x14ac:dyDescent="0.2">
      <c r="A23" s="61" t="str">
        <f t="shared" si="0"/>
        <v>01</v>
      </c>
      <c r="B23" s="949"/>
      <c r="C23" s="949" t="s">
        <v>5570</v>
      </c>
      <c r="E23" s="949"/>
      <c r="F23" s="949"/>
      <c r="G23" s="949"/>
      <c r="H23" s="1989"/>
      <c r="I23" s="2322"/>
      <c r="J23" s="1989"/>
      <c r="K23" s="2322"/>
      <c r="L23" s="949"/>
    </row>
    <row r="24" spans="1:15" ht="12" customHeight="1" x14ac:dyDescent="0.2">
      <c r="B24" s="949"/>
      <c r="C24" s="949" t="s">
        <v>5571</v>
      </c>
      <c r="E24" s="949"/>
      <c r="F24" s="949"/>
      <c r="G24" s="949"/>
      <c r="H24" s="1989"/>
      <c r="I24" s="2322"/>
      <c r="J24" s="1989"/>
      <c r="K24" s="2322"/>
      <c r="L24" s="949"/>
    </row>
    <row r="25" spans="1:15" ht="16.350000000000001" customHeight="1" x14ac:dyDescent="0.2">
      <c r="A25" s="61" t="str">
        <f t="shared" si="0"/>
        <v>01</v>
      </c>
      <c r="B25" s="949"/>
      <c r="C25" s="61" t="s">
        <v>386</v>
      </c>
      <c r="D25" s="949" t="s">
        <v>1348</v>
      </c>
      <c r="E25" s="949"/>
      <c r="F25" s="949"/>
      <c r="G25" s="949"/>
      <c r="H25" s="1989"/>
      <c r="I25" s="1989" t="s">
        <v>969</v>
      </c>
      <c r="J25" s="947"/>
      <c r="K25" s="1989" t="s">
        <v>970</v>
      </c>
      <c r="L25" s="947"/>
      <c r="N25" s="2444" t="str">
        <f>IF(AND(ISBLANK($J$25),ISBLANK($L$25))=TRUE,"Answer Missing"," ")</f>
        <v>Answer Missing</v>
      </c>
      <c r="O25" s="2378"/>
    </row>
    <row r="26" spans="1:15" ht="16.350000000000001" customHeight="1" x14ac:dyDescent="0.2">
      <c r="A26" s="61" t="str">
        <f t="shared" si="0"/>
        <v>01</v>
      </c>
      <c r="B26" s="949"/>
      <c r="D26" s="1190" t="s">
        <v>1350</v>
      </c>
      <c r="E26" s="949"/>
      <c r="F26" s="949"/>
      <c r="G26" s="2438"/>
      <c r="H26" s="2439"/>
      <c r="I26" s="2439"/>
      <c r="J26" s="2439"/>
      <c r="K26" s="2439"/>
      <c r="L26" s="2439"/>
    </row>
    <row r="27" spans="1:15" ht="6.6" customHeight="1" x14ac:dyDescent="0.2">
      <c r="B27" s="949"/>
      <c r="D27" s="1190"/>
      <c r="E27" s="949"/>
      <c r="F27" s="949"/>
      <c r="G27" s="2320"/>
      <c r="H27" s="2323"/>
      <c r="I27" s="2323"/>
      <c r="J27" s="2323"/>
      <c r="K27" s="2323"/>
      <c r="L27" s="2323"/>
    </row>
    <row r="28" spans="1:15" ht="16.350000000000001" customHeight="1" x14ac:dyDescent="0.2">
      <c r="B28" s="949"/>
      <c r="C28" s="463" t="s">
        <v>5572</v>
      </c>
      <c r="D28" s="1190"/>
      <c r="E28" s="949"/>
      <c r="F28" s="949"/>
      <c r="G28" s="2320"/>
      <c r="H28" s="2323"/>
      <c r="I28" s="2323"/>
      <c r="J28" s="2323"/>
      <c r="K28" s="2323"/>
      <c r="L28" s="2323"/>
    </row>
    <row r="29" spans="1:15" x14ac:dyDescent="0.2">
      <c r="B29" s="949"/>
      <c r="C29" s="949" t="s">
        <v>5573</v>
      </c>
      <c r="D29" s="1190"/>
      <c r="E29" s="949"/>
      <c r="F29" s="949"/>
      <c r="G29" s="2320"/>
      <c r="H29" s="2323"/>
      <c r="I29" s="2323"/>
      <c r="J29" s="2323"/>
      <c r="K29" s="2323"/>
      <c r="L29" s="2323"/>
    </row>
    <row r="30" spans="1:15" x14ac:dyDescent="0.2">
      <c r="B30" s="949"/>
      <c r="C30" s="949" t="s">
        <v>5574</v>
      </c>
      <c r="D30" s="1190"/>
      <c r="E30" s="949"/>
      <c r="F30" s="949"/>
      <c r="G30" s="2320"/>
      <c r="H30" s="2323"/>
      <c r="I30" s="2323"/>
      <c r="J30" s="2323"/>
      <c r="K30" s="2323"/>
      <c r="L30" s="2323"/>
    </row>
    <row r="31" spans="1:15" x14ac:dyDescent="0.2">
      <c r="B31" s="949"/>
      <c r="C31" s="61" t="s">
        <v>819</v>
      </c>
      <c r="D31" s="949" t="s">
        <v>5575</v>
      </c>
      <c r="E31" s="949"/>
      <c r="F31" s="949"/>
      <c r="G31" s="949"/>
      <c r="H31" s="1989"/>
      <c r="I31" s="1989" t="s">
        <v>969</v>
      </c>
      <c r="J31" s="947"/>
      <c r="K31" s="1989" t="s">
        <v>970</v>
      </c>
      <c r="L31" s="947"/>
      <c r="N31" s="2444" t="str">
        <f>IF(AND(ISBLANK($J$31),ISBLANK($L$31))=TRUE,"Answer Missing"," ")</f>
        <v>Answer Missing</v>
      </c>
      <c r="O31" s="2378"/>
    </row>
    <row r="32" spans="1:15" x14ac:dyDescent="0.2">
      <c r="B32" s="949"/>
      <c r="D32" s="1190" t="s">
        <v>1350</v>
      </c>
      <c r="E32" s="949"/>
      <c r="F32" s="949"/>
      <c r="G32" s="2438"/>
      <c r="H32" s="2439"/>
      <c r="I32" s="2439"/>
      <c r="J32" s="2439"/>
      <c r="K32" s="2439"/>
      <c r="L32" s="2439"/>
    </row>
    <row r="33" spans="1:12" ht="6" customHeight="1" x14ac:dyDescent="0.2">
      <c r="B33" s="457"/>
      <c r="D33" s="456"/>
      <c r="E33" s="457"/>
      <c r="F33" s="457"/>
      <c r="G33" s="2320"/>
      <c r="H33" s="2321"/>
      <c r="I33" s="2321"/>
      <c r="J33" s="2321"/>
      <c r="K33" s="2321"/>
      <c r="L33" s="2321"/>
    </row>
    <row r="34" spans="1:12" ht="12" customHeight="1" x14ac:dyDescent="0.2">
      <c r="A34" s="61" t="str">
        <f t="shared" si="0"/>
        <v>01</v>
      </c>
      <c r="B34" s="457"/>
      <c r="C34" s="463" t="s">
        <v>1197</v>
      </c>
      <c r="D34" s="457"/>
      <c r="E34" s="457"/>
      <c r="F34" s="457"/>
      <c r="G34" s="457"/>
      <c r="H34" s="460"/>
      <c r="I34" s="460"/>
      <c r="J34" s="461"/>
      <c r="K34" s="460"/>
      <c r="L34" s="461"/>
    </row>
    <row r="35" spans="1:12" ht="12" customHeight="1" x14ac:dyDescent="0.2">
      <c r="A35" s="61" t="str">
        <f t="shared" si="0"/>
        <v>01</v>
      </c>
      <c r="B35" s="457"/>
      <c r="C35" s="949" t="s">
        <v>4633</v>
      </c>
      <c r="E35" s="457"/>
      <c r="F35" s="457"/>
      <c r="G35" s="457"/>
      <c r="H35" s="460"/>
      <c r="I35" s="460"/>
      <c r="J35" s="461"/>
      <c r="K35" s="460"/>
      <c r="L35" s="461"/>
    </row>
    <row r="36" spans="1:12" ht="12" customHeight="1" x14ac:dyDescent="0.2">
      <c r="A36" s="61" t="str">
        <f t="shared" si="0"/>
        <v>01</v>
      </c>
      <c r="B36" s="457"/>
      <c r="C36" s="61" t="s">
        <v>5621</v>
      </c>
      <c r="D36" s="457" t="s">
        <v>732</v>
      </c>
      <c r="E36" s="457"/>
      <c r="F36" s="457"/>
      <c r="G36" s="457"/>
      <c r="H36" s="460"/>
      <c r="I36" s="460"/>
      <c r="J36" s="461"/>
      <c r="K36" s="460"/>
      <c r="L36" s="461"/>
    </row>
    <row r="37" spans="1:12" ht="12" customHeight="1" x14ac:dyDescent="0.2">
      <c r="A37" s="61" t="str">
        <f t="shared" si="0"/>
        <v>01</v>
      </c>
      <c r="B37" s="457"/>
      <c r="C37" s="457"/>
      <c r="D37" s="2439"/>
      <c r="E37" s="2440"/>
      <c r="F37" s="2440"/>
      <c r="G37" s="2440"/>
      <c r="H37" s="2440"/>
      <c r="I37" s="2440"/>
      <c r="J37" s="2440"/>
      <c r="K37" s="2440"/>
      <c r="L37" s="2440"/>
    </row>
    <row r="38" spans="1:12" ht="12" customHeight="1" x14ac:dyDescent="0.2">
      <c r="A38" s="61" t="str">
        <f t="shared" ref="A38:A70" si="1">AgyIdx</f>
        <v>01</v>
      </c>
      <c r="B38" s="457"/>
      <c r="C38" s="457"/>
      <c r="D38" s="2441"/>
      <c r="E38" s="2442"/>
      <c r="F38" s="2442"/>
      <c r="G38" s="2442"/>
      <c r="H38" s="2442"/>
      <c r="I38" s="2442"/>
      <c r="J38" s="2442"/>
      <c r="K38" s="2442"/>
      <c r="L38" s="2442"/>
    </row>
    <row r="39" spans="1:12" ht="5.0999999999999996" customHeight="1" x14ac:dyDescent="0.2">
      <c r="A39" s="61" t="str">
        <f t="shared" si="1"/>
        <v>01</v>
      </c>
      <c r="B39" s="457"/>
      <c r="C39" s="457"/>
      <c r="D39" s="457"/>
      <c r="E39" s="457"/>
      <c r="F39" s="457"/>
      <c r="G39" s="457"/>
      <c r="H39" s="460"/>
      <c r="I39" s="461"/>
      <c r="J39" s="460"/>
      <c r="K39" s="461"/>
      <c r="L39" s="457"/>
    </row>
    <row r="40" spans="1:12" ht="12" customHeight="1" x14ac:dyDescent="0.2">
      <c r="A40" s="61" t="str">
        <f t="shared" si="1"/>
        <v>01</v>
      </c>
      <c r="B40" s="456" t="s">
        <v>733</v>
      </c>
      <c r="C40" s="1190" t="s">
        <v>5576</v>
      </c>
      <c r="D40" s="457"/>
      <c r="E40" s="457"/>
      <c r="F40" s="457"/>
      <c r="G40" s="457"/>
      <c r="H40" s="457"/>
      <c r="I40" s="457"/>
      <c r="J40" s="457"/>
      <c r="K40" s="457"/>
      <c r="L40" s="457"/>
    </row>
    <row r="41" spans="1:12" ht="12" customHeight="1" x14ac:dyDescent="0.2">
      <c r="A41" s="61" t="str">
        <f t="shared" si="1"/>
        <v>01</v>
      </c>
      <c r="B41" s="457"/>
      <c r="C41" s="949" t="s">
        <v>3590</v>
      </c>
      <c r="D41" s="457"/>
      <c r="E41" s="457"/>
      <c r="F41" s="457"/>
      <c r="G41" s="457"/>
      <c r="H41" s="457"/>
      <c r="I41" s="457"/>
      <c r="J41" s="457"/>
      <c r="K41" s="457"/>
      <c r="L41" s="457"/>
    </row>
    <row r="42" spans="1:12" ht="12" customHeight="1" x14ac:dyDescent="0.2">
      <c r="A42" s="61" t="str">
        <f t="shared" si="1"/>
        <v>01</v>
      </c>
      <c r="B42" s="457"/>
      <c r="C42" s="949" t="s">
        <v>3591</v>
      </c>
      <c r="D42" s="457"/>
      <c r="E42" s="457"/>
      <c r="F42" s="457"/>
      <c r="G42" s="457"/>
      <c r="H42" s="457"/>
      <c r="I42" s="457"/>
      <c r="J42" s="457"/>
      <c r="K42" s="457"/>
      <c r="L42" s="457"/>
    </row>
    <row r="43" spans="1:12" ht="12" customHeight="1" x14ac:dyDescent="0.2">
      <c r="A43" s="61" t="str">
        <f t="shared" si="1"/>
        <v>01</v>
      </c>
      <c r="B43" s="457"/>
      <c r="C43" s="949" t="s">
        <v>4634</v>
      </c>
      <c r="D43" s="457"/>
      <c r="E43" s="457"/>
      <c r="F43" s="457"/>
      <c r="G43" s="457"/>
      <c r="H43" s="457"/>
      <c r="I43" s="457"/>
      <c r="J43" s="457"/>
      <c r="K43" s="457"/>
      <c r="L43" s="457"/>
    </row>
    <row r="44" spans="1:12" ht="12" customHeight="1" x14ac:dyDescent="0.2">
      <c r="A44" s="61" t="str">
        <f t="shared" si="1"/>
        <v>01</v>
      </c>
      <c r="B44" s="457"/>
      <c r="C44" s="457" t="s">
        <v>259</v>
      </c>
      <c r="D44" s="457"/>
      <c r="E44" s="457"/>
      <c r="F44" s="457"/>
      <c r="G44" s="457"/>
      <c r="H44" s="457"/>
      <c r="I44" s="457"/>
      <c r="J44" s="457"/>
      <c r="K44" s="457"/>
      <c r="L44" s="457"/>
    </row>
    <row r="45" spans="1:12" ht="12" customHeight="1" x14ac:dyDescent="0.2">
      <c r="A45" s="61" t="str">
        <f t="shared" si="1"/>
        <v>01</v>
      </c>
      <c r="B45" s="457"/>
      <c r="C45" s="457"/>
      <c r="D45" s="457" t="s">
        <v>899</v>
      </c>
      <c r="E45" s="457"/>
      <c r="F45" s="457"/>
      <c r="G45" s="2439"/>
      <c r="H45" s="2440"/>
      <c r="I45" s="2440"/>
      <c r="J45" s="2440"/>
      <c r="K45" s="2440"/>
      <c r="L45" s="2440"/>
    </row>
    <row r="46" spans="1:12" ht="12" customHeight="1" x14ac:dyDescent="0.2">
      <c r="A46" s="61" t="str">
        <f t="shared" si="1"/>
        <v>01</v>
      </c>
      <c r="B46" s="457"/>
      <c r="C46" s="457"/>
      <c r="D46" s="457" t="s">
        <v>900</v>
      </c>
      <c r="E46" s="457"/>
      <c r="F46" s="457"/>
      <c r="G46" s="2439"/>
      <c r="H46" s="2440"/>
      <c r="I46" s="2440"/>
      <c r="J46" s="2440"/>
      <c r="K46" s="2440"/>
      <c r="L46" s="2440"/>
    </row>
    <row r="47" spans="1:12" ht="12" customHeight="1" x14ac:dyDescent="0.2">
      <c r="B47" s="457"/>
      <c r="C47" s="457"/>
      <c r="D47" s="457"/>
      <c r="E47" s="457"/>
      <c r="F47" s="457"/>
      <c r="G47" s="457"/>
      <c r="H47" s="457"/>
      <c r="I47" s="457"/>
      <c r="J47" s="457"/>
      <c r="K47" s="457"/>
      <c r="L47" s="457"/>
    </row>
    <row r="48" spans="1:12" ht="12" customHeight="1" x14ac:dyDescent="0.2">
      <c r="A48" s="61" t="str">
        <f t="shared" si="1"/>
        <v>01</v>
      </c>
      <c r="B48" s="456" t="s">
        <v>553</v>
      </c>
      <c r="C48" s="456" t="s">
        <v>554</v>
      </c>
      <c r="D48" s="457"/>
      <c r="E48" s="457"/>
      <c r="F48" s="457"/>
      <c r="G48" s="457"/>
      <c r="H48" s="457"/>
      <c r="I48" s="457"/>
      <c r="J48" s="457"/>
      <c r="K48" s="457"/>
      <c r="L48" s="457"/>
    </row>
    <row r="49" spans="1:15" ht="12" customHeight="1" x14ac:dyDescent="0.2">
      <c r="A49" s="61" t="str">
        <f t="shared" si="1"/>
        <v>01</v>
      </c>
      <c r="B49" s="457"/>
      <c r="C49" s="457" t="s">
        <v>797</v>
      </c>
      <c r="D49" s="457"/>
      <c r="E49" s="457"/>
      <c r="F49" s="457"/>
      <c r="G49" s="457"/>
      <c r="H49" s="457"/>
      <c r="I49" s="457"/>
      <c r="J49" s="457"/>
      <c r="K49" s="457"/>
      <c r="L49" s="457"/>
    </row>
    <row r="50" spans="1:15" ht="12" customHeight="1" x14ac:dyDescent="0.2">
      <c r="A50" s="61" t="str">
        <f t="shared" si="1"/>
        <v>01</v>
      </c>
      <c r="B50" s="457"/>
      <c r="C50" s="457" t="s">
        <v>357</v>
      </c>
      <c r="D50" s="457"/>
      <c r="E50" s="457"/>
      <c r="F50" s="457"/>
      <c r="G50" s="457"/>
      <c r="H50" s="457"/>
      <c r="I50" s="460" t="s">
        <v>969</v>
      </c>
      <c r="J50" s="947"/>
      <c r="K50" s="460" t="s">
        <v>970</v>
      </c>
      <c r="L50" s="947"/>
      <c r="N50" s="2444" t="str">
        <f>IF(AND(ISBLANK($J$50),ISBLANK($L$50))=TRUE,"Answer Missing"," ")</f>
        <v>Answer Missing</v>
      </c>
      <c r="O50" s="2378"/>
    </row>
    <row r="51" spans="1:15" ht="12" customHeight="1" x14ac:dyDescent="0.2">
      <c r="A51" s="61" t="str">
        <f t="shared" si="1"/>
        <v>01</v>
      </c>
      <c r="B51" s="457"/>
      <c r="C51" s="456" t="s">
        <v>316</v>
      </c>
      <c r="D51" s="457"/>
      <c r="E51" s="457"/>
      <c r="F51" s="457"/>
      <c r="G51" s="457"/>
      <c r="H51" s="457"/>
      <c r="I51" s="457"/>
      <c r="J51" s="457"/>
      <c r="K51" s="457"/>
      <c r="L51" s="457"/>
    </row>
    <row r="52" spans="1:15" ht="12" customHeight="1" x14ac:dyDescent="0.2">
      <c r="A52" s="61" t="str">
        <f t="shared" si="1"/>
        <v>01</v>
      </c>
      <c r="B52" s="457"/>
      <c r="C52" s="2439"/>
      <c r="D52" s="2440"/>
      <c r="E52" s="2440"/>
      <c r="F52" s="2440"/>
      <c r="G52" s="2440"/>
      <c r="H52" s="2440"/>
      <c r="I52" s="2440"/>
      <c r="J52" s="2440"/>
      <c r="K52" s="2440"/>
      <c r="L52" s="2440"/>
      <c r="M52" s="1427"/>
      <c r="N52" s="2448" t="str">
        <f>IF(ISTEXT(J50), "Response for Yes needed", " ")</f>
        <v xml:space="preserve"> </v>
      </c>
      <c r="O52" s="2448"/>
    </row>
    <row r="53" spans="1:15" ht="12" customHeight="1" x14ac:dyDescent="0.2">
      <c r="A53" s="61" t="str">
        <f t="shared" si="1"/>
        <v>01</v>
      </c>
      <c r="B53" s="457"/>
      <c r="C53" s="2439"/>
      <c r="D53" s="2440"/>
      <c r="E53" s="2440"/>
      <c r="F53" s="2440"/>
      <c r="G53" s="2440"/>
      <c r="H53" s="2440"/>
      <c r="I53" s="2440"/>
      <c r="J53" s="2440"/>
      <c r="K53" s="2440"/>
      <c r="L53" s="2440"/>
    </row>
    <row r="54" spans="1:15" ht="5.0999999999999996" customHeight="1" x14ac:dyDescent="0.2">
      <c r="A54" s="61" t="str">
        <f t="shared" si="1"/>
        <v>01</v>
      </c>
      <c r="B54" s="457"/>
      <c r="C54" s="457"/>
      <c r="D54" s="457"/>
      <c r="E54" s="457"/>
      <c r="F54" s="457"/>
      <c r="G54" s="457"/>
      <c r="H54" s="457"/>
      <c r="I54" s="457"/>
      <c r="J54" s="457"/>
      <c r="K54" s="457"/>
      <c r="L54" s="457"/>
    </row>
    <row r="55" spans="1:15" ht="12" customHeight="1" x14ac:dyDescent="0.2">
      <c r="A55" s="61" t="str">
        <f t="shared" si="1"/>
        <v>01</v>
      </c>
      <c r="B55" s="456" t="s">
        <v>317</v>
      </c>
      <c r="C55" s="1190" t="s">
        <v>4635</v>
      </c>
      <c r="D55" s="457"/>
      <c r="E55" s="457"/>
      <c r="F55" s="457"/>
      <c r="G55" s="457"/>
      <c r="H55" s="457"/>
      <c r="I55" s="457"/>
      <c r="J55" s="457"/>
      <c r="K55" s="457"/>
      <c r="L55" s="457"/>
    </row>
    <row r="56" spans="1:15" ht="12" customHeight="1" x14ac:dyDescent="0.2">
      <c r="A56" s="61" t="str">
        <f t="shared" si="1"/>
        <v>01</v>
      </c>
      <c r="B56" s="457"/>
      <c r="C56" s="457" t="s">
        <v>1556</v>
      </c>
      <c r="D56" s="457"/>
      <c r="E56" s="457"/>
      <c r="F56" s="457"/>
      <c r="G56" s="457"/>
      <c r="H56" s="457"/>
      <c r="I56" s="457"/>
      <c r="J56" s="457"/>
      <c r="K56" s="457"/>
      <c r="L56" s="457"/>
    </row>
    <row r="57" spans="1:15" ht="12" customHeight="1" x14ac:dyDescent="0.2">
      <c r="A57" s="61" t="str">
        <f t="shared" si="1"/>
        <v>01</v>
      </c>
      <c r="B57" s="457"/>
      <c r="C57" s="457" t="s">
        <v>1557</v>
      </c>
      <c r="D57" s="457"/>
      <c r="E57" s="457"/>
      <c r="F57" s="457"/>
      <c r="G57" s="457"/>
      <c r="H57" s="457"/>
      <c r="I57" s="457"/>
      <c r="J57" s="457"/>
      <c r="K57" s="457"/>
      <c r="L57" s="457"/>
    </row>
    <row r="58" spans="1:15" ht="14.1" customHeight="1" x14ac:dyDescent="0.2">
      <c r="A58" s="61" t="str">
        <f t="shared" si="1"/>
        <v>01</v>
      </c>
      <c r="B58" s="457"/>
      <c r="C58" s="457"/>
      <c r="D58" s="457"/>
      <c r="E58" s="457"/>
      <c r="F58" s="457"/>
      <c r="G58" s="944" t="s">
        <v>969</v>
      </c>
      <c r="H58" s="1559"/>
      <c r="I58" s="460" t="s">
        <v>970</v>
      </c>
      <c r="J58" s="947"/>
      <c r="K58" s="1989" t="s">
        <v>345</v>
      </c>
      <c r="L58" s="709"/>
      <c r="N58" s="2444" t="str">
        <f>IF(AND(ISBLANK($H$58),ISBLANK($J$58),ISBLANK($L$58))=TRUE,"Answer Missing"," ")</f>
        <v>Answer Missing</v>
      </c>
      <c r="O58" s="2378"/>
    </row>
    <row r="59" spans="1:15" ht="5.0999999999999996" customHeight="1" x14ac:dyDescent="0.2">
      <c r="A59" s="61" t="str">
        <f t="shared" si="1"/>
        <v>01</v>
      </c>
    </row>
    <row r="60" spans="1:15" ht="12" customHeight="1" x14ac:dyDescent="0.2">
      <c r="A60" s="61" t="str">
        <f t="shared" si="1"/>
        <v>01</v>
      </c>
      <c r="B60" s="456" t="s">
        <v>1141</v>
      </c>
      <c r="C60" s="456" t="s">
        <v>248</v>
      </c>
      <c r="D60" s="457"/>
      <c r="E60" s="457"/>
      <c r="F60" s="457"/>
      <c r="G60" s="457"/>
      <c r="H60" s="457"/>
      <c r="I60" s="457"/>
      <c r="J60" s="457"/>
      <c r="K60" s="457"/>
      <c r="L60" s="457"/>
    </row>
    <row r="61" spans="1:15" x14ac:dyDescent="0.2">
      <c r="A61" s="61" t="str">
        <f t="shared" si="1"/>
        <v>01</v>
      </c>
      <c r="C61" s="945" t="s">
        <v>1345</v>
      </c>
      <c r="I61" s="460"/>
      <c r="J61" s="943"/>
      <c r="K61" s="460"/>
      <c r="L61" s="946"/>
    </row>
    <row r="62" spans="1:15" x14ac:dyDescent="0.2">
      <c r="A62" s="61" t="str">
        <f t="shared" si="1"/>
        <v>01</v>
      </c>
      <c r="C62" s="945" t="s">
        <v>1344</v>
      </c>
      <c r="I62" s="460" t="s">
        <v>969</v>
      </c>
      <c r="J62" s="947"/>
      <c r="K62" s="460" t="s">
        <v>970</v>
      </c>
      <c r="L62" s="709"/>
      <c r="N62" s="2444" t="str">
        <f>IF(AND(ISBLANK($J$62),ISBLANK($L$62))=TRUE,"Answer Missing"," ")</f>
        <v>Answer Missing</v>
      </c>
      <c r="O62" s="2378"/>
    </row>
    <row r="63" spans="1:15" ht="16.5" customHeight="1" x14ac:dyDescent="0.2">
      <c r="A63" s="61" t="str">
        <f t="shared" si="1"/>
        <v>01</v>
      </c>
      <c r="D63" s="949" t="s">
        <v>4228</v>
      </c>
      <c r="F63" s="2447"/>
      <c r="G63" s="2447"/>
      <c r="H63" s="2447"/>
      <c r="I63" s="2447"/>
      <c r="J63" s="2447"/>
      <c r="K63" s="2447"/>
      <c r="L63" s="2447"/>
    </row>
    <row r="64" spans="1:15" ht="5.0999999999999996" customHeight="1" x14ac:dyDescent="0.2">
      <c r="A64" s="61" t="str">
        <f t="shared" si="1"/>
        <v>01</v>
      </c>
    </row>
    <row r="65" spans="1:15" x14ac:dyDescent="0.2">
      <c r="A65" s="61" t="str">
        <f t="shared" si="1"/>
        <v>01</v>
      </c>
      <c r="B65" s="456" t="s">
        <v>1552</v>
      </c>
      <c r="C65" s="949" t="s">
        <v>1554</v>
      </c>
    </row>
    <row r="66" spans="1:15" x14ac:dyDescent="0.2">
      <c r="A66" s="61" t="str">
        <f t="shared" si="1"/>
        <v>01</v>
      </c>
      <c r="B66" s="456"/>
      <c r="C66" s="949" t="s">
        <v>4667</v>
      </c>
    </row>
    <row r="67" spans="1:15" x14ac:dyDescent="0.2">
      <c r="A67" s="61" t="str">
        <f t="shared" si="1"/>
        <v>01</v>
      </c>
      <c r="C67" s="949" t="s">
        <v>4321</v>
      </c>
      <c r="G67" s="944" t="s">
        <v>969</v>
      </c>
      <c r="H67" s="1559"/>
      <c r="I67" s="460" t="s">
        <v>970</v>
      </c>
      <c r="J67" s="947"/>
      <c r="K67" s="1989" t="s">
        <v>345</v>
      </c>
      <c r="L67" s="709"/>
      <c r="N67" s="2444" t="str">
        <f>IF(AND(ISBLANK($H$67),ISBLANK($J$67),ISBLANK($L$67))=TRUE,"Answer Missing"," ")</f>
        <v>Answer Missing</v>
      </c>
      <c r="O67" s="2378"/>
    </row>
    <row r="68" spans="1:15" ht="16.5" customHeight="1" x14ac:dyDescent="0.2">
      <c r="A68" s="61" t="str">
        <f t="shared" si="1"/>
        <v>01</v>
      </c>
      <c r="C68" s="457" t="s">
        <v>1555</v>
      </c>
      <c r="E68" s="2445"/>
      <c r="F68" s="2446"/>
      <c r="G68" s="2446"/>
      <c r="H68" s="2446"/>
      <c r="I68" s="2446"/>
      <c r="J68" s="2446"/>
      <c r="K68" s="2446"/>
      <c r="L68" s="2446"/>
    </row>
    <row r="69" spans="1:15" ht="11.1" customHeight="1" x14ac:dyDescent="0.2">
      <c r="C69" s="457"/>
      <c r="E69" s="1189"/>
      <c r="F69" s="675"/>
      <c r="G69" s="675"/>
      <c r="H69" s="675"/>
      <c r="I69" s="675"/>
      <c r="J69" s="675"/>
      <c r="K69" s="675"/>
      <c r="L69" s="675"/>
    </row>
    <row r="70" spans="1:15" x14ac:dyDescent="0.2">
      <c r="A70" s="61" t="str">
        <f t="shared" si="1"/>
        <v>01</v>
      </c>
      <c r="B70" s="1190"/>
    </row>
    <row r="71" spans="1:15" ht="15" x14ac:dyDescent="0.2">
      <c r="A71" s="443" t="str">
        <f ca="1">MID(CELL("filename",A1),FIND("]",CELL("filename",A1))+1,256)</f>
        <v>101</v>
      </c>
      <c r="B71" s="443"/>
      <c r="C71" s="443"/>
    </row>
    <row r="72" spans="1:15" ht="15" x14ac:dyDescent="0.2">
      <c r="A72" s="443" t="s">
        <v>446</v>
      </c>
      <c r="B72" s="443" t="str">
        <f t="shared" ref="B72:B81" ca="1" si="2">IF(ISNA(INDEX(ErrorTable,MATCH($A$71&amp;$A72&amp;FALSE,ErrorKey,0),6)),"",INDEX(ErrorTable,MATCH($A$71&amp;$A72&amp;FALSE,ErrorKey,0),6))</f>
        <v/>
      </c>
      <c r="C72" s="443"/>
    </row>
    <row r="73" spans="1:15" ht="15" x14ac:dyDescent="0.2">
      <c r="A73" s="443" t="s">
        <v>447</v>
      </c>
      <c r="B73" s="443" t="str">
        <f t="shared" ca="1" si="2"/>
        <v/>
      </c>
      <c r="C73" s="443"/>
    </row>
    <row r="74" spans="1:15" ht="15" x14ac:dyDescent="0.2">
      <c r="A74" s="443" t="s">
        <v>448</v>
      </c>
      <c r="B74" s="443" t="str">
        <f t="shared" ca="1" si="2"/>
        <v/>
      </c>
      <c r="C74" s="443"/>
    </row>
    <row r="75" spans="1:15" ht="15" x14ac:dyDescent="0.2">
      <c r="A75" s="443" t="s">
        <v>450</v>
      </c>
      <c r="B75" s="443" t="str">
        <f t="shared" ca="1" si="2"/>
        <v/>
      </c>
      <c r="C75" s="443"/>
    </row>
    <row r="76" spans="1:15" ht="15" x14ac:dyDescent="0.2">
      <c r="A76" s="443" t="s">
        <v>451</v>
      </c>
      <c r="B76" s="443" t="str">
        <f t="shared" ca="1" si="2"/>
        <v/>
      </c>
      <c r="C76" s="443"/>
    </row>
    <row r="77" spans="1:15" ht="15" x14ac:dyDescent="0.2">
      <c r="A77" s="443" t="s">
        <v>452</v>
      </c>
      <c r="B77" s="443" t="str">
        <f t="shared" ca="1" si="2"/>
        <v/>
      </c>
      <c r="C77" s="443"/>
    </row>
    <row r="78" spans="1:15" ht="15" x14ac:dyDescent="0.2">
      <c r="A78" s="443" t="s">
        <v>453</v>
      </c>
      <c r="B78" s="443" t="str">
        <f t="shared" ca="1" si="2"/>
        <v/>
      </c>
      <c r="C78" s="443"/>
    </row>
    <row r="79" spans="1:15" ht="15" x14ac:dyDescent="0.2">
      <c r="A79" s="443" t="s">
        <v>454</v>
      </c>
      <c r="B79" s="443" t="str">
        <f t="shared" ca="1" si="2"/>
        <v/>
      </c>
      <c r="C79" s="443"/>
    </row>
    <row r="80" spans="1:15" ht="15" x14ac:dyDescent="0.2">
      <c r="A80" s="443" t="s">
        <v>455</v>
      </c>
      <c r="B80" s="443" t="str">
        <f t="shared" ca="1" si="2"/>
        <v/>
      </c>
      <c r="C80" s="443"/>
    </row>
    <row r="81" spans="1:3" ht="15" x14ac:dyDescent="0.2">
      <c r="A81" s="443" t="s">
        <v>456</v>
      </c>
      <c r="B81" s="443" t="str">
        <f t="shared" ca="1" si="2"/>
        <v/>
      </c>
      <c r="C81" s="443"/>
    </row>
  </sheetData>
  <sheetProtection algorithmName="SHA-512" hashValue="T4Hp4WXiRhpVapLUM/buFv15TtNqzcqD1oy0I/Rcsc/C7eb8vMT4qBAxtWEUifzN7t5xR7+Mz1MXJpRpDCSppQ==" saltValue="ZJgvekHmovk17hvXH/UTeA==" spinCount="100000" sheet="1" objects="1" scenarios="1" autoFilter="0"/>
  <customSheetViews>
    <customSheetView guid="{B08879A4-635B-4C39-9937-AC7883D562FC}" showGridLines="0" fitToPage="1" hiddenColumns="1" topLeftCell="B1">
      <selection activeCell="I7" sqref="I7:L7"/>
      <pageMargins left="0.75" right="0.5" top="0.5" bottom="0.5" header="0.43" footer="0.25"/>
      <pageSetup scale="93" orientation="portrait" r:id="rId1"/>
      <headerFooter alignWithMargins="0">
        <oddFooter>&amp;R&amp;A</oddFooter>
      </headerFooter>
    </customSheetView>
    <customSheetView guid="{1250FD07-FF56-4A9D-AF9E-C27124A7EBE9}" showGridLines="0" fitToPage="1" showRuler="0">
      <selection sqref="A1:K1"/>
      <pageMargins left="0.75" right="0.75" top="0.64" bottom="0.64" header="0.43" footer="0.4"/>
      <pageSetup orientation="portrait" r:id="rId2"/>
      <headerFooter alignWithMargins="0">
        <oddFooter>&amp;R&amp;A</oddFooter>
      </headerFooter>
    </customSheetView>
    <customSheetView guid="{BEA4BE86-04D1-4C96-9358-7A260B9D2B2D}" showGridLines="0" fitToPage="1" showRuler="0">
      <selection sqref="A1:K1"/>
      <pageMargins left="0.75" right="0.75" top="0.64" bottom="0.64" header="0.43" footer="0.4"/>
      <pageSetup orientation="portrait" r:id="rId3"/>
      <headerFooter alignWithMargins="0">
        <oddFooter>&amp;R&amp;A</oddFooter>
      </headerFooter>
    </customSheetView>
    <customSheetView guid="{9FCFC836-1CA5-48BF-958D-24D2EA94B219}" showGridLines="0" fitToPage="1" hiddenColumns="1" topLeftCell="B1">
      <selection activeCell="I7" sqref="I7:L7"/>
      <pageMargins left="0.75" right="0.5" top="0.5" bottom="0.5" header="0.43" footer="0.25"/>
      <pageSetup scale="93" orientation="portrait" r:id="rId4"/>
      <headerFooter alignWithMargins="0">
        <oddFooter>&amp;R&amp;A</oddFooter>
      </headerFooter>
    </customSheetView>
  </customSheetViews>
  <mergeCells count="29">
    <mergeCell ref="N17:O17"/>
    <mergeCell ref="N25:O25"/>
    <mergeCell ref="N50:O50"/>
    <mergeCell ref="N58:O58"/>
    <mergeCell ref="N62:O62"/>
    <mergeCell ref="N31:O31"/>
    <mergeCell ref="N67:O67"/>
    <mergeCell ref="E68:L68"/>
    <mergeCell ref="G45:L45"/>
    <mergeCell ref="G46:L46"/>
    <mergeCell ref="C52:L52"/>
    <mergeCell ref="C53:L53"/>
    <mergeCell ref="F63:L63"/>
    <mergeCell ref="N52:O52"/>
    <mergeCell ref="G26:L26"/>
    <mergeCell ref="D37:L37"/>
    <mergeCell ref="D38:L38"/>
    <mergeCell ref="I8:L8"/>
    <mergeCell ref="F17:L17"/>
    <mergeCell ref="F18:L18"/>
    <mergeCell ref="F16:L16"/>
    <mergeCell ref="G32:L32"/>
    <mergeCell ref="M1:M3"/>
    <mergeCell ref="B1:L1"/>
    <mergeCell ref="I6:L6"/>
    <mergeCell ref="I7:L7"/>
    <mergeCell ref="B2:L2"/>
    <mergeCell ref="B3:L3"/>
    <mergeCell ref="I5:L5"/>
  </mergeCells>
  <phoneticPr fontId="15" type="noConversion"/>
  <conditionalFormatting sqref="M1:M3">
    <cfRule type="cellIs" dxfId="185" priority="14" stopIfTrue="1" operator="equal">
      <formula>"na"</formula>
    </cfRule>
  </conditionalFormatting>
  <conditionalFormatting sqref="N25">
    <cfRule type="containsText" dxfId="184" priority="12" stopIfTrue="1" operator="containsText" text="Answer Missing">
      <formula>NOT(ISERROR(SEARCH("Answer Missing",N25)))</formula>
    </cfRule>
  </conditionalFormatting>
  <conditionalFormatting sqref="N50">
    <cfRule type="containsText" dxfId="183" priority="10" stopIfTrue="1" operator="containsText" text="Answer Missing">
      <formula>NOT(ISERROR(SEARCH("Answer Missing",N50)))</formula>
    </cfRule>
  </conditionalFormatting>
  <conditionalFormatting sqref="M52">
    <cfRule type="containsText" dxfId="182" priority="9" stopIfTrue="1" operator="containsText" text="Response for Yes needed">
      <formula>NOT(ISERROR(SEARCH("Response for Yes needed",M52)))</formula>
    </cfRule>
  </conditionalFormatting>
  <conditionalFormatting sqref="M52:N52">
    <cfRule type="containsText" dxfId="181" priority="8" stopIfTrue="1" operator="containsText" text="Response for Yes needed">
      <formula>NOT(ISERROR(SEARCH("Response for Yes needed",M52)))</formula>
    </cfRule>
  </conditionalFormatting>
  <conditionalFormatting sqref="N58">
    <cfRule type="containsText" dxfId="180" priority="7" stopIfTrue="1" operator="containsText" text="Answer Missing">
      <formula>NOT(ISERROR(SEARCH("Answer Missing",N58)))</formula>
    </cfRule>
  </conditionalFormatting>
  <conditionalFormatting sqref="N62">
    <cfRule type="containsText" dxfId="179" priority="6" stopIfTrue="1" operator="containsText" text="Answer Missing">
      <formula>NOT(ISERROR(SEARCH("Answer Missing",N62)))</formula>
    </cfRule>
  </conditionalFormatting>
  <conditionalFormatting sqref="N67">
    <cfRule type="containsText" dxfId="178" priority="4" stopIfTrue="1" operator="containsText" text="Answer Missing">
      <formula>NOT(ISERROR(SEARCH("Answer Missing",N67)))</formula>
    </cfRule>
  </conditionalFormatting>
  <conditionalFormatting sqref="N17">
    <cfRule type="containsText" dxfId="177" priority="3" stopIfTrue="1" operator="containsText" text="Answer Missing">
      <formula>NOT(ISERROR(SEARCH("Answer Missing",N17)))</formula>
    </cfRule>
  </conditionalFormatting>
  <conditionalFormatting sqref="N17:O17">
    <cfRule type="containsText" dxfId="176" priority="2" operator="containsText" text="Valuation Missing">
      <formula>NOT(ISERROR(SEARCH("Valuation Missing",N17)))</formula>
    </cfRule>
  </conditionalFormatting>
  <conditionalFormatting sqref="N31">
    <cfRule type="containsText" dxfId="175" priority="1" stopIfTrue="1" operator="containsText" text="Answer Missing">
      <formula>NOT(ISERROR(SEARCH("Answer Missing",N31)))</formula>
    </cfRule>
  </conditionalFormatting>
  <hyperlinks>
    <hyperlink ref="B1:L1" location="Index!A1" display="Index!A1" xr:uid="{00000000-0004-0000-0300-000000000000}"/>
  </hyperlinks>
  <pageMargins left="0.75" right="0.5" top="0.5" bottom="0.5" header="0.43" footer="0.25"/>
  <pageSetup scale="85" orientation="portrait" r:id="rId5"/>
  <headerFooter alignWithMargins="0">
    <oddFooter>&amp;R&amp;A</oddFooter>
  </headerFooter>
  <ignoredErrors>
    <ignoredError sqref="I7:I8" unlocked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2">
    <pageSetUpPr fitToPage="1"/>
  </sheetPr>
  <dimension ref="A1:Q54"/>
  <sheetViews>
    <sheetView showGridLines="0" topLeftCell="B1" zoomScaleNormal="100" workbookViewId="0"/>
  </sheetViews>
  <sheetFormatPr defaultColWidth="9.42578125" defaultRowHeight="15.75" x14ac:dyDescent="0.25"/>
  <cols>
    <col min="1" max="1" width="0" style="53" hidden="1" customWidth="1"/>
    <col min="2" max="2" width="13.5703125" style="53" customWidth="1"/>
    <col min="3" max="3" width="1.5703125" style="53" customWidth="1"/>
    <col min="4" max="4" width="7.42578125" style="53" customWidth="1"/>
    <col min="5" max="5" width="1.5703125" style="53" customWidth="1"/>
    <col min="6" max="6" width="8.42578125" style="53" customWidth="1"/>
    <col min="7" max="7" width="1.5703125" style="53" customWidth="1"/>
    <col min="8" max="8" width="16.5703125" style="53" customWidth="1"/>
    <col min="9" max="9" width="1.5703125" style="53" customWidth="1"/>
    <col min="10" max="10" width="15.42578125" style="53" customWidth="1"/>
    <col min="11" max="11" width="1" style="53" customWidth="1"/>
    <col min="12" max="12" width="13.42578125" style="53" customWidth="1"/>
    <col min="13" max="13" width="0.85546875" style="53" customWidth="1"/>
    <col min="14" max="14" width="13.42578125" style="53" customWidth="1"/>
    <col min="15" max="15" width="0.85546875" style="53" customWidth="1"/>
    <col min="16" max="16" width="36.42578125" style="53" customWidth="1"/>
    <col min="17" max="17" width="4.5703125" style="53" bestFit="1" customWidth="1"/>
    <col min="18" max="16384" width="9.42578125" style="53"/>
  </cols>
  <sheetData>
    <row r="1" spans="2:17" s="171" customFormat="1" ht="15" customHeight="1" x14ac:dyDescent="0.25">
      <c r="B1" s="2449" t="str">
        <f>+Index!$A$1</f>
        <v xml:space="preserve">                                                               Office of the State Controller                                                                </v>
      </c>
      <c r="C1" s="2449"/>
      <c r="D1" s="2449"/>
      <c r="E1" s="2449"/>
      <c r="F1" s="2449"/>
      <c r="G1" s="2449"/>
      <c r="H1" s="2449"/>
      <c r="I1" s="2449"/>
      <c r="J1" s="2449"/>
      <c r="K1" s="2449"/>
      <c r="L1" s="2449"/>
      <c r="M1" s="2449"/>
      <c r="N1" s="2449"/>
      <c r="O1" s="2449"/>
      <c r="P1" s="2449"/>
      <c r="Q1" s="2510" t="str">
        <f>IF(Index!$B$67="na","NA","")</f>
        <v/>
      </c>
    </row>
    <row r="2" spans="2:17" s="171" customFormat="1" ht="15" customHeight="1" x14ac:dyDescent="0.25">
      <c r="B2" s="2750" t="str">
        <f>+Index!$A$2</f>
        <v>2022 ACFR Worksheets</v>
      </c>
      <c r="C2" s="2750"/>
      <c r="D2" s="2750"/>
      <c r="E2" s="2750"/>
      <c r="F2" s="2750"/>
      <c r="G2" s="2750"/>
      <c r="H2" s="2750"/>
      <c r="I2" s="2750"/>
      <c r="J2" s="2750"/>
      <c r="K2" s="2750"/>
      <c r="L2" s="2750"/>
      <c r="M2" s="2750"/>
      <c r="N2" s="2750"/>
      <c r="O2" s="2750"/>
      <c r="P2" s="2750"/>
      <c r="Q2" s="2510"/>
    </row>
    <row r="3" spans="2:17" s="171" customFormat="1" ht="15" customHeight="1" x14ac:dyDescent="0.25">
      <c r="B3" s="2750" t="s">
        <v>1522</v>
      </c>
      <c r="C3" s="2750"/>
      <c r="D3" s="2750"/>
      <c r="E3" s="2750"/>
      <c r="F3" s="2750"/>
      <c r="G3" s="2750"/>
      <c r="H3" s="2750"/>
      <c r="I3" s="2750"/>
      <c r="J3" s="2750"/>
      <c r="K3" s="2750"/>
      <c r="L3" s="2750"/>
      <c r="M3" s="2750"/>
      <c r="N3" s="2750"/>
      <c r="O3" s="2750"/>
      <c r="P3" s="2750"/>
      <c r="Q3" s="2510"/>
    </row>
    <row r="4" spans="2:17" s="171" customFormat="1" ht="15" customHeight="1" x14ac:dyDescent="0.25">
      <c r="B4" s="2750" t="s">
        <v>4799</v>
      </c>
      <c r="C4" s="2750"/>
      <c r="D4" s="2750"/>
      <c r="E4" s="2750"/>
      <c r="F4" s="2750"/>
      <c r="G4" s="2750"/>
      <c r="H4" s="2750"/>
      <c r="I4" s="2750"/>
      <c r="J4" s="2750"/>
      <c r="K4" s="2750"/>
      <c r="L4" s="2750"/>
      <c r="M4" s="2750"/>
      <c r="N4" s="2750"/>
      <c r="O4" s="2750"/>
      <c r="P4" s="2750"/>
    </row>
    <row r="5" spans="2:17" s="173" customFormat="1" ht="15" customHeight="1" x14ac:dyDescent="0.3">
      <c r="B5" s="179"/>
      <c r="C5" s="180"/>
      <c r="D5" s="180"/>
      <c r="E5" s="180"/>
      <c r="F5" s="180"/>
      <c r="G5" s="180"/>
      <c r="H5" s="180"/>
      <c r="I5" s="180"/>
      <c r="J5" s="180"/>
      <c r="K5" s="179"/>
      <c r="L5" s="1469"/>
      <c r="M5" s="1469"/>
      <c r="N5" s="1469"/>
      <c r="O5" s="180"/>
      <c r="P5" s="1588" t="s">
        <v>3793</v>
      </c>
    </row>
    <row r="6" spans="2:17" s="173" customFormat="1" ht="15" customHeight="1" x14ac:dyDescent="0.2">
      <c r="B6" s="172" t="s">
        <v>327</v>
      </c>
      <c r="D6" s="2746" t="str">
        <f>+Index!$E$10</f>
        <v>01</v>
      </c>
      <c r="E6" s="2746"/>
      <c r="F6" s="2746"/>
      <c r="G6" s="2746"/>
      <c r="H6" s="157"/>
      <c r="O6" s="174" t="s">
        <v>972</v>
      </c>
      <c r="P6" s="773" t="str">
        <f>CONCATENATE(Index!$E$12," ",Index!$E$14)</f>
        <v xml:space="preserve"> </v>
      </c>
    </row>
    <row r="7" spans="2:17" s="173" customFormat="1" ht="15" customHeight="1" x14ac:dyDescent="0.2">
      <c r="B7" s="172" t="s">
        <v>1154</v>
      </c>
      <c r="D7" s="2746" t="str">
        <f>+Index!$E$11</f>
        <v>North Carolina General Assembly</v>
      </c>
      <c r="E7" s="2746"/>
      <c r="F7" s="2746"/>
      <c r="G7" s="2746"/>
      <c r="H7" s="2746"/>
      <c r="O7" s="174" t="s">
        <v>348</v>
      </c>
      <c r="P7" s="775">
        <f>+Index!$E$13</f>
        <v>0</v>
      </c>
    </row>
    <row r="8" spans="2:17" s="173" customFormat="1" ht="15" customHeight="1" x14ac:dyDescent="0.2">
      <c r="B8" s="172" t="s">
        <v>723</v>
      </c>
      <c r="D8" s="560"/>
    </row>
    <row r="9" spans="2:17" s="173" customFormat="1" ht="15" customHeight="1" thickBot="1" x14ac:dyDescent="0.25">
      <c r="B9" s="175"/>
      <c r="C9" s="175"/>
      <c r="D9" s="175"/>
      <c r="E9" s="175"/>
      <c r="F9" s="175"/>
      <c r="G9" s="175"/>
      <c r="H9" s="175"/>
      <c r="I9" s="175"/>
      <c r="J9" s="175"/>
      <c r="K9" s="176"/>
      <c r="L9" s="175"/>
      <c r="M9" s="175"/>
      <c r="N9" s="175"/>
      <c r="O9" s="175"/>
      <c r="P9" s="175"/>
    </row>
    <row r="10" spans="2:17" s="173" customFormat="1" ht="15" customHeight="1" thickBot="1" x14ac:dyDescent="0.25">
      <c r="B10" s="1082" t="s">
        <v>1523</v>
      </c>
      <c r="D10" s="158" t="s">
        <v>982</v>
      </c>
      <c r="E10" s="156"/>
      <c r="F10" s="158" t="s">
        <v>982</v>
      </c>
      <c r="I10" s="179"/>
      <c r="J10" s="2749" t="s">
        <v>156</v>
      </c>
      <c r="K10" s="2749"/>
      <c r="L10" s="2749"/>
      <c r="M10" s="2749"/>
      <c r="N10" s="2749"/>
      <c r="O10" s="159"/>
    </row>
    <row r="11" spans="2:17" s="173" customFormat="1" ht="15" customHeight="1" x14ac:dyDescent="0.2">
      <c r="B11" s="177" t="s">
        <v>1064</v>
      </c>
      <c r="D11" s="158" t="s">
        <v>722</v>
      </c>
      <c r="E11" s="156"/>
      <c r="F11" s="158" t="s">
        <v>1157</v>
      </c>
      <c r="I11" s="179"/>
      <c r="J11" s="156"/>
      <c r="K11" s="156"/>
      <c r="L11" s="2219" t="s">
        <v>5381</v>
      </c>
      <c r="M11" s="158"/>
      <c r="N11" s="2219" t="s">
        <v>5380</v>
      </c>
      <c r="O11" s="156"/>
    </row>
    <row r="12" spans="2:17" s="173" customFormat="1" ht="15" customHeight="1" thickBot="1" x14ac:dyDescent="0.25">
      <c r="B12" s="181" t="s">
        <v>684</v>
      </c>
      <c r="C12" s="177"/>
      <c r="D12" s="160" t="s">
        <v>808</v>
      </c>
      <c r="E12" s="156"/>
      <c r="F12" s="160" t="s">
        <v>808</v>
      </c>
      <c r="H12" s="181" t="s">
        <v>1156</v>
      </c>
      <c r="J12" s="160" t="s">
        <v>1097</v>
      </c>
      <c r="K12" s="162"/>
      <c r="L12" s="2221" t="s">
        <v>5382</v>
      </c>
      <c r="M12" s="158"/>
      <c r="N12" s="2221" t="s">
        <v>1307</v>
      </c>
      <c r="O12" s="162"/>
      <c r="P12" s="181" t="s">
        <v>980</v>
      </c>
    </row>
    <row r="13" spans="2:17" s="173" customFormat="1" ht="15" customHeight="1" x14ac:dyDescent="0.2">
      <c r="B13" s="241">
        <v>212500</v>
      </c>
      <c r="C13" s="242"/>
      <c r="D13" s="561"/>
      <c r="E13" s="242"/>
      <c r="F13" s="561"/>
      <c r="G13" s="242"/>
      <c r="H13" s="562"/>
      <c r="J13" s="557"/>
      <c r="K13" s="1850"/>
      <c r="L13" s="558"/>
      <c r="M13" s="2231"/>
      <c r="N13" s="2344"/>
      <c r="O13" s="1849"/>
      <c r="P13" s="557"/>
    </row>
    <row r="14" spans="2:17" s="173" customFormat="1" ht="15" customHeight="1" x14ac:dyDescent="0.2">
      <c r="B14" s="241">
        <v>212500</v>
      </c>
      <c r="C14" s="242"/>
      <c r="D14" s="561"/>
      <c r="E14" s="242"/>
      <c r="F14" s="561"/>
      <c r="G14" s="242"/>
      <c r="H14" s="562"/>
      <c r="J14" s="1851"/>
      <c r="K14" s="1850"/>
      <c r="L14" s="2346"/>
      <c r="M14" s="2231"/>
      <c r="N14" s="2344"/>
      <c r="O14" s="1849"/>
      <c r="P14" s="1851"/>
    </row>
    <row r="15" spans="2:17" s="173" customFormat="1" ht="15" customHeight="1" x14ac:dyDescent="0.2">
      <c r="B15" s="241">
        <v>212500</v>
      </c>
      <c r="C15" s="242"/>
      <c r="D15" s="561"/>
      <c r="E15" s="242"/>
      <c r="F15" s="561"/>
      <c r="G15" s="242"/>
      <c r="H15" s="562"/>
      <c r="J15" s="557"/>
      <c r="K15" s="1850"/>
      <c r="L15" s="558"/>
      <c r="M15" s="2231"/>
      <c r="N15" s="2344"/>
      <c r="O15" s="1849"/>
      <c r="P15" s="1851"/>
    </row>
    <row r="16" spans="2:17" s="173" customFormat="1" ht="15" customHeight="1" x14ac:dyDescent="0.2">
      <c r="B16" s="241">
        <v>212500</v>
      </c>
      <c r="C16" s="242"/>
      <c r="D16" s="561"/>
      <c r="E16" s="242"/>
      <c r="F16" s="561"/>
      <c r="G16" s="242"/>
      <c r="H16" s="562"/>
      <c r="J16" s="557"/>
      <c r="K16" s="156"/>
      <c r="L16" s="558"/>
      <c r="M16" s="2231"/>
      <c r="N16" s="2344"/>
      <c r="P16" s="557"/>
    </row>
    <row r="17" spans="2:16" s="173" customFormat="1" ht="15" customHeight="1" x14ac:dyDescent="0.2">
      <c r="B17" s="241">
        <v>212500</v>
      </c>
      <c r="C17" s="242"/>
      <c r="D17" s="561"/>
      <c r="E17" s="242"/>
      <c r="F17" s="561"/>
      <c r="G17" s="242"/>
      <c r="H17" s="562"/>
      <c r="J17" s="560"/>
      <c r="L17" s="563"/>
      <c r="M17" s="2232"/>
      <c r="N17" s="2344"/>
      <c r="P17" s="560"/>
    </row>
    <row r="18" spans="2:16" s="173" customFormat="1" ht="15" customHeight="1" x14ac:dyDescent="0.2">
      <c r="B18" s="241">
        <v>212500</v>
      </c>
      <c r="C18" s="242"/>
      <c r="D18" s="561"/>
      <c r="E18" s="242"/>
      <c r="F18" s="561"/>
      <c r="G18" s="242"/>
      <c r="H18" s="562"/>
      <c r="J18" s="560"/>
      <c r="L18" s="563"/>
      <c r="M18" s="2232"/>
      <c r="N18" s="2344"/>
      <c r="P18" s="560"/>
    </row>
    <row r="19" spans="2:16" s="173" customFormat="1" ht="15" customHeight="1" x14ac:dyDescent="0.2">
      <c r="B19" s="241">
        <v>212500</v>
      </c>
      <c r="C19" s="242"/>
      <c r="D19" s="561"/>
      <c r="E19" s="242"/>
      <c r="F19" s="561"/>
      <c r="G19" s="242"/>
      <c r="H19" s="562"/>
      <c r="J19" s="560"/>
      <c r="L19" s="563"/>
      <c r="M19" s="2232"/>
      <c r="N19" s="2344"/>
      <c r="P19" s="560"/>
    </row>
    <row r="20" spans="2:16" s="173" customFormat="1" ht="15" customHeight="1" x14ac:dyDescent="0.2">
      <c r="B20" s="241">
        <v>212500</v>
      </c>
      <c r="C20" s="242"/>
      <c r="D20" s="561"/>
      <c r="E20" s="242"/>
      <c r="F20" s="561"/>
      <c r="G20" s="242"/>
      <c r="H20" s="562"/>
      <c r="J20" s="560"/>
      <c r="L20" s="563"/>
      <c r="M20" s="2232"/>
      <c r="N20" s="2344"/>
      <c r="P20" s="560"/>
    </row>
    <row r="21" spans="2:16" s="173" customFormat="1" ht="15" customHeight="1" x14ac:dyDescent="0.2">
      <c r="B21" s="241">
        <v>212500</v>
      </c>
      <c r="C21" s="242"/>
      <c r="D21" s="561"/>
      <c r="E21" s="242"/>
      <c r="F21" s="561"/>
      <c r="G21" s="242"/>
      <c r="H21" s="562"/>
      <c r="J21" s="560"/>
      <c r="L21" s="563"/>
      <c r="M21" s="2232"/>
      <c r="N21" s="2344"/>
      <c r="P21" s="560"/>
    </row>
    <row r="22" spans="2:16" s="173" customFormat="1" ht="15" customHeight="1" x14ac:dyDescent="0.2">
      <c r="B22" s="241">
        <v>212500</v>
      </c>
      <c r="C22" s="242"/>
      <c r="D22" s="561"/>
      <c r="E22" s="242"/>
      <c r="F22" s="561"/>
      <c r="G22" s="242"/>
      <c r="H22" s="562"/>
      <c r="J22" s="560"/>
      <c r="L22" s="563"/>
      <c r="M22" s="2232"/>
      <c r="N22" s="2344"/>
      <c r="P22" s="560"/>
    </row>
    <row r="23" spans="2:16" s="173" customFormat="1" ht="15" customHeight="1" x14ac:dyDescent="0.2">
      <c r="B23" s="241">
        <v>212500</v>
      </c>
      <c r="C23" s="242"/>
      <c r="D23" s="561"/>
      <c r="E23" s="242"/>
      <c r="F23" s="561"/>
      <c r="G23" s="242"/>
      <c r="H23" s="562"/>
      <c r="J23" s="560"/>
      <c r="L23" s="563"/>
      <c r="M23" s="2232"/>
      <c r="N23" s="2344"/>
      <c r="P23" s="560"/>
    </row>
    <row r="24" spans="2:16" s="173" customFormat="1" ht="15" customHeight="1" x14ac:dyDescent="0.2">
      <c r="B24" s="241">
        <v>212500</v>
      </c>
      <c r="C24" s="242"/>
      <c r="D24" s="561"/>
      <c r="E24" s="242"/>
      <c r="F24" s="561"/>
      <c r="G24" s="242"/>
      <c r="H24" s="562"/>
      <c r="J24" s="560"/>
      <c r="L24" s="563"/>
      <c r="M24" s="2232"/>
      <c r="N24" s="2344"/>
      <c r="P24" s="560"/>
    </row>
    <row r="25" spans="2:16" s="173" customFormat="1" ht="15" customHeight="1" x14ac:dyDescent="0.2">
      <c r="B25" s="241">
        <v>212500</v>
      </c>
      <c r="C25" s="242"/>
      <c r="D25" s="561"/>
      <c r="E25" s="242"/>
      <c r="F25" s="561"/>
      <c r="G25" s="242"/>
      <c r="H25" s="562"/>
      <c r="J25" s="560"/>
      <c r="L25" s="563"/>
      <c r="M25" s="2232"/>
      <c r="N25" s="2344"/>
      <c r="P25" s="560"/>
    </row>
    <row r="26" spans="2:16" s="173" customFormat="1" ht="15" customHeight="1" x14ac:dyDescent="0.2">
      <c r="B26" s="241">
        <v>212500</v>
      </c>
      <c r="C26" s="242"/>
      <c r="D26" s="561"/>
      <c r="E26" s="242"/>
      <c r="F26" s="561"/>
      <c r="G26" s="242"/>
      <c r="H26" s="562"/>
      <c r="J26" s="560"/>
      <c r="L26" s="563"/>
      <c r="M26" s="2232"/>
      <c r="N26" s="2344"/>
      <c r="P26" s="560"/>
    </row>
    <row r="27" spans="2:16" s="173" customFormat="1" ht="15" customHeight="1" x14ac:dyDescent="0.2">
      <c r="B27" s="241">
        <v>212500</v>
      </c>
      <c r="C27" s="242"/>
      <c r="D27" s="561"/>
      <c r="E27" s="242"/>
      <c r="F27" s="561"/>
      <c r="G27" s="242"/>
      <c r="H27" s="562"/>
      <c r="J27" s="560"/>
      <c r="L27" s="563"/>
      <c r="M27" s="2232"/>
      <c r="N27" s="2344"/>
      <c r="P27" s="560"/>
    </row>
    <row r="28" spans="2:16" s="173" customFormat="1" ht="15" customHeight="1" x14ac:dyDescent="0.2">
      <c r="B28" s="241">
        <v>212500</v>
      </c>
      <c r="C28" s="242"/>
      <c r="D28" s="561"/>
      <c r="E28" s="242"/>
      <c r="F28" s="561"/>
      <c r="G28" s="242"/>
      <c r="H28" s="562"/>
      <c r="J28" s="560"/>
      <c r="L28" s="563"/>
      <c r="M28" s="2232"/>
      <c r="N28" s="2344"/>
      <c r="P28" s="560"/>
    </row>
    <row r="29" spans="2:16" s="173" customFormat="1" ht="15" customHeight="1" x14ac:dyDescent="0.2">
      <c r="B29" s="241">
        <v>212500</v>
      </c>
      <c r="C29" s="242"/>
      <c r="D29" s="561"/>
      <c r="E29" s="242"/>
      <c r="F29" s="561"/>
      <c r="G29" s="242"/>
      <c r="H29" s="562"/>
      <c r="J29" s="560"/>
      <c r="L29" s="563"/>
      <c r="M29" s="2232"/>
      <c r="N29" s="2344"/>
      <c r="P29" s="560"/>
    </row>
    <row r="30" spans="2:16" s="173" customFormat="1" ht="15" customHeight="1" x14ac:dyDescent="0.2">
      <c r="B30" s="241">
        <v>212500</v>
      </c>
      <c r="C30" s="242"/>
      <c r="D30" s="561"/>
      <c r="E30" s="242"/>
      <c r="F30" s="561"/>
      <c r="G30" s="242"/>
      <c r="H30" s="562"/>
      <c r="J30" s="560"/>
      <c r="L30" s="563"/>
      <c r="M30" s="2232"/>
      <c r="N30" s="2344"/>
      <c r="P30" s="560"/>
    </row>
    <row r="31" spans="2:16" s="173" customFormat="1" ht="15" customHeight="1" thickBot="1" x14ac:dyDescent="0.25">
      <c r="E31" s="177"/>
      <c r="F31" s="177" t="s">
        <v>981</v>
      </c>
      <c r="G31" s="177"/>
      <c r="H31" s="178">
        <f>SUM(H13:H30)</f>
        <v>0</v>
      </c>
      <c r="J31" s="245" t="s">
        <v>5539</v>
      </c>
    </row>
    <row r="32" spans="2:16" s="173" customFormat="1" ht="7.35" customHeight="1" x14ac:dyDescent="0.2">
      <c r="E32" s="177"/>
      <c r="F32" s="177"/>
      <c r="G32" s="177"/>
      <c r="O32" s="177"/>
    </row>
    <row r="33" spans="1:15" s="173" customFormat="1" ht="15" customHeight="1" x14ac:dyDescent="0.2">
      <c r="B33" s="245" t="s">
        <v>771</v>
      </c>
      <c r="E33" s="177"/>
      <c r="F33" s="177"/>
      <c r="G33" s="177"/>
      <c r="O33" s="177"/>
    </row>
    <row r="34" spans="1:15" s="173" customFormat="1" ht="15" customHeight="1" x14ac:dyDescent="0.2">
      <c r="E34" s="177"/>
      <c r="F34" s="177"/>
      <c r="G34" s="177"/>
      <c r="O34" s="177"/>
    </row>
    <row r="35" spans="1:15" s="173" customFormat="1" ht="15" customHeight="1" x14ac:dyDescent="0.2">
      <c r="E35" s="177"/>
      <c r="F35" s="177"/>
      <c r="G35" s="177"/>
      <c r="O35" s="177"/>
    </row>
    <row r="36" spans="1:15" s="173" customFormat="1" ht="15" customHeight="1" x14ac:dyDescent="0.2">
      <c r="E36" s="177"/>
      <c r="F36" s="177"/>
      <c r="G36" s="177"/>
      <c r="O36" s="177"/>
    </row>
    <row r="37" spans="1:15" s="173" customFormat="1" ht="15" customHeight="1" x14ac:dyDescent="0.2">
      <c r="A37" s="443" t="str">
        <f ca="1">MID(CELL("filename",A3),FIND("]",CELL("filename",A3))+1,256)</f>
        <v>520</v>
      </c>
      <c r="B37" s="443" t="s">
        <v>449</v>
      </c>
      <c r="E37" s="177"/>
      <c r="F37" s="177"/>
      <c r="G37" s="177"/>
      <c r="O37" s="177"/>
    </row>
    <row r="38" spans="1:15" s="173" customFormat="1" ht="15" customHeight="1" x14ac:dyDescent="0.2">
      <c r="A38" s="443" t="s">
        <v>446</v>
      </c>
      <c r="B38" s="443" t="str">
        <f t="shared" ref="B38:B47" ca="1" si="0">IF(ISNA(INDEX(ErrorTable,MATCH($A$37&amp;$A38&amp;FALSE,ErrorKey,0),6)),"",INDEX(ErrorTable,MATCH($A$37&amp;$A38&amp;FALSE,ErrorKey,0),6))</f>
        <v>GASB number is blank.</v>
      </c>
      <c r="E38" s="177"/>
      <c r="F38" s="177"/>
      <c r="G38" s="177"/>
      <c r="O38" s="177"/>
    </row>
    <row r="39" spans="1:15" s="173" customFormat="1" ht="15" customHeight="1" x14ac:dyDescent="0.2">
      <c r="A39" s="443" t="s">
        <v>447</v>
      </c>
      <c r="B39" s="443" t="str">
        <f t="shared" ca="1" si="0"/>
        <v/>
      </c>
      <c r="E39" s="177"/>
      <c r="F39" s="177"/>
      <c r="G39" s="177"/>
      <c r="O39" s="177"/>
    </row>
    <row r="40" spans="1:15" ht="20.85" customHeight="1" x14ac:dyDescent="0.25">
      <c r="A40" s="443" t="s">
        <v>448</v>
      </c>
      <c r="B40" s="443" t="str">
        <f t="shared" ca="1" si="0"/>
        <v/>
      </c>
    </row>
    <row r="41" spans="1:15" ht="20.85" customHeight="1" x14ac:dyDescent="0.25">
      <c r="A41" s="443" t="s">
        <v>450</v>
      </c>
      <c r="B41" s="443" t="str">
        <f t="shared" ca="1" si="0"/>
        <v/>
      </c>
    </row>
    <row r="42" spans="1:15" ht="20.85" customHeight="1" x14ac:dyDescent="0.25">
      <c r="A42" s="443" t="s">
        <v>451</v>
      </c>
      <c r="B42" s="443" t="str">
        <f t="shared" ca="1" si="0"/>
        <v/>
      </c>
    </row>
    <row r="43" spans="1:15" ht="20.85" customHeight="1" x14ac:dyDescent="0.25">
      <c r="A43" s="443" t="s">
        <v>452</v>
      </c>
      <c r="B43" s="443" t="str">
        <f t="shared" ca="1" si="0"/>
        <v/>
      </c>
      <c r="D43" s="55" t="s">
        <v>973</v>
      </c>
      <c r="E43" s="55"/>
      <c r="F43" s="55"/>
      <c r="G43" s="55"/>
      <c r="H43" s="55"/>
      <c r="I43" s="55"/>
      <c r="J43" s="55"/>
      <c r="K43" s="55"/>
    </row>
    <row r="44" spans="1:15" ht="20.85" customHeight="1" x14ac:dyDescent="0.25">
      <c r="A44" s="443" t="s">
        <v>453</v>
      </c>
      <c r="B44" s="443" t="str">
        <f t="shared" ca="1" si="0"/>
        <v/>
      </c>
      <c r="D44" s="55" t="s">
        <v>973</v>
      </c>
      <c r="E44" s="55"/>
      <c r="F44" s="55"/>
      <c r="G44" s="55"/>
      <c r="L44" s="54" t="s">
        <v>973</v>
      </c>
      <c r="M44" s="54"/>
      <c r="N44" s="54"/>
      <c r="O44" s="54"/>
    </row>
    <row r="45" spans="1:15" ht="20.85" customHeight="1" x14ac:dyDescent="0.25">
      <c r="A45" s="443" t="s">
        <v>454</v>
      </c>
      <c r="B45" s="443" t="str">
        <f t="shared" ca="1" si="0"/>
        <v/>
      </c>
    </row>
    <row r="46" spans="1:15" ht="20.85" customHeight="1" x14ac:dyDescent="0.25">
      <c r="A46" s="443" t="s">
        <v>455</v>
      </c>
      <c r="B46" s="443" t="str">
        <f t="shared" ca="1" si="0"/>
        <v/>
      </c>
    </row>
    <row r="47" spans="1:15" ht="20.85" customHeight="1" x14ac:dyDescent="0.25">
      <c r="A47" s="443" t="s">
        <v>456</v>
      </c>
      <c r="B47" s="443" t="str">
        <f t="shared" ca="1" si="0"/>
        <v/>
      </c>
    </row>
    <row r="48" spans="1:15" ht="20.85" customHeight="1" x14ac:dyDescent="0.25"/>
    <row r="49" spans="4:15" ht="20.85" customHeight="1" x14ac:dyDescent="0.25"/>
    <row r="50" spans="4:15" ht="20.85" customHeight="1" x14ac:dyDescent="0.25"/>
    <row r="51" spans="4:15" ht="20.85" customHeight="1" x14ac:dyDescent="0.25">
      <c r="D51" s="53" t="s">
        <v>973</v>
      </c>
    </row>
    <row r="52" spans="4:15" ht="20.85" customHeight="1" x14ac:dyDescent="0.25"/>
    <row r="53" spans="4:15" ht="20.85" customHeight="1" x14ac:dyDescent="0.25"/>
    <row r="54" spans="4:15" ht="20.85" customHeight="1" x14ac:dyDescent="0.25">
      <c r="D54" s="55" t="s">
        <v>973</v>
      </c>
      <c r="E54" s="55"/>
      <c r="F54" s="55"/>
      <c r="G54" s="55"/>
      <c r="L54" s="54" t="s">
        <v>973</v>
      </c>
      <c r="M54" s="54"/>
      <c r="N54" s="54"/>
      <c r="O54" s="54"/>
    </row>
  </sheetData>
  <sheetProtection algorithmName="SHA-512" hashValue="R61Qy/qU8ksWvg0ibbU0rCifZ/BfeT723jOoDqE2wI+fIE1DnhgcLK0YzKHcdqnc8+BgMaB/tCFxrQ+vmP4htA==" saltValue="isw8Q3n+8lvgykEU9GL2Jg==" spinCount="100000" sheet="1" objects="1" scenarios="1" autoFilter="0"/>
  <dataConsolidate link="1"/>
  <customSheetViews>
    <customSheetView guid="{B08879A4-635B-4C39-9937-AC7883D562FC}" showGridLines="0" fitToPage="1" hiddenColumns="1" topLeftCell="B1">
      <selection activeCell="B12" sqref="B12"/>
      <pageMargins left="0.5" right="0.5" top="0.75" bottom="0.5" header="0.5" footer="0.5"/>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5" right="0.5" top="0.75" bottom="0.5" header="0.5" footer="0.5"/>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5" right="0.5" top="0.75" bottom="0.5" header="0.5" footer="0.5"/>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5" right="0.5" top="0.75" bottom="0.5" header="0.5" footer="0.5"/>
      <printOptions horizontalCentered="1"/>
      <pageSetup orientation="landscape" blackAndWhite="1" r:id="rId4"/>
      <headerFooter alignWithMargins="0">
        <oddFooter>&amp;R&amp;A</oddFooter>
      </headerFooter>
    </customSheetView>
  </customSheetViews>
  <mergeCells count="8">
    <mergeCell ref="D6:G6"/>
    <mergeCell ref="D7:H7"/>
    <mergeCell ref="J10:N10"/>
    <mergeCell ref="Q1:Q3"/>
    <mergeCell ref="B1:P1"/>
    <mergeCell ref="B2:P2"/>
    <mergeCell ref="B3:P3"/>
    <mergeCell ref="B4:P4"/>
  </mergeCells>
  <phoneticPr fontId="15" type="noConversion"/>
  <conditionalFormatting sqref="Q1:Q3">
    <cfRule type="cellIs" dxfId="66" priority="1" stopIfTrue="1" operator="equal">
      <formula>"na"</formula>
    </cfRule>
  </conditionalFormatting>
  <dataValidations count="2">
    <dataValidation type="textLength" operator="equal" allowBlank="1" showInputMessage="1" showErrorMessage="1" errorTitle="Invalid data!" error="GASB number must be 4 digits." sqref="D8 F13:F30" xr:uid="{00000000-0002-0000-2A00-000000000000}">
      <formula1>4</formula1>
    </dataValidation>
    <dataValidation type="list" allowBlank="1" showInputMessage="1" showErrorMessage="1" sqref="D13:D30" xr:uid="{00000000-0002-0000-2A00-000001000000}">
      <formula1>List505thru520</formula1>
    </dataValidation>
  </dataValidations>
  <hyperlinks>
    <hyperlink ref="B1:P1" location="Index!A1" display="Index!A1" xr:uid="{00000000-0004-0000-2A00-000000000000}"/>
  </hyperlinks>
  <printOptions horizontalCentered="1"/>
  <pageMargins left="0.5" right="0.5" top="0.75" bottom="0.5" header="0.5" footer="0.5"/>
  <pageSetup scale="94" orientation="landscape" blackAndWhite="1" r:id="rId5"/>
  <headerFooter alignWithMargins="0">
    <oddFooter>&amp;R&amp;A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11">
    <pageSetUpPr fitToPage="1"/>
  </sheetPr>
  <dimension ref="A1:Q55"/>
  <sheetViews>
    <sheetView showGridLines="0" topLeftCell="B1" zoomScaleNormal="100" workbookViewId="0">
      <selection activeCell="W11" sqref="W11"/>
    </sheetView>
  </sheetViews>
  <sheetFormatPr defaultColWidth="9.42578125" defaultRowHeight="15.75" x14ac:dyDescent="0.25"/>
  <cols>
    <col min="1" max="1" width="9.42578125" style="53" hidden="1" customWidth="1"/>
    <col min="2" max="2" width="13.5703125" style="53" customWidth="1"/>
    <col min="3" max="3" width="1.5703125" style="53" customWidth="1"/>
    <col min="4" max="4" width="7.5703125" style="53" bestFit="1" customWidth="1"/>
    <col min="5" max="5" width="1.5703125" style="53" customWidth="1"/>
    <col min="6" max="6" width="8.5703125" style="53" customWidth="1"/>
    <col min="7" max="7" width="1.5703125" style="53" customWidth="1"/>
    <col min="8" max="8" width="17" style="53" customWidth="1"/>
    <col min="9" max="9" width="1.5703125" style="53" customWidth="1"/>
    <col min="10" max="10" width="15.42578125" style="53" customWidth="1"/>
    <col min="11" max="11" width="1.140625" style="53" customWidth="1"/>
    <col min="12" max="12" width="13.42578125" style="53" customWidth="1"/>
    <col min="13" max="13" width="1.28515625" style="53" customWidth="1"/>
    <col min="14" max="14" width="13.42578125" style="53" customWidth="1"/>
    <col min="15" max="15" width="1.5703125" style="53" customWidth="1"/>
    <col min="16" max="16" width="36.42578125" style="53" customWidth="1"/>
    <col min="17" max="17" width="4.5703125" style="53" bestFit="1" customWidth="1"/>
    <col min="18" max="16384" width="9.42578125" style="53"/>
  </cols>
  <sheetData>
    <row r="1" spans="2:17" s="171" customFormat="1" ht="15" customHeight="1" x14ac:dyDescent="0.25">
      <c r="B1" s="2449" t="str">
        <f>+Index!$A$1</f>
        <v xml:space="preserve">                                                               Office of the State Controller                                                                </v>
      </c>
      <c r="C1" s="2449"/>
      <c r="D1" s="2449"/>
      <c r="E1" s="2449"/>
      <c r="F1" s="2449"/>
      <c r="G1" s="2449"/>
      <c r="H1" s="2449"/>
      <c r="I1" s="2449"/>
      <c r="J1" s="2449"/>
      <c r="K1" s="2449"/>
      <c r="L1" s="2449"/>
      <c r="M1" s="2449"/>
      <c r="N1" s="2449"/>
      <c r="O1" s="2449"/>
      <c r="P1" s="2449"/>
      <c r="Q1" s="2510" t="str">
        <f>IF(Index!$B$68="na","NA","")</f>
        <v/>
      </c>
    </row>
    <row r="2" spans="2:17" s="171" customFormat="1" ht="15" customHeight="1" x14ac:dyDescent="0.25">
      <c r="B2" s="2750" t="str">
        <f>+Index!$A$2</f>
        <v>2022 ACFR Worksheets</v>
      </c>
      <c r="C2" s="2750"/>
      <c r="D2" s="2750"/>
      <c r="E2" s="2750"/>
      <c r="F2" s="2750"/>
      <c r="G2" s="2750"/>
      <c r="H2" s="2750"/>
      <c r="I2" s="2750"/>
      <c r="J2" s="2750"/>
      <c r="K2" s="2750"/>
      <c r="L2" s="2750"/>
      <c r="M2" s="2750"/>
      <c r="N2" s="2750"/>
      <c r="O2" s="2750"/>
      <c r="P2" s="2750"/>
      <c r="Q2" s="2510"/>
    </row>
    <row r="3" spans="2:17" s="171" customFormat="1" ht="15" customHeight="1" x14ac:dyDescent="0.25">
      <c r="B3" s="2750" t="s">
        <v>1526</v>
      </c>
      <c r="C3" s="2750"/>
      <c r="D3" s="2750"/>
      <c r="E3" s="2750"/>
      <c r="F3" s="2750"/>
      <c r="G3" s="2750"/>
      <c r="H3" s="2750"/>
      <c r="I3" s="2750"/>
      <c r="J3" s="2750"/>
      <c r="K3" s="2750"/>
      <c r="L3" s="2750"/>
      <c r="M3" s="2750"/>
      <c r="N3" s="2750"/>
      <c r="O3" s="2750"/>
      <c r="P3" s="2750"/>
      <c r="Q3" s="2510"/>
    </row>
    <row r="4" spans="2:17" s="171" customFormat="1" ht="15" customHeight="1" x14ac:dyDescent="0.25">
      <c r="B4" s="2750" t="s">
        <v>4799</v>
      </c>
      <c r="C4" s="2750"/>
      <c r="D4" s="2750"/>
      <c r="E4" s="2750"/>
      <c r="F4" s="2750"/>
      <c r="G4" s="2750"/>
      <c r="H4" s="2750"/>
      <c r="I4" s="2750"/>
      <c r="J4" s="2750"/>
      <c r="K4" s="2750"/>
      <c r="L4" s="2750"/>
      <c r="M4" s="2750"/>
      <c r="N4" s="2750"/>
      <c r="O4" s="2750"/>
      <c r="P4" s="2750"/>
    </row>
    <row r="5" spans="2:17" s="173" customFormat="1" ht="15" customHeight="1" x14ac:dyDescent="0.2">
      <c r="B5" s="179"/>
      <c r="C5" s="180"/>
      <c r="D5" s="180"/>
      <c r="E5" s="180"/>
      <c r="F5" s="180"/>
      <c r="G5" s="180"/>
      <c r="H5" s="180"/>
      <c r="I5" s="180"/>
      <c r="J5" s="180"/>
      <c r="K5" s="179"/>
      <c r="L5" s="180"/>
      <c r="M5" s="180"/>
      <c r="N5" s="180"/>
      <c r="O5" s="180"/>
      <c r="P5" s="180"/>
    </row>
    <row r="6" spans="2:17" s="173" customFormat="1" ht="15" customHeight="1" x14ac:dyDescent="0.2">
      <c r="B6" s="172" t="s">
        <v>327</v>
      </c>
      <c r="D6" s="2746" t="str">
        <f>+Index!$E$10</f>
        <v>01</v>
      </c>
      <c r="E6" s="2746"/>
      <c r="F6" s="2746"/>
      <c r="G6" s="2746"/>
      <c r="H6" s="157"/>
      <c r="O6" s="174" t="s">
        <v>972</v>
      </c>
      <c r="P6" s="773" t="str">
        <f>CONCATENATE(Index!$E$12," ",Index!$E$14)</f>
        <v xml:space="preserve"> </v>
      </c>
    </row>
    <row r="7" spans="2:17" s="173" customFormat="1" ht="15" customHeight="1" x14ac:dyDescent="0.2">
      <c r="B7" s="172" t="s">
        <v>1154</v>
      </c>
      <c r="D7" s="2746" t="str">
        <f>+Index!$E$11</f>
        <v>North Carolina General Assembly</v>
      </c>
      <c r="E7" s="2746"/>
      <c r="F7" s="2746"/>
      <c r="G7" s="2746"/>
      <c r="H7" s="2746"/>
      <c r="O7" s="174" t="s">
        <v>348</v>
      </c>
      <c r="P7" s="775">
        <f>+Index!$E$13</f>
        <v>0</v>
      </c>
    </row>
    <row r="8" spans="2:17" s="173" customFormat="1" ht="15" customHeight="1" x14ac:dyDescent="0.2">
      <c r="B8" s="172" t="s">
        <v>723</v>
      </c>
      <c r="D8" s="560"/>
    </row>
    <row r="9" spans="2:17" s="173" customFormat="1" ht="15" customHeight="1" thickBot="1" x14ac:dyDescent="0.25">
      <c r="B9" s="175"/>
      <c r="C9" s="175"/>
      <c r="D9" s="175"/>
      <c r="E9" s="175"/>
      <c r="F9" s="175"/>
      <c r="G9" s="175"/>
      <c r="H9" s="175"/>
      <c r="I9" s="175"/>
      <c r="J9" s="175"/>
      <c r="K9" s="176"/>
      <c r="L9" s="175"/>
      <c r="M9" s="175"/>
      <c r="N9" s="175"/>
      <c r="O9" s="175"/>
      <c r="P9" s="175"/>
    </row>
    <row r="10" spans="2:17" s="173" customFormat="1" ht="15" customHeight="1" thickBot="1" x14ac:dyDescent="0.25">
      <c r="B10" s="1086" t="s">
        <v>1525</v>
      </c>
      <c r="C10" s="1081"/>
      <c r="D10" s="158" t="s">
        <v>979</v>
      </c>
      <c r="E10" s="156"/>
      <c r="F10" s="158" t="s">
        <v>979</v>
      </c>
      <c r="I10" s="179"/>
      <c r="J10" s="2749" t="s">
        <v>1096</v>
      </c>
      <c r="K10" s="2749"/>
      <c r="L10" s="2749"/>
      <c r="M10" s="2749"/>
      <c r="N10" s="2749"/>
      <c r="O10" s="159"/>
    </row>
    <row r="11" spans="2:17" s="173" customFormat="1" ht="15" customHeight="1" x14ac:dyDescent="0.2">
      <c r="B11" s="177" t="s">
        <v>1064</v>
      </c>
      <c r="D11" s="158" t="s">
        <v>722</v>
      </c>
      <c r="E11" s="156"/>
      <c r="F11" s="158" t="s">
        <v>1157</v>
      </c>
      <c r="I11" s="179"/>
      <c r="J11" s="156"/>
      <c r="K11" s="156"/>
      <c r="L11" s="2219" t="s">
        <v>5381</v>
      </c>
      <c r="M11" s="158"/>
      <c r="N11" s="2219" t="s">
        <v>5380</v>
      </c>
      <c r="O11" s="156"/>
    </row>
    <row r="12" spans="2:17" s="173" customFormat="1" ht="15" customHeight="1" thickBot="1" x14ac:dyDescent="0.25">
      <c r="B12" s="181" t="s">
        <v>684</v>
      </c>
      <c r="C12" s="177"/>
      <c r="D12" s="160" t="s">
        <v>808</v>
      </c>
      <c r="E12" s="156"/>
      <c r="F12" s="160" t="s">
        <v>808</v>
      </c>
      <c r="H12" s="181" t="s">
        <v>1156</v>
      </c>
      <c r="J12" s="160" t="s">
        <v>1097</v>
      </c>
      <c r="K12" s="162"/>
      <c r="L12" s="2221" t="s">
        <v>5382</v>
      </c>
      <c r="M12" s="158"/>
      <c r="N12" s="2221" t="s">
        <v>1307</v>
      </c>
      <c r="O12" s="162"/>
      <c r="P12" s="181" t="s">
        <v>980</v>
      </c>
    </row>
    <row r="13" spans="2:17" s="173" customFormat="1" ht="15" customHeight="1" x14ac:dyDescent="0.2">
      <c r="B13" s="241">
        <v>114700</v>
      </c>
      <c r="C13" s="242"/>
      <c r="D13" s="561"/>
      <c r="E13" s="242"/>
      <c r="F13" s="561"/>
      <c r="G13" s="242"/>
      <c r="H13" s="562"/>
      <c r="J13" s="557"/>
      <c r="K13" s="156"/>
      <c r="L13" s="558"/>
      <c r="M13" s="2231"/>
      <c r="N13" s="2344"/>
      <c r="P13" s="560"/>
    </row>
    <row r="14" spans="2:17" s="173" customFormat="1" ht="15" customHeight="1" x14ac:dyDescent="0.2">
      <c r="B14" s="241">
        <v>114700</v>
      </c>
      <c r="C14" s="242"/>
      <c r="D14" s="561"/>
      <c r="E14" s="242"/>
      <c r="F14" s="561"/>
      <c r="G14" s="242"/>
      <c r="H14" s="562"/>
      <c r="J14" s="557"/>
      <c r="K14" s="156"/>
      <c r="L14" s="558"/>
      <c r="M14" s="2231"/>
      <c r="N14" s="2344"/>
      <c r="P14" s="560"/>
    </row>
    <row r="15" spans="2:17" s="173" customFormat="1" ht="15" customHeight="1" x14ac:dyDescent="0.2">
      <c r="B15" s="241">
        <v>114700</v>
      </c>
      <c r="C15" s="242"/>
      <c r="D15" s="561"/>
      <c r="E15" s="242"/>
      <c r="F15" s="561"/>
      <c r="G15" s="242"/>
      <c r="H15" s="562"/>
      <c r="J15" s="557"/>
      <c r="K15" s="156"/>
      <c r="L15" s="558"/>
      <c r="M15" s="2231"/>
      <c r="N15" s="2344"/>
      <c r="P15" s="560"/>
    </row>
    <row r="16" spans="2:17" s="173" customFormat="1" ht="15" customHeight="1" x14ac:dyDescent="0.2">
      <c r="B16" s="241">
        <v>114700</v>
      </c>
      <c r="C16" s="242"/>
      <c r="D16" s="561"/>
      <c r="E16" s="242"/>
      <c r="F16" s="561"/>
      <c r="G16" s="242"/>
      <c r="H16" s="562"/>
      <c r="J16" s="557"/>
      <c r="K16" s="156"/>
      <c r="L16" s="558"/>
      <c r="M16" s="2231"/>
      <c r="N16" s="2344"/>
      <c r="P16" s="560"/>
    </row>
    <row r="17" spans="2:16" s="173" customFormat="1" ht="15" customHeight="1" x14ac:dyDescent="0.2">
      <c r="B17" s="241">
        <v>114700</v>
      </c>
      <c r="C17" s="242"/>
      <c r="D17" s="561"/>
      <c r="E17" s="242"/>
      <c r="F17" s="561"/>
      <c r="G17" s="242"/>
      <c r="H17" s="562"/>
      <c r="J17" s="560"/>
      <c r="L17" s="563"/>
      <c r="M17" s="2232"/>
      <c r="N17" s="2344"/>
      <c r="P17" s="560"/>
    </row>
    <row r="18" spans="2:16" s="173" customFormat="1" ht="15" customHeight="1" x14ac:dyDescent="0.2">
      <c r="B18" s="241">
        <v>114700</v>
      </c>
      <c r="C18" s="242"/>
      <c r="D18" s="561"/>
      <c r="E18" s="242"/>
      <c r="F18" s="561"/>
      <c r="G18" s="242"/>
      <c r="H18" s="562"/>
      <c r="J18" s="560"/>
      <c r="L18" s="563"/>
      <c r="M18" s="2232"/>
      <c r="N18" s="2344"/>
      <c r="P18" s="560"/>
    </row>
    <row r="19" spans="2:16" s="173" customFormat="1" ht="15" customHeight="1" x14ac:dyDescent="0.2">
      <c r="B19" s="241">
        <v>114700</v>
      </c>
      <c r="C19" s="242"/>
      <c r="D19" s="561"/>
      <c r="E19" s="242"/>
      <c r="F19" s="561"/>
      <c r="G19" s="242"/>
      <c r="H19" s="562"/>
      <c r="J19" s="560"/>
      <c r="L19" s="563"/>
      <c r="M19" s="2232"/>
      <c r="N19" s="2344"/>
      <c r="P19" s="560"/>
    </row>
    <row r="20" spans="2:16" s="173" customFormat="1" ht="15" customHeight="1" x14ac:dyDescent="0.2">
      <c r="B20" s="241">
        <v>114700</v>
      </c>
      <c r="C20" s="242"/>
      <c r="D20" s="561"/>
      <c r="E20" s="242"/>
      <c r="F20" s="561"/>
      <c r="G20" s="242"/>
      <c r="H20" s="562"/>
      <c r="J20" s="560"/>
      <c r="L20" s="563"/>
      <c r="M20" s="2232"/>
      <c r="N20" s="2344"/>
      <c r="P20" s="560"/>
    </row>
    <row r="21" spans="2:16" s="173" customFormat="1" ht="15" customHeight="1" x14ac:dyDescent="0.2">
      <c r="B21" s="241">
        <v>114700</v>
      </c>
      <c r="C21" s="242"/>
      <c r="D21" s="561"/>
      <c r="E21" s="242"/>
      <c r="F21" s="561"/>
      <c r="G21" s="242"/>
      <c r="H21" s="562"/>
      <c r="J21" s="560"/>
      <c r="L21" s="563"/>
      <c r="M21" s="2232"/>
      <c r="N21" s="2344"/>
      <c r="P21" s="560"/>
    </row>
    <row r="22" spans="2:16" s="173" customFormat="1" ht="15" customHeight="1" x14ac:dyDescent="0.2">
      <c r="B22" s="241">
        <v>114700</v>
      </c>
      <c r="C22" s="242"/>
      <c r="D22" s="561"/>
      <c r="E22" s="242"/>
      <c r="F22" s="561"/>
      <c r="G22" s="242"/>
      <c r="H22" s="562"/>
      <c r="J22" s="560"/>
      <c r="L22" s="563"/>
      <c r="M22" s="2232"/>
      <c r="N22" s="2344"/>
      <c r="P22" s="560"/>
    </row>
    <row r="23" spans="2:16" s="173" customFormat="1" ht="15" customHeight="1" x14ac:dyDescent="0.2">
      <c r="B23" s="241">
        <v>114700</v>
      </c>
      <c r="C23" s="242"/>
      <c r="D23" s="561"/>
      <c r="E23" s="242"/>
      <c r="F23" s="561"/>
      <c r="G23" s="242"/>
      <c r="H23" s="562"/>
      <c r="J23" s="560"/>
      <c r="L23" s="563"/>
      <c r="M23" s="2232"/>
      <c r="N23" s="2344"/>
      <c r="P23" s="560"/>
    </row>
    <row r="24" spans="2:16" s="173" customFormat="1" ht="15" customHeight="1" thickBot="1" x14ac:dyDescent="0.25">
      <c r="E24" s="177"/>
      <c r="F24" s="177" t="s">
        <v>981</v>
      </c>
      <c r="G24" s="177"/>
      <c r="H24" s="178">
        <f>SUM(H13:H23)</f>
        <v>0</v>
      </c>
      <c r="J24" s="245" t="s">
        <v>5540</v>
      </c>
    </row>
    <row r="25" spans="2:16" s="173" customFormat="1" ht="15" customHeight="1" x14ac:dyDescent="0.2">
      <c r="E25" s="177"/>
      <c r="F25" s="177"/>
      <c r="G25" s="177"/>
      <c r="H25" s="243"/>
      <c r="J25" s="245"/>
    </row>
    <row r="26" spans="2:16" s="173" customFormat="1" ht="15" customHeight="1" x14ac:dyDescent="0.2">
      <c r="E26" s="177"/>
      <c r="F26" s="177"/>
      <c r="G26" s="177"/>
      <c r="H26" s="243"/>
      <c r="J26" s="245"/>
    </row>
    <row r="27" spans="2:16" s="173" customFormat="1" ht="7.35" customHeight="1" x14ac:dyDescent="0.2">
      <c r="E27" s="177"/>
      <c r="F27" s="177"/>
      <c r="G27" s="177"/>
      <c r="O27" s="177"/>
    </row>
    <row r="28" spans="2:16" s="173" customFormat="1" ht="15" customHeight="1" x14ac:dyDescent="0.2">
      <c r="B28" s="1083" t="s">
        <v>1524</v>
      </c>
      <c r="C28" s="1084"/>
      <c r="D28" s="1084"/>
      <c r="E28" s="1085"/>
      <c r="F28" s="1085"/>
      <c r="G28" s="177"/>
      <c r="O28" s="177"/>
    </row>
    <row r="29" spans="2:16" s="173" customFormat="1" ht="15" customHeight="1" x14ac:dyDescent="0.2">
      <c r="B29" s="241">
        <v>124200</v>
      </c>
      <c r="C29" s="242"/>
      <c r="D29" s="561"/>
      <c r="E29" s="242"/>
      <c r="F29" s="561"/>
      <c r="G29" s="242"/>
      <c r="H29" s="562"/>
      <c r="J29" s="557"/>
      <c r="K29" s="156"/>
      <c r="L29" s="558"/>
      <c r="M29" s="2231"/>
      <c r="N29" s="2344"/>
      <c r="P29" s="560"/>
    </row>
    <row r="30" spans="2:16" s="173" customFormat="1" ht="15" customHeight="1" x14ac:dyDescent="0.2">
      <c r="B30" s="241">
        <v>124200</v>
      </c>
      <c r="C30" s="242"/>
      <c r="D30" s="561"/>
      <c r="E30" s="242"/>
      <c r="F30" s="561"/>
      <c r="G30" s="242"/>
      <c r="H30" s="562"/>
      <c r="J30" s="560"/>
      <c r="L30" s="563"/>
      <c r="M30" s="2232"/>
      <c r="N30" s="2344"/>
      <c r="P30" s="560"/>
    </row>
    <row r="31" spans="2:16" s="173" customFormat="1" ht="15" customHeight="1" x14ac:dyDescent="0.2">
      <c r="B31" s="241">
        <v>124200</v>
      </c>
      <c r="C31" s="242"/>
      <c r="D31" s="561"/>
      <c r="E31" s="242"/>
      <c r="F31" s="561"/>
      <c r="G31" s="242"/>
      <c r="H31" s="562"/>
      <c r="J31" s="560"/>
      <c r="L31" s="563"/>
      <c r="M31" s="2232"/>
      <c r="N31" s="2344"/>
      <c r="P31" s="560"/>
    </row>
    <row r="32" spans="2:16" s="173" customFormat="1" ht="15" customHeight="1" x14ac:dyDescent="0.2">
      <c r="B32" s="241">
        <v>124200</v>
      </c>
      <c r="C32" s="242"/>
      <c r="D32" s="561"/>
      <c r="E32" s="242"/>
      <c r="F32" s="561"/>
      <c r="G32" s="242"/>
      <c r="H32" s="562"/>
      <c r="J32" s="560"/>
      <c r="L32" s="563"/>
      <c r="M32" s="2232"/>
      <c r="N32" s="2344"/>
      <c r="P32" s="560"/>
    </row>
    <row r="33" spans="1:15" s="173" customFormat="1" ht="15" customHeight="1" thickBot="1" x14ac:dyDescent="0.25">
      <c r="E33" s="177"/>
      <c r="F33" s="177" t="s">
        <v>981</v>
      </c>
      <c r="G33" s="177"/>
      <c r="H33" s="178">
        <f>SUM(H29:H32)</f>
        <v>0</v>
      </c>
      <c r="J33" s="245" t="s">
        <v>5540</v>
      </c>
    </row>
    <row r="34" spans="1:15" s="173" customFormat="1" ht="15" customHeight="1" x14ac:dyDescent="0.2">
      <c r="E34" s="177"/>
      <c r="F34" s="177"/>
      <c r="G34" s="177"/>
      <c r="H34" s="243"/>
      <c r="J34" s="245"/>
    </row>
    <row r="35" spans="1:15" s="173" customFormat="1" ht="15" customHeight="1" x14ac:dyDescent="0.2">
      <c r="B35" s="245" t="s">
        <v>771</v>
      </c>
      <c r="E35" s="177"/>
      <c r="F35" s="177"/>
      <c r="G35" s="177"/>
      <c r="O35" s="177"/>
    </row>
    <row r="36" spans="1:15" s="173" customFormat="1" ht="15" customHeight="1" x14ac:dyDescent="0.2">
      <c r="B36" s="245"/>
      <c r="E36" s="177"/>
      <c r="F36" s="177"/>
      <c r="G36" s="177"/>
      <c r="O36" s="177"/>
    </row>
    <row r="37" spans="1:15" s="173" customFormat="1" ht="15" customHeight="1" x14ac:dyDescent="0.2">
      <c r="B37" s="245"/>
      <c r="E37" s="177"/>
      <c r="F37" s="177"/>
      <c r="G37" s="177"/>
      <c r="O37" s="177"/>
    </row>
    <row r="38" spans="1:15" s="173" customFormat="1" ht="15" customHeight="1" x14ac:dyDescent="0.2">
      <c r="A38" s="443" t="str">
        <f ca="1">MID(CELL("filename",A3),FIND("]",CELL("filename",A3))+1,256)</f>
        <v>525</v>
      </c>
      <c r="B38" s="443" t="s">
        <v>449</v>
      </c>
      <c r="E38" s="177"/>
      <c r="F38" s="177"/>
      <c r="G38" s="177"/>
      <c r="O38" s="177"/>
    </row>
    <row r="39" spans="1:15" s="173" customFormat="1" ht="15" customHeight="1" x14ac:dyDescent="0.2">
      <c r="A39" s="443" t="s">
        <v>446</v>
      </c>
      <c r="B39" s="443" t="str">
        <f t="shared" ref="B39:B48" ca="1" si="0">IF(ISNA(INDEX(ErrorTable,MATCH($A$38&amp;$A39&amp;FALSE,ErrorKey,0),6)),"",INDEX(ErrorTable,MATCH($A$38&amp;$A39&amp;FALSE,ErrorKey,0),6))</f>
        <v>GASB number is blank.</v>
      </c>
      <c r="E39" s="177"/>
      <c r="F39" s="177"/>
      <c r="G39" s="177"/>
      <c r="O39" s="177"/>
    </row>
    <row r="40" spans="1:15" s="173" customFormat="1" ht="15" customHeight="1" x14ac:dyDescent="0.2">
      <c r="A40" s="443" t="s">
        <v>447</v>
      </c>
      <c r="B40" s="443" t="str">
        <f t="shared" ca="1" si="0"/>
        <v/>
      </c>
      <c r="E40" s="177"/>
      <c r="F40" s="177"/>
      <c r="G40" s="177"/>
      <c r="O40" s="177"/>
    </row>
    <row r="41" spans="1:15" s="173" customFormat="1" ht="15" customHeight="1" x14ac:dyDescent="0.2">
      <c r="A41" s="443" t="s">
        <v>448</v>
      </c>
      <c r="B41" s="443" t="str">
        <f t="shared" ca="1" si="0"/>
        <v/>
      </c>
      <c r="E41" s="177"/>
      <c r="F41" s="177"/>
      <c r="G41" s="177"/>
      <c r="O41" s="177"/>
    </row>
    <row r="42" spans="1:15" s="173" customFormat="1" ht="15" customHeight="1" x14ac:dyDescent="0.2">
      <c r="A42" s="443" t="s">
        <v>450</v>
      </c>
      <c r="B42" s="443" t="str">
        <f t="shared" ca="1" si="0"/>
        <v/>
      </c>
      <c r="E42" s="177"/>
      <c r="F42" s="177"/>
      <c r="G42" s="177"/>
      <c r="O42" s="177"/>
    </row>
    <row r="43" spans="1:15" ht="20.85" customHeight="1" x14ac:dyDescent="0.25">
      <c r="A43" s="443" t="s">
        <v>451</v>
      </c>
      <c r="B43" s="443" t="str">
        <f t="shared" ca="1" si="0"/>
        <v/>
      </c>
    </row>
    <row r="44" spans="1:15" ht="20.85" customHeight="1" x14ac:dyDescent="0.25">
      <c r="A44" s="443" t="s">
        <v>452</v>
      </c>
      <c r="B44" s="443" t="str">
        <f t="shared" ca="1" si="0"/>
        <v/>
      </c>
      <c r="D44" s="55" t="s">
        <v>973</v>
      </c>
      <c r="E44" s="55"/>
      <c r="F44" s="55"/>
      <c r="G44" s="55"/>
      <c r="H44" s="55"/>
      <c r="I44" s="55"/>
      <c r="J44" s="55"/>
      <c r="K44" s="55"/>
    </row>
    <row r="45" spans="1:15" ht="20.85" customHeight="1" x14ac:dyDescent="0.25">
      <c r="A45" s="443" t="s">
        <v>453</v>
      </c>
      <c r="B45" s="443" t="str">
        <f t="shared" ca="1" si="0"/>
        <v/>
      </c>
      <c r="D45" s="55" t="s">
        <v>973</v>
      </c>
      <c r="E45" s="55"/>
      <c r="F45" s="55"/>
      <c r="G45" s="55"/>
      <c r="L45" s="54" t="s">
        <v>973</v>
      </c>
      <c r="M45" s="54"/>
      <c r="N45" s="54"/>
      <c r="O45" s="54"/>
    </row>
    <row r="46" spans="1:15" ht="20.85" customHeight="1" x14ac:dyDescent="0.25">
      <c r="A46" s="443" t="s">
        <v>454</v>
      </c>
      <c r="B46" s="443" t="str">
        <f t="shared" ca="1" si="0"/>
        <v/>
      </c>
    </row>
    <row r="47" spans="1:15" ht="20.85" customHeight="1" x14ac:dyDescent="0.25">
      <c r="A47" s="443" t="s">
        <v>455</v>
      </c>
      <c r="B47" s="443" t="str">
        <f t="shared" ca="1" si="0"/>
        <v/>
      </c>
    </row>
    <row r="48" spans="1:15" ht="20.85" customHeight="1" x14ac:dyDescent="0.25">
      <c r="A48" s="443" t="s">
        <v>456</v>
      </c>
      <c r="B48" s="443" t="str">
        <f t="shared" ca="1" si="0"/>
        <v/>
      </c>
    </row>
    <row r="49" spans="4:15" ht="20.85" customHeight="1" x14ac:dyDescent="0.25"/>
    <row r="50" spans="4:15" ht="20.85" customHeight="1" x14ac:dyDescent="0.25"/>
    <row r="51" spans="4:15" ht="20.85" customHeight="1" x14ac:dyDescent="0.25"/>
    <row r="52" spans="4:15" ht="20.85" customHeight="1" x14ac:dyDescent="0.25">
      <c r="D52" s="53" t="s">
        <v>973</v>
      </c>
    </row>
    <row r="53" spans="4:15" ht="20.85" customHeight="1" x14ac:dyDescent="0.25"/>
    <row r="54" spans="4:15" ht="20.85" customHeight="1" x14ac:dyDescent="0.25"/>
    <row r="55" spans="4:15" ht="20.85" customHeight="1" x14ac:dyDescent="0.25">
      <c r="D55" s="55" t="s">
        <v>973</v>
      </c>
      <c r="E55" s="55"/>
      <c r="F55" s="55"/>
      <c r="G55" s="55"/>
      <c r="L55" s="54" t="s">
        <v>973</v>
      </c>
      <c r="M55" s="54"/>
      <c r="N55" s="54"/>
      <c r="O55" s="54"/>
    </row>
  </sheetData>
  <sheetProtection algorithmName="SHA-512" hashValue="e7hAjgMFEfIDp/DSp3eW4XMH3ea6dk1JvnxsIOhhXcEfeNFJxTq0UWYOhVqWeOYorrT2yZnTbHv5rO0XTNxjhw==" saltValue="8lFN5gJ27CI2tIgDufOevQ==" spinCount="100000" sheet="1" objects="1" scenarios="1" autoFilter="0"/>
  <dataConsolidate link="1"/>
  <customSheetViews>
    <customSheetView guid="{B08879A4-635B-4C39-9937-AC7883D562FC}" showGridLines="0" fitToPage="1" hiddenColumns="1" topLeftCell="B1">
      <selection activeCell="B12" sqref="B12"/>
      <pageMargins left="0.5" right="0.5" top="0.75" bottom="0.5" header="0.5" footer="0.5"/>
      <printOptions horizontalCentered="1"/>
      <pageSetup scale="96" orientation="landscape" blackAndWhite="1" r:id="rId1"/>
      <headerFooter alignWithMargins="0">
        <oddFooter>&amp;R&amp;A</oddFooter>
      </headerFooter>
    </customSheetView>
    <customSheetView guid="{1250FD07-FF56-4A9D-AF9E-C27124A7EBE9}" showGridLines="0" fitToPage="1" showRuler="0">
      <selection sqref="A1:M1"/>
      <pageMargins left="0.5" right="0.5" top="0.75" bottom="0.5" header="0.5" footer="0.5"/>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5" right="0.5" top="0.75" bottom="0.5" header="0.5" footer="0.5"/>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5" right="0.5" top="0.75" bottom="0.5" header="0.5" footer="0.5"/>
      <printOptions horizontalCentered="1"/>
      <pageSetup scale="96" orientation="landscape" blackAndWhite="1" r:id="rId4"/>
      <headerFooter alignWithMargins="0">
        <oddFooter>&amp;R&amp;A</oddFooter>
      </headerFooter>
    </customSheetView>
  </customSheetViews>
  <mergeCells count="8">
    <mergeCell ref="D6:G6"/>
    <mergeCell ref="D7:H7"/>
    <mergeCell ref="J10:N10"/>
    <mergeCell ref="Q1:Q3"/>
    <mergeCell ref="B1:P1"/>
    <mergeCell ref="B2:P2"/>
    <mergeCell ref="B3:P3"/>
    <mergeCell ref="B4:P4"/>
  </mergeCells>
  <phoneticPr fontId="15" type="noConversion"/>
  <conditionalFormatting sqref="Q1:Q3">
    <cfRule type="cellIs" dxfId="65" priority="1" stopIfTrue="1" operator="equal">
      <formula>"na"</formula>
    </cfRule>
  </conditionalFormatting>
  <dataValidations count="2">
    <dataValidation type="textLength" operator="equal" allowBlank="1" showInputMessage="1" showErrorMessage="1" errorTitle="Invalid data!" error="GASB number must be 4 digits." sqref="F32 F30 D8 F23 F20:F21 F17:F18 F14:F15" xr:uid="{00000000-0002-0000-2B00-000000000000}">
      <formula1>4</formula1>
    </dataValidation>
    <dataValidation type="list" allowBlank="1" showInputMessage="1" showErrorMessage="1" sqref="D13:D23 D29:D32" xr:uid="{00000000-0002-0000-2B00-000001000000}">
      <formula1>Listfor525and530</formula1>
    </dataValidation>
  </dataValidations>
  <hyperlinks>
    <hyperlink ref="B1:P1" location="Index!A1" display="Index!A1" xr:uid="{00000000-0004-0000-2B00-000000000000}"/>
  </hyperlinks>
  <printOptions horizontalCentered="1"/>
  <pageMargins left="0.5" right="0.5" top="0.75" bottom="0.5" header="0.5" footer="0.5"/>
  <pageSetup scale="91" orientation="landscape" blackAndWhite="1" r:id="rId5"/>
  <headerFooter alignWithMargins="0">
    <oddFooter>&amp;R&amp;A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121">
    <pageSetUpPr fitToPage="1"/>
  </sheetPr>
  <dimension ref="A1:Q54"/>
  <sheetViews>
    <sheetView showGridLines="0" topLeftCell="B1" zoomScaleNormal="100" workbookViewId="0">
      <selection activeCell="U17" sqref="U17"/>
    </sheetView>
  </sheetViews>
  <sheetFormatPr defaultColWidth="9.42578125" defaultRowHeight="15.75" x14ac:dyDescent="0.25"/>
  <cols>
    <col min="1" max="1" width="0" style="53" hidden="1" customWidth="1"/>
    <col min="2" max="2" width="13.5703125" style="53" customWidth="1"/>
    <col min="3" max="3" width="1.5703125" style="53" customWidth="1"/>
    <col min="4" max="4" width="7.5703125" style="53" bestFit="1" customWidth="1"/>
    <col min="5" max="5" width="1.5703125" style="53" customWidth="1"/>
    <col min="6" max="6" width="8.5703125" style="53" customWidth="1"/>
    <col min="7" max="7" width="1.5703125" style="53" customWidth="1"/>
    <col min="8" max="8" width="16.5703125" style="53" customWidth="1"/>
    <col min="9" max="9" width="1.28515625" style="53" customWidth="1"/>
    <col min="10" max="10" width="15.42578125" style="53" customWidth="1"/>
    <col min="11" max="11" width="1" style="53" customWidth="1"/>
    <col min="12" max="12" width="13.42578125" style="53" customWidth="1"/>
    <col min="13" max="13" width="1.28515625" style="53" customWidth="1"/>
    <col min="14" max="14" width="13.42578125" style="53" customWidth="1"/>
    <col min="15" max="15" width="1.140625" style="53" customWidth="1"/>
    <col min="16" max="16" width="36.42578125" style="53" customWidth="1"/>
    <col min="17" max="17" width="4.5703125" style="53" bestFit="1" customWidth="1"/>
    <col min="18" max="16384" width="9.42578125" style="53"/>
  </cols>
  <sheetData>
    <row r="1" spans="2:17" s="171" customFormat="1" ht="15" customHeight="1" x14ac:dyDescent="0.25">
      <c r="B1" s="2449" t="str">
        <f>+Index!$A$1</f>
        <v xml:space="preserve">                                                               Office of the State Controller                                                                </v>
      </c>
      <c r="C1" s="2449"/>
      <c r="D1" s="2449"/>
      <c r="E1" s="2449"/>
      <c r="F1" s="2449"/>
      <c r="G1" s="2449"/>
      <c r="H1" s="2449"/>
      <c r="I1" s="2449"/>
      <c r="J1" s="2449"/>
      <c r="K1" s="2449"/>
      <c r="L1" s="2449"/>
      <c r="M1" s="2449"/>
      <c r="N1" s="2449"/>
      <c r="O1" s="2449"/>
      <c r="P1" s="2449"/>
      <c r="Q1" s="2510" t="str">
        <f>IF(Index!$B$69="na","NA","")</f>
        <v/>
      </c>
    </row>
    <row r="2" spans="2:17" s="171" customFormat="1" ht="15" customHeight="1" x14ac:dyDescent="0.25">
      <c r="B2" s="2750" t="str">
        <f>+Index!$A$2</f>
        <v>2022 ACFR Worksheets</v>
      </c>
      <c r="C2" s="2750"/>
      <c r="D2" s="2750"/>
      <c r="E2" s="2750"/>
      <c r="F2" s="2750"/>
      <c r="G2" s="2750"/>
      <c r="H2" s="2750"/>
      <c r="I2" s="2750"/>
      <c r="J2" s="2750"/>
      <c r="K2" s="2750"/>
      <c r="L2" s="2750"/>
      <c r="M2" s="2750"/>
      <c r="N2" s="2750"/>
      <c r="O2" s="2750"/>
      <c r="P2" s="2750"/>
      <c r="Q2" s="2510"/>
    </row>
    <row r="3" spans="2:17" s="171" customFormat="1" ht="15" customHeight="1" x14ac:dyDescent="0.25">
      <c r="B3" s="2750" t="s">
        <v>1527</v>
      </c>
      <c r="C3" s="2750"/>
      <c r="D3" s="2750"/>
      <c r="E3" s="2750"/>
      <c r="F3" s="2750"/>
      <c r="G3" s="2750"/>
      <c r="H3" s="2750"/>
      <c r="I3" s="2750"/>
      <c r="J3" s="2750"/>
      <c r="K3" s="2750"/>
      <c r="L3" s="2750"/>
      <c r="M3" s="2750"/>
      <c r="N3" s="2750"/>
      <c r="O3" s="2750"/>
      <c r="P3" s="2750"/>
      <c r="Q3" s="2510"/>
    </row>
    <row r="4" spans="2:17" s="171" customFormat="1" ht="15" customHeight="1" x14ac:dyDescent="0.25">
      <c r="B4" s="2743" t="s">
        <v>4798</v>
      </c>
      <c r="C4" s="2743"/>
      <c r="D4" s="2743"/>
      <c r="E4" s="2743"/>
      <c r="F4" s="2743"/>
      <c r="G4" s="2743"/>
      <c r="H4" s="2743"/>
      <c r="I4" s="2743"/>
      <c r="J4" s="2743"/>
      <c r="K4" s="2743"/>
      <c r="L4" s="2743"/>
      <c r="M4" s="2743"/>
      <c r="N4" s="2743"/>
      <c r="O4" s="2743"/>
      <c r="P4" s="2743"/>
      <c r="Q4" s="2743"/>
    </row>
    <row r="5" spans="2:17" s="173" customFormat="1" ht="15" customHeight="1" x14ac:dyDescent="0.2">
      <c r="B5" s="179"/>
      <c r="C5" s="180"/>
      <c r="D5" s="180"/>
      <c r="E5" s="180"/>
      <c r="F5" s="180"/>
      <c r="G5" s="180"/>
      <c r="H5" s="180"/>
      <c r="I5" s="180"/>
      <c r="J5" s="180"/>
      <c r="K5" s="179"/>
      <c r="L5" s="180"/>
      <c r="M5" s="180"/>
      <c r="N5" s="180"/>
      <c r="O5" s="180"/>
      <c r="P5" s="180"/>
    </row>
    <row r="6" spans="2:17" s="173" customFormat="1" ht="15" customHeight="1" x14ac:dyDescent="0.2">
      <c r="B6" s="172" t="s">
        <v>327</v>
      </c>
      <c r="D6" s="2746" t="str">
        <f>+Index!$E$10</f>
        <v>01</v>
      </c>
      <c r="E6" s="2746"/>
      <c r="F6" s="2746"/>
      <c r="G6" s="2746"/>
      <c r="H6" s="157"/>
      <c r="O6" s="174" t="s">
        <v>972</v>
      </c>
      <c r="P6" s="773" t="str">
        <f>CONCATENATE(Index!$E$12," ",Index!$E$14)</f>
        <v xml:space="preserve"> </v>
      </c>
    </row>
    <row r="7" spans="2:17" s="173" customFormat="1" ht="15" customHeight="1" x14ac:dyDescent="0.2">
      <c r="B7" s="172" t="s">
        <v>1154</v>
      </c>
      <c r="D7" s="2746" t="str">
        <f>+Index!$E$11</f>
        <v>North Carolina General Assembly</v>
      </c>
      <c r="E7" s="2746"/>
      <c r="F7" s="2746"/>
      <c r="G7" s="2746"/>
      <c r="H7" s="2746"/>
      <c r="O7" s="174" t="s">
        <v>348</v>
      </c>
      <c r="P7" s="775">
        <f>+Index!$E$13</f>
        <v>0</v>
      </c>
    </row>
    <row r="8" spans="2:17" s="173" customFormat="1" ht="15" customHeight="1" x14ac:dyDescent="0.2">
      <c r="B8" s="172" t="s">
        <v>723</v>
      </c>
      <c r="D8" s="560"/>
    </row>
    <row r="9" spans="2:17" s="173" customFormat="1" ht="15" customHeight="1" thickBot="1" x14ac:dyDescent="0.25">
      <c r="B9" s="175"/>
      <c r="C9" s="175"/>
      <c r="D9" s="175"/>
      <c r="E9" s="175"/>
      <c r="F9" s="175"/>
      <c r="G9" s="175"/>
      <c r="H9" s="175"/>
      <c r="I9" s="175"/>
      <c r="J9" s="175"/>
      <c r="K9" s="176"/>
      <c r="L9" s="175"/>
      <c r="M9" s="175"/>
      <c r="N9" s="175"/>
      <c r="O9" s="175"/>
      <c r="P9" s="175"/>
    </row>
    <row r="10" spans="2:17" s="173" customFormat="1" ht="15" customHeight="1" thickBot="1" x14ac:dyDescent="0.25">
      <c r="B10" s="1086" t="s">
        <v>1528</v>
      </c>
      <c r="C10" s="1081"/>
      <c r="D10" s="158" t="s">
        <v>982</v>
      </c>
      <c r="E10" s="156"/>
      <c r="F10" s="158" t="s">
        <v>982</v>
      </c>
      <c r="I10" s="179"/>
      <c r="J10" s="2749" t="s">
        <v>156</v>
      </c>
      <c r="K10" s="2749"/>
      <c r="L10" s="2749"/>
      <c r="M10" s="2749"/>
      <c r="N10" s="2749"/>
      <c r="O10" s="159"/>
    </row>
    <row r="11" spans="2:17" s="173" customFormat="1" ht="15" customHeight="1" x14ac:dyDescent="0.2">
      <c r="B11" s="177" t="s">
        <v>1064</v>
      </c>
      <c r="D11" s="158" t="s">
        <v>722</v>
      </c>
      <c r="E11" s="156"/>
      <c r="F11" s="158" t="s">
        <v>1157</v>
      </c>
      <c r="I11" s="179"/>
      <c r="J11" s="156"/>
      <c r="K11" s="156"/>
      <c r="L11" s="2219" t="s">
        <v>5381</v>
      </c>
      <c r="M11" s="158"/>
      <c r="N11" s="2219" t="s">
        <v>5380</v>
      </c>
      <c r="O11" s="156"/>
    </row>
    <row r="12" spans="2:17" s="173" customFormat="1" ht="15" customHeight="1" thickBot="1" x14ac:dyDescent="0.25">
      <c r="B12" s="181" t="s">
        <v>684</v>
      </c>
      <c r="C12" s="177"/>
      <c r="D12" s="160" t="s">
        <v>808</v>
      </c>
      <c r="E12" s="156"/>
      <c r="F12" s="160" t="s">
        <v>808</v>
      </c>
      <c r="H12" s="181" t="s">
        <v>1156</v>
      </c>
      <c r="J12" s="160" t="s">
        <v>1097</v>
      </c>
      <c r="K12" s="162"/>
      <c r="L12" s="2221" t="s">
        <v>5382</v>
      </c>
      <c r="M12" s="158"/>
      <c r="N12" s="2221" t="s">
        <v>1307</v>
      </c>
      <c r="O12" s="162"/>
      <c r="P12" s="181" t="s">
        <v>980</v>
      </c>
    </row>
    <row r="13" spans="2:17" s="173" customFormat="1" ht="15" customHeight="1" x14ac:dyDescent="0.2">
      <c r="B13" s="241">
        <v>212600</v>
      </c>
      <c r="C13" s="242"/>
      <c r="D13" s="561"/>
      <c r="E13" s="242"/>
      <c r="F13" s="561"/>
      <c r="G13" s="242"/>
      <c r="H13" s="562"/>
      <c r="J13" s="1851"/>
      <c r="K13" s="156"/>
      <c r="L13" s="558"/>
      <c r="M13" s="2231"/>
      <c r="N13" s="2344"/>
      <c r="P13" s="560"/>
    </row>
    <row r="14" spans="2:17" s="173" customFormat="1" ht="15" customHeight="1" x14ac:dyDescent="0.2">
      <c r="B14" s="241">
        <v>212600</v>
      </c>
      <c r="C14" s="242"/>
      <c r="D14" s="561"/>
      <c r="E14" s="242"/>
      <c r="F14" s="561"/>
      <c r="G14" s="242"/>
      <c r="H14" s="562"/>
      <c r="J14" s="557"/>
      <c r="K14" s="156"/>
      <c r="L14" s="558"/>
      <c r="M14" s="2231"/>
      <c r="N14" s="2344"/>
      <c r="P14" s="560"/>
    </row>
    <row r="15" spans="2:17" s="173" customFormat="1" ht="15" customHeight="1" x14ac:dyDescent="0.2">
      <c r="B15" s="241">
        <v>212600</v>
      </c>
      <c r="C15" s="242"/>
      <c r="D15" s="561"/>
      <c r="E15" s="242"/>
      <c r="F15" s="561"/>
      <c r="G15" s="242"/>
      <c r="H15" s="562"/>
      <c r="J15" s="557"/>
      <c r="K15" s="156"/>
      <c r="L15" s="558"/>
      <c r="M15" s="2231"/>
      <c r="N15" s="2344"/>
      <c r="P15" s="560"/>
    </row>
    <row r="16" spans="2:17" s="173" customFormat="1" ht="15" customHeight="1" x14ac:dyDescent="0.2">
      <c r="B16" s="241">
        <v>212600</v>
      </c>
      <c r="C16" s="242"/>
      <c r="D16" s="561"/>
      <c r="E16" s="242"/>
      <c r="F16" s="561"/>
      <c r="G16" s="242"/>
      <c r="H16" s="562"/>
      <c r="J16" s="557"/>
      <c r="K16" s="156"/>
      <c r="L16" s="558"/>
      <c r="M16" s="2231"/>
      <c r="N16" s="2344"/>
      <c r="P16" s="560"/>
    </row>
    <row r="17" spans="2:16" s="173" customFormat="1" ht="15" customHeight="1" x14ac:dyDescent="0.2">
      <c r="B17" s="241">
        <v>212600</v>
      </c>
      <c r="C17" s="242"/>
      <c r="D17" s="561"/>
      <c r="E17" s="242"/>
      <c r="F17" s="561"/>
      <c r="G17" s="242"/>
      <c r="H17" s="562"/>
      <c r="J17" s="560"/>
      <c r="L17" s="563"/>
      <c r="M17" s="2232"/>
      <c r="N17" s="2344"/>
      <c r="P17" s="560"/>
    </row>
    <row r="18" spans="2:16" s="173" customFormat="1" ht="15" customHeight="1" x14ac:dyDescent="0.2">
      <c r="B18" s="241">
        <v>212600</v>
      </c>
      <c r="C18" s="242"/>
      <c r="D18" s="561"/>
      <c r="E18" s="242"/>
      <c r="F18" s="561"/>
      <c r="G18" s="242"/>
      <c r="H18" s="562"/>
      <c r="J18" s="560"/>
      <c r="L18" s="563"/>
      <c r="M18" s="2232"/>
      <c r="N18" s="2344"/>
      <c r="P18" s="560"/>
    </row>
    <row r="19" spans="2:16" s="173" customFormat="1" ht="15" customHeight="1" x14ac:dyDescent="0.2">
      <c r="B19" s="241">
        <v>212600</v>
      </c>
      <c r="C19" s="242"/>
      <c r="D19" s="561"/>
      <c r="E19" s="242"/>
      <c r="F19" s="561"/>
      <c r="G19" s="242"/>
      <c r="H19" s="562"/>
      <c r="J19" s="560"/>
      <c r="L19" s="563"/>
      <c r="M19" s="2232"/>
      <c r="N19" s="2344"/>
      <c r="P19" s="560"/>
    </row>
    <row r="20" spans="2:16" s="173" customFormat="1" ht="15" customHeight="1" x14ac:dyDescent="0.2">
      <c r="B20" s="241">
        <v>212600</v>
      </c>
      <c r="C20" s="242"/>
      <c r="D20" s="561"/>
      <c r="E20" s="242"/>
      <c r="F20" s="561"/>
      <c r="G20" s="242"/>
      <c r="H20" s="562"/>
      <c r="J20" s="560"/>
      <c r="L20" s="563"/>
      <c r="M20" s="2232"/>
      <c r="N20" s="2344"/>
      <c r="P20" s="560"/>
    </row>
    <row r="21" spans="2:16" s="173" customFormat="1" ht="15" customHeight="1" x14ac:dyDescent="0.2">
      <c r="B21" s="241">
        <v>212600</v>
      </c>
      <c r="C21" s="242"/>
      <c r="D21" s="561"/>
      <c r="E21" s="242"/>
      <c r="F21" s="561"/>
      <c r="G21" s="242"/>
      <c r="H21" s="562"/>
      <c r="J21" s="560"/>
      <c r="L21" s="563"/>
      <c r="M21" s="2232"/>
      <c r="N21" s="2344"/>
      <c r="P21" s="560"/>
    </row>
    <row r="22" spans="2:16" s="173" customFormat="1" ht="15" customHeight="1" x14ac:dyDescent="0.2">
      <c r="B22" s="241">
        <v>212600</v>
      </c>
      <c r="C22" s="242"/>
      <c r="D22" s="561"/>
      <c r="E22" s="242"/>
      <c r="F22" s="561"/>
      <c r="G22" s="242"/>
      <c r="H22" s="562"/>
      <c r="J22" s="560"/>
      <c r="L22" s="563"/>
      <c r="M22" s="2232"/>
      <c r="N22" s="2344"/>
      <c r="P22" s="560"/>
    </row>
    <row r="23" spans="2:16" s="173" customFormat="1" ht="15" customHeight="1" x14ac:dyDescent="0.2">
      <c r="B23" s="241">
        <v>212600</v>
      </c>
      <c r="C23" s="242"/>
      <c r="D23" s="561"/>
      <c r="E23" s="242"/>
      <c r="F23" s="561"/>
      <c r="G23" s="242"/>
      <c r="H23" s="562"/>
      <c r="J23" s="560"/>
      <c r="L23" s="563"/>
      <c r="M23" s="2232"/>
      <c r="N23" s="2344"/>
      <c r="P23" s="560"/>
    </row>
    <row r="24" spans="2:16" s="173" customFormat="1" ht="15" customHeight="1" x14ac:dyDescent="0.2">
      <c r="B24" s="241">
        <v>212600</v>
      </c>
      <c r="C24" s="242"/>
      <c r="D24" s="561"/>
      <c r="E24" s="242"/>
      <c r="F24" s="561"/>
      <c r="G24" s="242"/>
      <c r="H24" s="562"/>
      <c r="J24" s="560"/>
      <c r="L24" s="563"/>
      <c r="M24" s="2232"/>
      <c r="N24" s="2344"/>
      <c r="P24" s="560"/>
    </row>
    <row r="25" spans="2:16" s="173" customFormat="1" ht="15" customHeight="1" x14ac:dyDescent="0.2">
      <c r="B25" s="241">
        <v>212600</v>
      </c>
      <c r="C25" s="242"/>
      <c r="D25" s="561"/>
      <c r="E25" s="242"/>
      <c r="F25" s="561"/>
      <c r="G25" s="242"/>
      <c r="H25" s="562"/>
      <c r="J25" s="560"/>
      <c r="L25" s="563"/>
      <c r="M25" s="2232"/>
      <c r="N25" s="2344"/>
      <c r="P25" s="560"/>
    </row>
    <row r="26" spans="2:16" s="173" customFormat="1" ht="15" customHeight="1" x14ac:dyDescent="0.2">
      <c r="B26" s="241">
        <v>212600</v>
      </c>
      <c r="C26" s="242"/>
      <c r="D26" s="561"/>
      <c r="E26" s="242"/>
      <c r="F26" s="561"/>
      <c r="G26" s="242"/>
      <c r="H26" s="562"/>
      <c r="J26" s="560"/>
      <c r="L26" s="563"/>
      <c r="M26" s="2232"/>
      <c r="N26" s="2344"/>
      <c r="P26" s="560"/>
    </row>
    <row r="27" spans="2:16" s="173" customFormat="1" ht="15" customHeight="1" x14ac:dyDescent="0.2">
      <c r="B27" s="241">
        <v>212600</v>
      </c>
      <c r="C27" s="242"/>
      <c r="D27" s="561"/>
      <c r="E27" s="242"/>
      <c r="F27" s="561"/>
      <c r="G27" s="242"/>
      <c r="H27" s="562"/>
      <c r="J27" s="560"/>
      <c r="L27" s="563"/>
      <c r="M27" s="2232"/>
      <c r="N27" s="2344"/>
      <c r="P27" s="560"/>
    </row>
    <row r="28" spans="2:16" s="173" customFormat="1" ht="15" customHeight="1" x14ac:dyDescent="0.2">
      <c r="B28" s="241">
        <v>212600</v>
      </c>
      <c r="C28" s="242"/>
      <c r="D28" s="561"/>
      <c r="E28" s="242"/>
      <c r="F28" s="561"/>
      <c r="G28" s="242"/>
      <c r="H28" s="562"/>
      <c r="J28" s="560"/>
      <c r="L28" s="563"/>
      <c r="M28" s="2232"/>
      <c r="N28" s="2344"/>
      <c r="P28" s="560"/>
    </row>
    <row r="29" spans="2:16" s="173" customFormat="1" ht="15" customHeight="1" x14ac:dyDescent="0.2">
      <c r="B29" s="241">
        <v>212600</v>
      </c>
      <c r="C29" s="242"/>
      <c r="D29" s="561"/>
      <c r="E29" s="242"/>
      <c r="F29" s="561"/>
      <c r="G29" s="242"/>
      <c r="H29" s="562"/>
      <c r="J29" s="560"/>
      <c r="L29" s="563"/>
      <c r="M29" s="2232"/>
      <c r="N29" s="2344"/>
      <c r="P29" s="560"/>
    </row>
    <row r="30" spans="2:16" s="173" customFormat="1" ht="15" customHeight="1" x14ac:dyDescent="0.2">
      <c r="B30" s="241">
        <v>212600</v>
      </c>
      <c r="C30" s="242"/>
      <c r="D30" s="561"/>
      <c r="E30" s="242"/>
      <c r="F30" s="561"/>
      <c r="G30" s="242"/>
      <c r="H30" s="562"/>
      <c r="J30" s="560"/>
      <c r="L30" s="563"/>
      <c r="M30" s="2232"/>
      <c r="N30" s="2344"/>
      <c r="P30" s="560"/>
    </row>
    <row r="31" spans="2:16" s="173" customFormat="1" ht="15" customHeight="1" thickBot="1" x14ac:dyDescent="0.25">
      <c r="E31" s="177"/>
      <c r="F31" s="177" t="s">
        <v>981</v>
      </c>
      <c r="G31" s="177"/>
      <c r="H31" s="178">
        <f>SUM(H13:H30)</f>
        <v>0</v>
      </c>
      <c r="J31" s="245" t="s">
        <v>5540</v>
      </c>
    </row>
    <row r="32" spans="2:16" s="173" customFormat="1" ht="7.35" customHeight="1" x14ac:dyDescent="0.2">
      <c r="E32" s="177"/>
      <c r="F32" s="177"/>
      <c r="G32" s="177"/>
      <c r="O32" s="177"/>
    </row>
    <row r="33" spans="1:15" s="173" customFormat="1" ht="15" customHeight="1" x14ac:dyDescent="0.2">
      <c r="B33" s="245" t="s">
        <v>771</v>
      </c>
      <c r="E33" s="177"/>
      <c r="F33" s="177"/>
      <c r="G33" s="177"/>
      <c r="O33" s="177"/>
    </row>
    <row r="34" spans="1:15" s="173" customFormat="1" ht="15" customHeight="1" x14ac:dyDescent="0.2">
      <c r="E34" s="177"/>
      <c r="F34" s="177"/>
      <c r="G34" s="177"/>
      <c r="O34" s="177"/>
    </row>
    <row r="35" spans="1:15" s="173" customFormat="1" ht="15" customHeight="1" x14ac:dyDescent="0.2">
      <c r="E35" s="177"/>
      <c r="F35" s="177"/>
      <c r="G35" s="177"/>
      <c r="O35" s="177"/>
    </row>
    <row r="36" spans="1:15" s="173" customFormat="1" ht="15" customHeight="1" x14ac:dyDescent="0.2">
      <c r="E36" s="177"/>
      <c r="F36" s="177"/>
      <c r="G36" s="177"/>
      <c r="O36" s="177"/>
    </row>
    <row r="37" spans="1:15" s="173" customFormat="1" ht="15" customHeight="1" x14ac:dyDescent="0.2">
      <c r="A37" s="443" t="str">
        <f ca="1">MID(CELL("filename",A3),FIND("]",CELL("filename",A3))+1,256)</f>
        <v>530</v>
      </c>
      <c r="B37" s="443" t="s">
        <v>449</v>
      </c>
      <c r="E37" s="177"/>
      <c r="F37" s="177"/>
      <c r="G37" s="177"/>
      <c r="O37" s="177"/>
    </row>
    <row r="38" spans="1:15" s="173" customFormat="1" ht="15" customHeight="1" x14ac:dyDescent="0.2">
      <c r="A38" s="443" t="s">
        <v>446</v>
      </c>
      <c r="B38" s="443" t="str">
        <f t="shared" ref="B38:B47" ca="1" si="0">IF(ISNA(INDEX(ErrorTable,MATCH($A$37&amp;$A38&amp;FALSE,ErrorKey,0),6)),"",INDEX(ErrorTable,MATCH($A$37&amp;$A38&amp;FALSE,ErrorKey,0),6))</f>
        <v>GASB number is blank.</v>
      </c>
      <c r="E38" s="177"/>
      <c r="F38" s="177"/>
      <c r="G38" s="177"/>
      <c r="O38" s="177"/>
    </row>
    <row r="39" spans="1:15" s="173" customFormat="1" ht="15" customHeight="1" x14ac:dyDescent="0.2">
      <c r="A39" s="443" t="s">
        <v>447</v>
      </c>
      <c r="B39" s="443" t="str">
        <f t="shared" ca="1" si="0"/>
        <v/>
      </c>
      <c r="E39" s="177"/>
      <c r="F39" s="177"/>
      <c r="G39" s="177"/>
      <c r="O39" s="177"/>
    </row>
    <row r="40" spans="1:15" s="173" customFormat="1" ht="15" customHeight="1" x14ac:dyDescent="0.2">
      <c r="A40" s="443" t="s">
        <v>448</v>
      </c>
      <c r="B40" s="443" t="str">
        <f t="shared" ca="1" si="0"/>
        <v/>
      </c>
      <c r="E40" s="177"/>
      <c r="F40" s="177"/>
      <c r="G40" s="177"/>
      <c r="O40" s="177"/>
    </row>
    <row r="41" spans="1:15" s="173" customFormat="1" ht="15" customHeight="1" x14ac:dyDescent="0.2">
      <c r="A41" s="443" t="s">
        <v>450</v>
      </c>
      <c r="B41" s="443" t="str">
        <f t="shared" ca="1" si="0"/>
        <v/>
      </c>
      <c r="E41" s="177"/>
      <c r="F41" s="177"/>
      <c r="G41" s="177"/>
      <c r="O41" s="177"/>
    </row>
    <row r="42" spans="1:15" s="173" customFormat="1" ht="15" customHeight="1" x14ac:dyDescent="0.2">
      <c r="A42" s="443" t="s">
        <v>451</v>
      </c>
      <c r="B42" s="443" t="str">
        <f t="shared" ca="1" si="0"/>
        <v/>
      </c>
      <c r="E42" s="177"/>
      <c r="F42" s="177"/>
      <c r="G42" s="177"/>
      <c r="O42" s="177"/>
    </row>
    <row r="43" spans="1:15" ht="20.85" customHeight="1" x14ac:dyDescent="0.25">
      <c r="A43" s="443" t="s">
        <v>452</v>
      </c>
      <c r="B43" s="443" t="str">
        <f t="shared" ca="1" si="0"/>
        <v/>
      </c>
      <c r="D43" s="55" t="s">
        <v>973</v>
      </c>
      <c r="E43" s="55"/>
      <c r="F43" s="55"/>
      <c r="G43" s="55"/>
      <c r="H43" s="55"/>
      <c r="I43" s="55"/>
      <c r="J43" s="55"/>
      <c r="K43" s="55"/>
    </row>
    <row r="44" spans="1:15" ht="20.85" customHeight="1" x14ac:dyDescent="0.25">
      <c r="A44" s="443" t="s">
        <v>453</v>
      </c>
      <c r="B44" s="443" t="str">
        <f t="shared" ca="1" si="0"/>
        <v/>
      </c>
      <c r="D44" s="55" t="s">
        <v>973</v>
      </c>
      <c r="E44" s="55"/>
      <c r="F44" s="55"/>
      <c r="G44" s="55"/>
      <c r="L44" s="54" t="s">
        <v>973</v>
      </c>
      <c r="M44" s="54"/>
      <c r="N44" s="54"/>
      <c r="O44" s="54"/>
    </row>
    <row r="45" spans="1:15" ht="20.85" customHeight="1" x14ac:dyDescent="0.25">
      <c r="A45" s="443" t="s">
        <v>454</v>
      </c>
      <c r="B45" s="443" t="str">
        <f t="shared" ca="1" si="0"/>
        <v/>
      </c>
    </row>
    <row r="46" spans="1:15" ht="20.85" customHeight="1" x14ac:dyDescent="0.25">
      <c r="A46" s="443" t="s">
        <v>455</v>
      </c>
      <c r="B46" s="443" t="str">
        <f t="shared" ca="1" si="0"/>
        <v/>
      </c>
    </row>
    <row r="47" spans="1:15" ht="20.85" customHeight="1" x14ac:dyDescent="0.25">
      <c r="A47" s="443" t="s">
        <v>456</v>
      </c>
      <c r="B47" s="443" t="str">
        <f t="shared" ca="1" si="0"/>
        <v/>
      </c>
    </row>
    <row r="48" spans="1:15" ht="20.85" customHeight="1" x14ac:dyDescent="0.25"/>
    <row r="49" spans="4:15" ht="20.85" customHeight="1" x14ac:dyDescent="0.25"/>
    <row r="50" spans="4:15" ht="20.85" customHeight="1" x14ac:dyDescent="0.25"/>
    <row r="51" spans="4:15" ht="20.85" customHeight="1" x14ac:dyDescent="0.25">
      <c r="D51" s="53" t="s">
        <v>973</v>
      </c>
    </row>
    <row r="52" spans="4:15" ht="20.85" customHeight="1" x14ac:dyDescent="0.25"/>
    <row r="53" spans="4:15" ht="20.85" customHeight="1" x14ac:dyDescent="0.25"/>
    <row r="54" spans="4:15" ht="20.85" customHeight="1" x14ac:dyDescent="0.25">
      <c r="D54" s="55" t="s">
        <v>973</v>
      </c>
      <c r="E54" s="55"/>
      <c r="F54" s="55"/>
      <c r="G54" s="55"/>
      <c r="L54" s="54" t="s">
        <v>973</v>
      </c>
      <c r="M54" s="54"/>
      <c r="N54" s="54"/>
      <c r="O54" s="54"/>
    </row>
  </sheetData>
  <sheetProtection algorithmName="SHA-512" hashValue="Ui45K86IrNBg3G70SxV4irtATrnyf7AQ3DGsKbGnYZMPTEMUwNwHFzrODxZpE8r/jdFqvyWOU39x34U+AMlDEw==" saltValue="wNBPiwwjPRlFoOTwUHA6OA==" spinCount="100000" sheet="1" objects="1" scenarios="1" autoFilter="0"/>
  <dataConsolidate link="1"/>
  <customSheetViews>
    <customSheetView guid="{B08879A4-635B-4C39-9937-AC7883D562FC}" showGridLines="0" fitToPage="1" hiddenColumns="1" topLeftCell="B1">
      <selection activeCell="B12" sqref="B12"/>
      <pageMargins left="0.5" right="0.5" top="0.75" bottom="0.5" header="0.5" footer="0.5"/>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5" right="0.5" top="0.75" bottom="0.5" header="0.5" footer="0.5"/>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5" right="0.5" top="0.75" bottom="0.5" header="0.5" footer="0.5"/>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5" right="0.5" top="0.75" bottom="0.5" header="0.5" footer="0.5"/>
      <printOptions horizontalCentered="1"/>
      <pageSetup orientation="landscape" blackAndWhite="1" r:id="rId4"/>
      <headerFooter alignWithMargins="0">
        <oddFooter>&amp;R&amp;A</oddFooter>
      </headerFooter>
    </customSheetView>
  </customSheetViews>
  <mergeCells count="8">
    <mergeCell ref="D7:H7"/>
    <mergeCell ref="B4:Q4"/>
    <mergeCell ref="J10:N10"/>
    <mergeCell ref="Q1:Q3"/>
    <mergeCell ref="B1:P1"/>
    <mergeCell ref="B2:P2"/>
    <mergeCell ref="B3:P3"/>
    <mergeCell ref="D6:G6"/>
  </mergeCells>
  <phoneticPr fontId="15" type="noConversion"/>
  <conditionalFormatting sqref="Q1:Q3">
    <cfRule type="cellIs" dxfId="64" priority="1" stopIfTrue="1" operator="equal">
      <formula>"na"</formula>
    </cfRule>
  </conditionalFormatting>
  <dataValidations count="2">
    <dataValidation type="textLength" operator="equal" allowBlank="1" showInputMessage="1" showErrorMessage="1" errorTitle="Invalid data!" error="GASB number must be 4 digits." sqref="D8 F13:F30" xr:uid="{00000000-0002-0000-2C00-000000000000}">
      <formula1>4</formula1>
    </dataValidation>
    <dataValidation type="list" allowBlank="1" showInputMessage="1" showErrorMessage="1" sqref="D13:D30" xr:uid="{00000000-0002-0000-2C00-000001000000}">
      <formula1>Listfor525and530</formula1>
    </dataValidation>
  </dataValidations>
  <hyperlinks>
    <hyperlink ref="B1:P1" location="Index!A1" display="Index!A1" xr:uid="{00000000-0004-0000-2C00-000000000000}"/>
  </hyperlinks>
  <printOptions horizontalCentered="1"/>
  <pageMargins left="0.5" right="0.5" top="0.75" bottom="0.5" header="0.5" footer="0.5"/>
  <pageSetup scale="94" orientation="landscape" blackAndWhite="1" r:id="rId5"/>
  <headerFooter alignWithMargins="0">
    <oddFooter>&amp;R&amp;A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3">
    <pageSetUpPr fitToPage="1"/>
  </sheetPr>
  <dimension ref="A1:W57"/>
  <sheetViews>
    <sheetView showGridLines="0" topLeftCell="B1" zoomScaleNormal="100" workbookViewId="0">
      <selection activeCell="AE19" sqref="AE19"/>
    </sheetView>
  </sheetViews>
  <sheetFormatPr defaultColWidth="9.42578125" defaultRowHeight="15.75" x14ac:dyDescent="0.25"/>
  <cols>
    <col min="1" max="1" width="0" style="53" hidden="1" customWidth="1"/>
    <col min="2" max="2" width="13.5703125" style="53" customWidth="1"/>
    <col min="3" max="3" width="1.5703125" style="53" customWidth="1"/>
    <col min="4" max="4" width="7.5703125" style="53" bestFit="1" customWidth="1"/>
    <col min="5" max="5" width="1.5703125" style="53" customWidth="1"/>
    <col min="6" max="6" width="8.5703125" style="53" customWidth="1"/>
    <col min="7" max="7" width="1.5703125" style="53" customWidth="1"/>
    <col min="8" max="8" width="16.85546875" style="53" customWidth="1"/>
    <col min="9" max="9" width="1.5703125" style="53" customWidth="1"/>
    <col min="10" max="10" width="15.42578125" style="53" customWidth="1"/>
    <col min="11" max="11" width="0.5703125" style="53" customWidth="1"/>
    <col min="12" max="12" width="13.42578125" style="53" customWidth="1"/>
    <col min="13" max="13" width="1.28515625" style="53" customWidth="1"/>
    <col min="14" max="14" width="13.42578125" style="53" customWidth="1"/>
    <col min="15" max="15" width="1.42578125" style="53" customWidth="1"/>
    <col min="16" max="16" width="36.42578125" style="53" customWidth="1"/>
    <col min="17" max="17" width="4.5703125" style="53" customWidth="1"/>
    <col min="18" max="18" width="5.5703125" style="53" hidden="1" customWidth="1"/>
    <col min="19" max="19" width="2" style="53" hidden="1" customWidth="1"/>
    <col min="20" max="23" width="5.5703125" style="53" hidden="1" customWidth="1"/>
    <col min="24" max="16384" width="9.42578125" style="53"/>
  </cols>
  <sheetData>
    <row r="1" spans="2:23" s="171" customFormat="1" ht="15" customHeight="1" x14ac:dyDescent="0.25">
      <c r="B1" s="2449" t="str">
        <f>+Index!$A$1</f>
        <v xml:space="preserve">                                                               Office of the State Controller                                                                </v>
      </c>
      <c r="C1" s="2449"/>
      <c r="D1" s="2449"/>
      <c r="E1" s="2449"/>
      <c r="F1" s="2449"/>
      <c r="G1" s="2449"/>
      <c r="H1" s="2449"/>
      <c r="I1" s="2449"/>
      <c r="J1" s="2449"/>
      <c r="K1" s="2449"/>
      <c r="L1" s="2449"/>
      <c r="M1" s="2449"/>
      <c r="N1" s="2449"/>
      <c r="O1" s="2449"/>
      <c r="P1" s="2449"/>
      <c r="Q1" s="2510" t="str">
        <f>IF(Index!$B$70="na","NA","")</f>
        <v/>
      </c>
    </row>
    <row r="2" spans="2:23" s="171" customFormat="1" ht="15" customHeight="1" x14ac:dyDescent="0.25">
      <c r="B2" s="2750" t="str">
        <f>+Index!$A$2</f>
        <v>2022 ACFR Worksheets</v>
      </c>
      <c r="C2" s="2750"/>
      <c r="D2" s="2750"/>
      <c r="E2" s="2750"/>
      <c r="F2" s="2750"/>
      <c r="G2" s="2750"/>
      <c r="H2" s="2750"/>
      <c r="I2" s="2750"/>
      <c r="J2" s="2750"/>
      <c r="K2" s="2750"/>
      <c r="L2" s="2750"/>
      <c r="M2" s="2750"/>
      <c r="N2" s="2750"/>
      <c r="O2" s="2750"/>
      <c r="P2" s="2750"/>
      <c r="Q2" s="2510"/>
    </row>
    <row r="3" spans="2:23" s="171" customFormat="1" ht="15" customHeight="1" x14ac:dyDescent="0.25">
      <c r="B3" s="2750" t="s">
        <v>1529</v>
      </c>
      <c r="C3" s="2750"/>
      <c r="D3" s="2750"/>
      <c r="E3" s="2750"/>
      <c r="F3" s="2750"/>
      <c r="G3" s="2750"/>
      <c r="H3" s="2750"/>
      <c r="I3" s="2750"/>
      <c r="J3" s="2750"/>
      <c r="K3" s="2750"/>
      <c r="L3" s="2750"/>
      <c r="M3" s="2750"/>
      <c r="N3" s="2750"/>
      <c r="O3" s="2750"/>
      <c r="P3" s="2750"/>
      <c r="Q3" s="2510"/>
    </row>
    <row r="4" spans="2:23" s="173" customFormat="1" ht="15" customHeight="1" x14ac:dyDescent="0.2">
      <c r="B4" s="179"/>
      <c r="C4" s="180"/>
      <c r="D4" s="180"/>
      <c r="E4" s="180"/>
      <c r="F4" s="180"/>
      <c r="G4" s="180"/>
      <c r="H4" s="180"/>
      <c r="I4" s="180"/>
      <c r="J4" s="180"/>
      <c r="K4" s="179"/>
      <c r="L4" s="2751" t="s">
        <v>4797</v>
      </c>
      <c r="M4" s="2751"/>
      <c r="N4" s="2751"/>
      <c r="O4" s="2752"/>
      <c r="P4" s="2752"/>
    </row>
    <row r="5" spans="2:23" s="173" customFormat="1" ht="15" customHeight="1" x14ac:dyDescent="0.2">
      <c r="B5" s="172" t="s">
        <v>327</v>
      </c>
      <c r="D5" s="2746" t="str">
        <f>+Index!$E$10</f>
        <v>01</v>
      </c>
      <c r="E5" s="2746"/>
      <c r="F5" s="2746"/>
      <c r="G5" s="2746"/>
      <c r="H5" s="157"/>
      <c r="O5" s="174" t="s">
        <v>972</v>
      </c>
      <c r="P5" s="773" t="str">
        <f>CONCATENATE(Index!$E$12," ",Index!$E$14)</f>
        <v xml:space="preserve"> </v>
      </c>
    </row>
    <row r="6" spans="2:23" s="173" customFormat="1" ht="15" customHeight="1" x14ac:dyDescent="0.2">
      <c r="B6" s="172" t="s">
        <v>1154</v>
      </c>
      <c r="D6" s="2746" t="str">
        <f>+Index!$E$11</f>
        <v>North Carolina General Assembly</v>
      </c>
      <c r="E6" s="2746"/>
      <c r="F6" s="2746"/>
      <c r="G6" s="2746"/>
      <c r="H6" s="2746"/>
      <c r="O6" s="174" t="s">
        <v>348</v>
      </c>
      <c r="P6" s="775">
        <f>+Index!$E$13</f>
        <v>0</v>
      </c>
      <c r="Q6" s="157"/>
      <c r="R6" s="774"/>
      <c r="S6" s="774"/>
      <c r="T6" s="774"/>
    </row>
    <row r="7" spans="2:23" s="173" customFormat="1" ht="15" customHeight="1" x14ac:dyDescent="0.2">
      <c r="B7" s="172" t="s">
        <v>723</v>
      </c>
      <c r="D7" s="560"/>
    </row>
    <row r="8" spans="2:23" s="173" customFormat="1" ht="15" customHeight="1" thickBot="1" x14ac:dyDescent="0.25">
      <c r="B8" s="175"/>
      <c r="C8" s="175"/>
      <c r="D8" s="175"/>
      <c r="E8" s="175"/>
      <c r="F8" s="175"/>
      <c r="G8" s="175"/>
      <c r="H8" s="175"/>
      <c r="I8" s="175"/>
      <c r="J8" s="175"/>
      <c r="K8" s="176"/>
      <c r="L8" s="175"/>
      <c r="M8" s="175"/>
      <c r="N8" s="175"/>
      <c r="O8" s="175"/>
      <c r="P8" s="175"/>
    </row>
    <row r="9" spans="2:23" s="173" customFormat="1" ht="7.35" customHeight="1" x14ac:dyDescent="0.2">
      <c r="K9" s="174"/>
    </row>
    <row r="10" spans="2:23" s="173" customFormat="1" ht="15" customHeight="1" x14ac:dyDescent="0.2">
      <c r="B10" s="2754" t="s">
        <v>152</v>
      </c>
      <c r="C10" s="2754"/>
      <c r="D10" s="2754"/>
      <c r="E10" s="2754"/>
      <c r="F10" s="2754"/>
      <c r="G10" s="2754"/>
      <c r="H10" s="2754"/>
      <c r="K10" s="174"/>
    </row>
    <row r="11" spans="2:23" s="173" customFormat="1" ht="15" customHeight="1" thickBot="1" x14ac:dyDescent="0.25">
      <c r="B11" s="177"/>
      <c r="D11" s="158" t="s">
        <v>979</v>
      </c>
      <c r="E11" s="156"/>
      <c r="F11" s="158" t="s">
        <v>979</v>
      </c>
      <c r="I11" s="179"/>
      <c r="J11" s="2753" t="s">
        <v>1096</v>
      </c>
      <c r="K11" s="2753"/>
      <c r="L11" s="2753"/>
      <c r="M11" s="2753"/>
      <c r="N11" s="2753"/>
      <c r="O11" s="159"/>
    </row>
    <row r="12" spans="2:23" s="173" customFormat="1" ht="15" customHeight="1" x14ac:dyDescent="0.2">
      <c r="B12" s="177" t="s">
        <v>1064</v>
      </c>
      <c r="D12" s="158" t="s">
        <v>722</v>
      </c>
      <c r="E12" s="156"/>
      <c r="F12" s="158" t="s">
        <v>1157</v>
      </c>
      <c r="I12" s="179"/>
      <c r="J12" s="156"/>
      <c r="K12" s="156"/>
      <c r="L12" s="2219" t="s">
        <v>5381</v>
      </c>
      <c r="M12" s="158"/>
      <c r="N12" s="2219" t="s">
        <v>5380</v>
      </c>
      <c r="O12" s="156"/>
    </row>
    <row r="13" spans="2:23" s="173" customFormat="1" ht="15" customHeight="1" thickBot="1" x14ac:dyDescent="0.25">
      <c r="B13" s="181" t="s">
        <v>684</v>
      </c>
      <c r="C13" s="177"/>
      <c r="D13" s="160" t="s">
        <v>808</v>
      </c>
      <c r="E13" s="156"/>
      <c r="F13" s="160" t="s">
        <v>808</v>
      </c>
      <c r="H13" s="181" t="s">
        <v>1156</v>
      </c>
      <c r="J13" s="160" t="s">
        <v>1097</v>
      </c>
      <c r="K13" s="162"/>
      <c r="L13" s="2221" t="s">
        <v>5382</v>
      </c>
      <c r="M13" s="158"/>
      <c r="N13" s="2221" t="s">
        <v>1307</v>
      </c>
      <c r="O13" s="162"/>
      <c r="P13" s="181" t="s">
        <v>772</v>
      </c>
      <c r="Q13" s="177" t="s">
        <v>973</v>
      </c>
    </row>
    <row r="14" spans="2:23" s="173" customFormat="1" ht="15" customHeight="1" x14ac:dyDescent="0.2">
      <c r="B14" s="561"/>
      <c r="D14" s="561"/>
      <c r="E14" s="242"/>
      <c r="F14" s="561"/>
      <c r="G14" s="177"/>
      <c r="H14" s="562"/>
      <c r="J14" s="557"/>
      <c r="K14" s="156"/>
      <c r="L14" s="558"/>
      <c r="M14" s="2231"/>
      <c r="N14" s="2344"/>
      <c r="P14" s="560"/>
      <c r="Q14" s="552" t="str">
        <f t="shared" ref="Q14:Q20" si="0">IF(R14=FALSE,"*","")</f>
        <v/>
      </c>
      <c r="R14" s="553" t="b">
        <f>IF(OR(S14=0,S14=4),TRUE, FALSE)</f>
        <v>1</v>
      </c>
      <c r="S14" s="553">
        <f>COUNTIF(T14:W14,FALSE)</f>
        <v>0</v>
      </c>
      <c r="T14" s="559" t="b">
        <f>ISBLANK(B14)</f>
        <v>1</v>
      </c>
      <c r="U14" s="559" t="b">
        <f>ISBLANK(D14)</f>
        <v>1</v>
      </c>
      <c r="V14" s="559" t="b">
        <f>ISBLANK(F14)</f>
        <v>1</v>
      </c>
      <c r="W14" s="559" t="b">
        <f>ISBLANK(H14)</f>
        <v>1</v>
      </c>
    </row>
    <row r="15" spans="2:23" s="173" customFormat="1" ht="15" customHeight="1" x14ac:dyDescent="0.2">
      <c r="B15" s="561"/>
      <c r="D15" s="561"/>
      <c r="E15" s="242"/>
      <c r="F15" s="561"/>
      <c r="G15" s="177"/>
      <c r="H15" s="562"/>
      <c r="J15" s="557"/>
      <c r="K15" s="156"/>
      <c r="L15" s="558"/>
      <c r="M15" s="2231"/>
      <c r="N15" s="2344"/>
      <c r="P15" s="560"/>
      <c r="Q15" s="552" t="str">
        <f t="shared" si="0"/>
        <v/>
      </c>
      <c r="R15" s="553" t="b">
        <f t="shared" ref="R15:R20" si="1">IF(OR(S15=0,S15=4),TRUE, FALSE)</f>
        <v>1</v>
      </c>
      <c r="S15" s="553">
        <f t="shared" ref="S15:S20" si="2">COUNTIF(T15:W15,FALSE)</f>
        <v>0</v>
      </c>
      <c r="T15" s="559" t="b">
        <f t="shared" ref="T15:T20" si="3">ISBLANK(B15)</f>
        <v>1</v>
      </c>
      <c r="U15" s="559" t="b">
        <f t="shared" ref="U15:U20" si="4">ISBLANK(D15)</f>
        <v>1</v>
      </c>
      <c r="V15" s="559" t="b">
        <f t="shared" ref="V15:V20" si="5">ISBLANK(F15)</f>
        <v>1</v>
      </c>
      <c r="W15" s="559" t="b">
        <f t="shared" ref="W15:W20" si="6">ISBLANK(H15)</f>
        <v>1</v>
      </c>
    </row>
    <row r="16" spans="2:23" s="173" customFormat="1" ht="15" customHeight="1" x14ac:dyDescent="0.2">
      <c r="B16" s="561"/>
      <c r="D16" s="561"/>
      <c r="E16" s="242"/>
      <c r="F16" s="561"/>
      <c r="G16" s="177"/>
      <c r="H16" s="562"/>
      <c r="J16" s="557"/>
      <c r="K16" s="156"/>
      <c r="L16" s="558"/>
      <c r="M16" s="2231"/>
      <c r="N16" s="2344"/>
      <c r="P16" s="560"/>
      <c r="Q16" s="552" t="str">
        <f t="shared" si="0"/>
        <v/>
      </c>
      <c r="R16" s="553" t="b">
        <f t="shared" si="1"/>
        <v>1</v>
      </c>
      <c r="S16" s="553">
        <f t="shared" si="2"/>
        <v>0</v>
      </c>
      <c r="T16" s="559" t="b">
        <f t="shared" si="3"/>
        <v>1</v>
      </c>
      <c r="U16" s="559" t="b">
        <f t="shared" si="4"/>
        <v>1</v>
      </c>
      <c r="V16" s="559" t="b">
        <f t="shared" si="5"/>
        <v>1</v>
      </c>
      <c r="W16" s="559" t="b">
        <f t="shared" si="6"/>
        <v>1</v>
      </c>
    </row>
    <row r="17" spans="2:23" s="173" customFormat="1" ht="15" customHeight="1" x14ac:dyDescent="0.2">
      <c r="B17" s="561"/>
      <c r="D17" s="561"/>
      <c r="E17" s="242"/>
      <c r="F17" s="561"/>
      <c r="G17" s="177"/>
      <c r="H17" s="562"/>
      <c r="J17" s="557"/>
      <c r="K17" s="156"/>
      <c r="L17" s="558"/>
      <c r="M17" s="2231"/>
      <c r="N17" s="2344"/>
      <c r="P17" s="560"/>
      <c r="Q17" s="552" t="str">
        <f t="shared" si="0"/>
        <v/>
      </c>
      <c r="R17" s="553" t="b">
        <f t="shared" si="1"/>
        <v>1</v>
      </c>
      <c r="S17" s="553">
        <f t="shared" si="2"/>
        <v>0</v>
      </c>
      <c r="T17" s="559" t="b">
        <f t="shared" si="3"/>
        <v>1</v>
      </c>
      <c r="U17" s="559" t="b">
        <f t="shared" si="4"/>
        <v>1</v>
      </c>
      <c r="V17" s="559" t="b">
        <f t="shared" si="5"/>
        <v>1</v>
      </c>
      <c r="W17" s="559" t="b">
        <f t="shared" si="6"/>
        <v>1</v>
      </c>
    </row>
    <row r="18" spans="2:23" s="173" customFormat="1" ht="15" customHeight="1" x14ac:dyDescent="0.2">
      <c r="B18" s="561"/>
      <c r="D18" s="561"/>
      <c r="E18" s="242"/>
      <c r="F18" s="561"/>
      <c r="G18" s="177"/>
      <c r="H18" s="562"/>
      <c r="J18" s="557"/>
      <c r="K18" s="156"/>
      <c r="L18" s="558"/>
      <c r="M18" s="2231"/>
      <c r="N18" s="2344"/>
      <c r="P18" s="560"/>
      <c r="Q18" s="552" t="str">
        <f t="shared" si="0"/>
        <v/>
      </c>
      <c r="R18" s="553" t="b">
        <f t="shared" si="1"/>
        <v>1</v>
      </c>
      <c r="S18" s="553">
        <f t="shared" si="2"/>
        <v>0</v>
      </c>
      <c r="T18" s="559" t="b">
        <f t="shared" si="3"/>
        <v>1</v>
      </c>
      <c r="U18" s="559" t="b">
        <f t="shared" si="4"/>
        <v>1</v>
      </c>
      <c r="V18" s="559" t="b">
        <f t="shared" si="5"/>
        <v>1</v>
      </c>
      <c r="W18" s="559" t="b">
        <f t="shared" si="6"/>
        <v>1</v>
      </c>
    </row>
    <row r="19" spans="2:23" s="173" customFormat="1" ht="15" customHeight="1" x14ac:dyDescent="0.2">
      <c r="B19" s="561"/>
      <c r="D19" s="561"/>
      <c r="E19" s="242"/>
      <c r="F19" s="561"/>
      <c r="G19" s="177"/>
      <c r="H19" s="562"/>
      <c r="J19" s="557"/>
      <c r="K19" s="156"/>
      <c r="L19" s="558"/>
      <c r="M19" s="2231"/>
      <c r="N19" s="2344"/>
      <c r="P19" s="560"/>
      <c r="Q19" s="552" t="str">
        <f t="shared" si="0"/>
        <v/>
      </c>
      <c r="R19" s="553" t="b">
        <f t="shared" si="1"/>
        <v>1</v>
      </c>
      <c r="S19" s="553">
        <f t="shared" si="2"/>
        <v>0</v>
      </c>
      <c r="T19" s="559" t="b">
        <f t="shared" si="3"/>
        <v>1</v>
      </c>
      <c r="U19" s="559" t="b">
        <f t="shared" si="4"/>
        <v>1</v>
      </c>
      <c r="V19" s="559" t="b">
        <f t="shared" si="5"/>
        <v>1</v>
      </c>
      <c r="W19" s="559" t="b">
        <f t="shared" si="6"/>
        <v>1</v>
      </c>
    </row>
    <row r="20" spans="2:23" s="173" customFormat="1" ht="15" customHeight="1" x14ac:dyDescent="0.2">
      <c r="B20" s="561"/>
      <c r="D20" s="561"/>
      <c r="E20" s="242"/>
      <c r="F20" s="561"/>
      <c r="G20" s="177"/>
      <c r="H20" s="562"/>
      <c r="J20" s="557"/>
      <c r="K20" s="156"/>
      <c r="L20" s="558"/>
      <c r="M20" s="2231"/>
      <c r="N20" s="2344"/>
      <c r="P20" s="560"/>
      <c r="Q20" s="552" t="str">
        <f t="shared" si="0"/>
        <v/>
      </c>
      <c r="R20" s="553" t="b">
        <f t="shared" si="1"/>
        <v>1</v>
      </c>
      <c r="S20" s="553">
        <f t="shared" si="2"/>
        <v>0</v>
      </c>
      <c r="T20" s="559" t="b">
        <f t="shared" si="3"/>
        <v>1</v>
      </c>
      <c r="U20" s="559" t="b">
        <f t="shared" si="4"/>
        <v>1</v>
      </c>
      <c r="V20" s="559" t="b">
        <f t="shared" si="5"/>
        <v>1</v>
      </c>
      <c r="W20" s="559" t="b">
        <f t="shared" si="6"/>
        <v>1</v>
      </c>
    </row>
    <row r="21" spans="2:23" s="173" customFormat="1" ht="15" customHeight="1" thickBot="1" x14ac:dyDescent="0.25">
      <c r="E21" s="177"/>
      <c r="F21" s="177" t="s">
        <v>981</v>
      </c>
      <c r="G21" s="177"/>
      <c r="H21" s="178">
        <f>SUM(H14:H20)</f>
        <v>0</v>
      </c>
      <c r="J21" s="245" t="s">
        <v>5541</v>
      </c>
      <c r="Q21" s="564"/>
      <c r="R21" s="553">
        <f>COUNTIF(R14:R20,FALSE)</f>
        <v>0</v>
      </c>
      <c r="S21" s="564"/>
      <c r="T21" s="564"/>
      <c r="U21" s="564"/>
      <c r="V21" s="564"/>
      <c r="W21" s="564"/>
    </row>
    <row r="22" spans="2:23" s="173" customFormat="1" ht="15" customHeight="1" x14ac:dyDescent="0.2">
      <c r="E22" s="177"/>
      <c r="F22" s="177"/>
      <c r="G22" s="177"/>
      <c r="H22" s="243"/>
      <c r="J22" s="245"/>
      <c r="Q22" s="564"/>
      <c r="R22" s="564"/>
      <c r="S22" s="564"/>
      <c r="T22" s="564"/>
      <c r="U22" s="564"/>
      <c r="V22" s="564"/>
      <c r="W22" s="564"/>
    </row>
    <row r="23" spans="2:23" s="173" customFormat="1" ht="15" customHeight="1" x14ac:dyDescent="0.2">
      <c r="B23" s="2755" t="s">
        <v>4796</v>
      </c>
      <c r="C23" s="2755"/>
      <c r="D23" s="2755"/>
      <c r="E23" s="2755"/>
      <c r="F23" s="2755"/>
      <c r="G23" s="2755"/>
      <c r="H23" s="2755"/>
      <c r="I23" s="2755"/>
      <c r="J23" s="2755"/>
      <c r="K23" s="2755"/>
      <c r="L23" s="2755"/>
      <c r="M23" s="2229"/>
      <c r="N23" s="2229"/>
      <c r="Q23" s="564"/>
      <c r="R23" s="564"/>
      <c r="S23" s="564"/>
      <c r="T23" s="564"/>
      <c r="U23" s="564"/>
      <c r="V23" s="564"/>
      <c r="W23" s="564"/>
    </row>
    <row r="24" spans="2:23" s="173" customFormat="1" ht="15" customHeight="1" thickBot="1" x14ac:dyDescent="0.25">
      <c r="B24" s="177"/>
      <c r="D24" s="158" t="s">
        <v>982</v>
      </c>
      <c r="E24" s="156"/>
      <c r="F24" s="158" t="s">
        <v>982</v>
      </c>
      <c r="I24" s="179"/>
      <c r="J24" s="2753" t="s">
        <v>156</v>
      </c>
      <c r="K24" s="2753"/>
      <c r="L24" s="2753"/>
      <c r="M24" s="2753"/>
      <c r="N24" s="2753"/>
      <c r="O24" s="159"/>
      <c r="Q24" s="564"/>
      <c r="R24" s="564"/>
      <c r="S24" s="564"/>
      <c r="T24" s="564"/>
      <c r="U24" s="564"/>
      <c r="V24" s="564"/>
      <c r="W24" s="564"/>
    </row>
    <row r="25" spans="2:23" s="173" customFormat="1" ht="15" customHeight="1" x14ac:dyDescent="0.2">
      <c r="B25" s="177" t="s">
        <v>1064</v>
      </c>
      <c r="D25" s="158" t="s">
        <v>722</v>
      </c>
      <c r="E25" s="156"/>
      <c r="F25" s="158" t="s">
        <v>1157</v>
      </c>
      <c r="I25" s="179"/>
      <c r="J25" s="156"/>
      <c r="K25" s="156"/>
      <c r="L25" s="2219" t="s">
        <v>5381</v>
      </c>
      <c r="M25" s="158"/>
      <c r="N25" s="2219" t="s">
        <v>5380</v>
      </c>
      <c r="O25" s="156"/>
      <c r="Q25" s="564"/>
      <c r="R25" s="564"/>
      <c r="S25" s="564"/>
      <c r="T25" s="564"/>
      <c r="U25" s="564"/>
      <c r="V25" s="564"/>
      <c r="W25" s="564"/>
    </row>
    <row r="26" spans="2:23" s="173" customFormat="1" ht="15" customHeight="1" thickBot="1" x14ac:dyDescent="0.25">
      <c r="B26" s="181" t="s">
        <v>684</v>
      </c>
      <c r="C26" s="177"/>
      <c r="D26" s="160" t="s">
        <v>808</v>
      </c>
      <c r="E26" s="156"/>
      <c r="F26" s="160" t="s">
        <v>808</v>
      </c>
      <c r="H26" s="181" t="s">
        <v>1156</v>
      </c>
      <c r="J26" s="160" t="s">
        <v>1097</v>
      </c>
      <c r="K26" s="162"/>
      <c r="L26" s="2221" t="s">
        <v>5382</v>
      </c>
      <c r="M26" s="158"/>
      <c r="N26" s="2221" t="s">
        <v>1307</v>
      </c>
      <c r="O26" s="162"/>
      <c r="P26" s="181" t="s">
        <v>772</v>
      </c>
      <c r="Q26" s="569" t="s">
        <v>973</v>
      </c>
      <c r="R26" s="564"/>
      <c r="S26" s="564"/>
      <c r="T26" s="564"/>
      <c r="U26" s="564"/>
      <c r="V26" s="564"/>
      <c r="W26" s="564"/>
    </row>
    <row r="27" spans="2:23" s="173" customFormat="1" ht="15" customHeight="1" x14ac:dyDescent="0.2">
      <c r="B27" s="561"/>
      <c r="D27" s="561"/>
      <c r="E27" s="242"/>
      <c r="F27" s="561"/>
      <c r="G27" s="177"/>
      <c r="H27" s="562"/>
      <c r="J27" s="560"/>
      <c r="L27" s="563"/>
      <c r="M27" s="2232"/>
      <c r="N27" s="2344"/>
      <c r="P27" s="560"/>
      <c r="Q27" s="552" t="str">
        <f t="shared" ref="Q27:Q33" si="7">IF(R27=FALSE,"*","")</f>
        <v/>
      </c>
      <c r="R27" s="553" t="b">
        <f t="shared" ref="R27:R33" si="8">IF(OR(S27=0,S27=4),TRUE, FALSE)</f>
        <v>1</v>
      </c>
      <c r="S27" s="553">
        <f t="shared" ref="S27:S33" si="9">COUNTIF(T27:W27,FALSE)</f>
        <v>0</v>
      </c>
      <c r="T27" s="559" t="b">
        <f t="shared" ref="T27:T33" si="10">ISBLANK(B27)</f>
        <v>1</v>
      </c>
      <c r="U27" s="559" t="b">
        <f t="shared" ref="U27:U33" si="11">ISBLANK(D27)</f>
        <v>1</v>
      </c>
      <c r="V27" s="559" t="b">
        <f t="shared" ref="V27:V33" si="12">ISBLANK(F27)</f>
        <v>1</v>
      </c>
      <c r="W27" s="559" t="b">
        <f t="shared" ref="W27:W33" si="13">ISBLANK(H27)</f>
        <v>1</v>
      </c>
    </row>
    <row r="28" spans="2:23" s="173" customFormat="1" ht="15" customHeight="1" x14ac:dyDescent="0.2">
      <c r="B28" s="561"/>
      <c r="D28" s="561"/>
      <c r="E28" s="242"/>
      <c r="F28" s="561"/>
      <c r="G28" s="177"/>
      <c r="H28" s="562"/>
      <c r="J28" s="560"/>
      <c r="L28" s="563"/>
      <c r="M28" s="2232"/>
      <c r="N28" s="2344"/>
      <c r="P28" s="560"/>
      <c r="Q28" s="552" t="str">
        <f t="shared" si="7"/>
        <v/>
      </c>
      <c r="R28" s="553" t="b">
        <f t="shared" si="8"/>
        <v>1</v>
      </c>
      <c r="S28" s="553">
        <f t="shared" si="9"/>
        <v>0</v>
      </c>
      <c r="T28" s="559" t="b">
        <f t="shared" si="10"/>
        <v>1</v>
      </c>
      <c r="U28" s="559" t="b">
        <f t="shared" si="11"/>
        <v>1</v>
      </c>
      <c r="V28" s="559" t="b">
        <f t="shared" si="12"/>
        <v>1</v>
      </c>
      <c r="W28" s="559" t="b">
        <f t="shared" si="13"/>
        <v>1</v>
      </c>
    </row>
    <row r="29" spans="2:23" s="173" customFormat="1" ht="15" customHeight="1" x14ac:dyDescent="0.2">
      <c r="B29" s="561"/>
      <c r="D29" s="561"/>
      <c r="E29" s="242"/>
      <c r="F29" s="561"/>
      <c r="G29" s="177"/>
      <c r="H29" s="562"/>
      <c r="J29" s="560"/>
      <c r="L29" s="563"/>
      <c r="M29" s="2232"/>
      <c r="N29" s="2344"/>
      <c r="P29" s="560"/>
      <c r="Q29" s="552" t="str">
        <f t="shared" si="7"/>
        <v/>
      </c>
      <c r="R29" s="553" t="b">
        <f t="shared" si="8"/>
        <v>1</v>
      </c>
      <c r="S29" s="553">
        <f t="shared" si="9"/>
        <v>0</v>
      </c>
      <c r="T29" s="559" t="b">
        <f t="shared" si="10"/>
        <v>1</v>
      </c>
      <c r="U29" s="559" t="b">
        <f t="shared" si="11"/>
        <v>1</v>
      </c>
      <c r="V29" s="559" t="b">
        <f t="shared" si="12"/>
        <v>1</v>
      </c>
      <c r="W29" s="559" t="b">
        <f t="shared" si="13"/>
        <v>1</v>
      </c>
    </row>
    <row r="30" spans="2:23" s="173" customFormat="1" ht="15" customHeight="1" x14ac:dyDescent="0.2">
      <c r="B30" s="561"/>
      <c r="D30" s="561"/>
      <c r="E30" s="242"/>
      <c r="F30" s="561"/>
      <c r="G30" s="177"/>
      <c r="H30" s="562"/>
      <c r="J30" s="560"/>
      <c r="L30" s="563"/>
      <c r="M30" s="2232"/>
      <c r="N30" s="2344"/>
      <c r="P30" s="560"/>
      <c r="Q30" s="552" t="str">
        <f t="shared" si="7"/>
        <v/>
      </c>
      <c r="R30" s="553" t="b">
        <f t="shared" si="8"/>
        <v>1</v>
      </c>
      <c r="S30" s="553">
        <f t="shared" si="9"/>
        <v>0</v>
      </c>
      <c r="T30" s="559" t="b">
        <f t="shared" si="10"/>
        <v>1</v>
      </c>
      <c r="U30" s="559" t="b">
        <f t="shared" si="11"/>
        <v>1</v>
      </c>
      <c r="V30" s="559" t="b">
        <f t="shared" si="12"/>
        <v>1</v>
      </c>
      <c r="W30" s="559" t="b">
        <f t="shared" si="13"/>
        <v>1</v>
      </c>
    </row>
    <row r="31" spans="2:23" s="173" customFormat="1" ht="15" customHeight="1" x14ac:dyDescent="0.2">
      <c r="B31" s="561"/>
      <c r="D31" s="561"/>
      <c r="E31" s="242"/>
      <c r="F31" s="561"/>
      <c r="G31" s="177"/>
      <c r="H31" s="562"/>
      <c r="J31" s="560"/>
      <c r="L31" s="563"/>
      <c r="M31" s="2232"/>
      <c r="N31" s="2344"/>
      <c r="P31" s="560"/>
      <c r="Q31" s="552" t="str">
        <f t="shared" si="7"/>
        <v/>
      </c>
      <c r="R31" s="553" t="b">
        <f t="shared" si="8"/>
        <v>1</v>
      </c>
      <c r="S31" s="553">
        <f t="shared" si="9"/>
        <v>0</v>
      </c>
      <c r="T31" s="559" t="b">
        <f t="shared" si="10"/>
        <v>1</v>
      </c>
      <c r="U31" s="559" t="b">
        <f t="shared" si="11"/>
        <v>1</v>
      </c>
      <c r="V31" s="559" t="b">
        <f t="shared" si="12"/>
        <v>1</v>
      </c>
      <c r="W31" s="559" t="b">
        <f t="shared" si="13"/>
        <v>1</v>
      </c>
    </row>
    <row r="32" spans="2:23" s="173" customFormat="1" ht="15" customHeight="1" x14ac:dyDescent="0.2">
      <c r="B32" s="561"/>
      <c r="D32" s="561"/>
      <c r="E32" s="242"/>
      <c r="F32" s="561"/>
      <c r="G32" s="177"/>
      <c r="H32" s="562"/>
      <c r="J32" s="560"/>
      <c r="L32" s="563"/>
      <c r="M32" s="2232"/>
      <c r="N32" s="2344"/>
      <c r="P32" s="560"/>
      <c r="Q32" s="552" t="str">
        <f t="shared" si="7"/>
        <v/>
      </c>
      <c r="R32" s="553" t="b">
        <f t="shared" si="8"/>
        <v>1</v>
      </c>
      <c r="S32" s="553">
        <f t="shared" si="9"/>
        <v>0</v>
      </c>
      <c r="T32" s="559" t="b">
        <f t="shared" si="10"/>
        <v>1</v>
      </c>
      <c r="U32" s="559" t="b">
        <f t="shared" si="11"/>
        <v>1</v>
      </c>
      <c r="V32" s="559" t="b">
        <f t="shared" si="12"/>
        <v>1</v>
      </c>
      <c r="W32" s="559" t="b">
        <f t="shared" si="13"/>
        <v>1</v>
      </c>
    </row>
    <row r="33" spans="1:23" s="173" customFormat="1" ht="15" customHeight="1" x14ac:dyDescent="0.2">
      <c r="B33" s="561"/>
      <c r="D33" s="561"/>
      <c r="E33" s="242"/>
      <c r="F33" s="561"/>
      <c r="G33" s="177"/>
      <c r="H33" s="562"/>
      <c r="J33" s="560"/>
      <c r="L33" s="563"/>
      <c r="M33" s="2232"/>
      <c r="N33" s="2344"/>
      <c r="P33" s="560"/>
      <c r="Q33" s="552" t="str">
        <f t="shared" si="7"/>
        <v/>
      </c>
      <c r="R33" s="553" t="b">
        <f t="shared" si="8"/>
        <v>1</v>
      </c>
      <c r="S33" s="553">
        <f t="shared" si="9"/>
        <v>0</v>
      </c>
      <c r="T33" s="559" t="b">
        <f t="shared" si="10"/>
        <v>1</v>
      </c>
      <c r="U33" s="559" t="b">
        <f t="shared" si="11"/>
        <v>1</v>
      </c>
      <c r="V33" s="559" t="b">
        <f t="shared" si="12"/>
        <v>1</v>
      </c>
      <c r="W33" s="559" t="b">
        <f t="shared" si="13"/>
        <v>1</v>
      </c>
    </row>
    <row r="34" spans="1:23" s="173" customFormat="1" ht="15" customHeight="1" thickBot="1" x14ac:dyDescent="0.25">
      <c r="E34" s="177"/>
      <c r="F34" s="177" t="s">
        <v>981</v>
      </c>
      <c r="G34" s="177"/>
      <c r="H34" s="178">
        <f>SUM(H27:H33)</f>
        <v>0</v>
      </c>
      <c r="J34" s="245" t="s">
        <v>5542</v>
      </c>
      <c r="Q34" s="564"/>
      <c r="R34" s="553">
        <f>COUNTIF(R27:R33,FALSE)</f>
        <v>0</v>
      </c>
      <c r="S34" s="564"/>
      <c r="T34" s="564"/>
      <c r="U34" s="564"/>
      <c r="V34" s="564"/>
      <c r="W34" s="564"/>
    </row>
    <row r="35" spans="1:23" s="173" customFormat="1" ht="7.35" customHeight="1" x14ac:dyDescent="0.2">
      <c r="E35" s="177"/>
      <c r="F35" s="177"/>
      <c r="G35" s="177"/>
      <c r="O35" s="177"/>
    </row>
    <row r="36" spans="1:23" s="173" customFormat="1" ht="15" customHeight="1" x14ac:dyDescent="0.2">
      <c r="B36" s="245"/>
      <c r="E36" s="177"/>
      <c r="F36" s="177"/>
      <c r="G36" s="177"/>
      <c r="O36" s="177"/>
    </row>
    <row r="37" spans="1:23" s="173" customFormat="1" ht="15" customHeight="1" x14ac:dyDescent="0.2">
      <c r="E37" s="177"/>
      <c r="F37" s="177"/>
      <c r="G37" s="177"/>
      <c r="O37" s="177"/>
    </row>
    <row r="38" spans="1:23" s="173" customFormat="1" ht="15" customHeight="1" x14ac:dyDescent="0.2">
      <c r="E38" s="177"/>
      <c r="F38" s="177"/>
      <c r="G38" s="177"/>
      <c r="O38" s="177"/>
    </row>
    <row r="39" spans="1:23" s="173" customFormat="1" ht="15" customHeight="1" x14ac:dyDescent="0.2">
      <c r="A39" s="443" t="str">
        <f ca="1">MID(CELL("filename",A5),FIND("]",CELL("filename",A5))+1,256)</f>
        <v>535</v>
      </c>
      <c r="B39" s="443" t="s">
        <v>449</v>
      </c>
      <c r="E39" s="177"/>
      <c r="F39" s="177"/>
      <c r="G39" s="177"/>
      <c r="O39" s="177"/>
    </row>
    <row r="40" spans="1:23" s="173" customFormat="1" ht="15" customHeight="1" x14ac:dyDescent="0.2">
      <c r="A40" s="443" t="s">
        <v>446</v>
      </c>
      <c r="B40" s="443" t="str">
        <f t="shared" ref="B40:B49" ca="1" si="14">IF(ISNA(INDEX(ErrorTable,MATCH($A$39&amp;$A40&amp;FALSE,ErrorKey,0),6)),"",INDEX(ErrorTable,MATCH($A$39&amp;$A40&amp;FALSE,ErrorKey,0),6))</f>
        <v>GASB number is blank.</v>
      </c>
      <c r="E40" s="177"/>
      <c r="F40" s="177"/>
      <c r="G40" s="177"/>
      <c r="O40" s="177"/>
    </row>
    <row r="41" spans="1:23" s="173" customFormat="1" ht="15" customHeight="1" x14ac:dyDescent="0.2">
      <c r="A41" s="443" t="s">
        <v>447</v>
      </c>
      <c r="B41" s="443" t="str">
        <f t="shared" ca="1" si="14"/>
        <v/>
      </c>
      <c r="E41" s="177"/>
      <c r="F41" s="177"/>
      <c r="G41" s="177"/>
      <c r="O41" s="177"/>
    </row>
    <row r="42" spans="1:23" s="173" customFormat="1" ht="15" customHeight="1" x14ac:dyDescent="0.2">
      <c r="A42" s="443" t="s">
        <v>448</v>
      </c>
      <c r="B42" s="443" t="str">
        <f t="shared" ca="1" si="14"/>
        <v/>
      </c>
      <c r="E42" s="177"/>
      <c r="F42" s="177"/>
      <c r="G42" s="177"/>
      <c r="O42" s="177"/>
    </row>
    <row r="43" spans="1:23" ht="20.85" customHeight="1" x14ac:dyDescent="0.25">
      <c r="A43" s="443" t="s">
        <v>450</v>
      </c>
      <c r="B43" s="443" t="str">
        <f t="shared" ca="1" si="14"/>
        <v/>
      </c>
    </row>
    <row r="44" spans="1:23" ht="20.85" customHeight="1" x14ac:dyDescent="0.25">
      <c r="A44" s="443" t="s">
        <v>451</v>
      </c>
      <c r="B44" s="443" t="str">
        <f t="shared" ca="1" si="14"/>
        <v/>
      </c>
    </row>
    <row r="45" spans="1:23" ht="20.85" customHeight="1" x14ac:dyDescent="0.25">
      <c r="A45" s="443" t="s">
        <v>452</v>
      </c>
      <c r="B45" s="443" t="str">
        <f t="shared" ca="1" si="14"/>
        <v/>
      </c>
    </row>
    <row r="46" spans="1:23" ht="20.85" customHeight="1" x14ac:dyDescent="0.25">
      <c r="A46" s="443" t="s">
        <v>453</v>
      </c>
      <c r="B46" s="443" t="str">
        <f t="shared" ca="1" si="14"/>
        <v/>
      </c>
      <c r="D46" s="55" t="s">
        <v>973</v>
      </c>
      <c r="E46" s="55"/>
      <c r="F46" s="55"/>
      <c r="G46" s="55"/>
      <c r="H46" s="55"/>
      <c r="I46" s="55"/>
      <c r="J46" s="55"/>
      <c r="K46" s="55"/>
    </row>
    <row r="47" spans="1:23" ht="20.85" customHeight="1" x14ac:dyDescent="0.25">
      <c r="A47" s="443" t="s">
        <v>454</v>
      </c>
      <c r="B47" s="443" t="str">
        <f t="shared" ca="1" si="14"/>
        <v/>
      </c>
      <c r="D47" s="55" t="s">
        <v>973</v>
      </c>
      <c r="E47" s="55"/>
      <c r="F47" s="55"/>
      <c r="G47" s="55"/>
      <c r="L47" s="54" t="s">
        <v>973</v>
      </c>
      <c r="M47" s="54"/>
      <c r="N47" s="54"/>
      <c r="O47" s="54"/>
      <c r="Q47" s="55" t="s">
        <v>973</v>
      </c>
    </row>
    <row r="48" spans="1:23" ht="20.85" customHeight="1" x14ac:dyDescent="0.25">
      <c r="A48" s="443" t="s">
        <v>455</v>
      </c>
      <c r="B48" s="443" t="str">
        <f t="shared" ca="1" si="14"/>
        <v/>
      </c>
    </row>
    <row r="49" spans="1:17" ht="20.85" customHeight="1" x14ac:dyDescent="0.25">
      <c r="A49" s="443" t="s">
        <v>456</v>
      </c>
      <c r="B49" s="443" t="str">
        <f t="shared" ca="1" si="14"/>
        <v/>
      </c>
    </row>
    <row r="50" spans="1:17" ht="20.85" customHeight="1" x14ac:dyDescent="0.25"/>
    <row r="51" spans="1:17" ht="20.85" customHeight="1" x14ac:dyDescent="0.25"/>
    <row r="52" spans="1:17" ht="20.85" customHeight="1" x14ac:dyDescent="0.25"/>
    <row r="53" spans="1:17" ht="20.85" customHeight="1" x14ac:dyDescent="0.25"/>
    <row r="54" spans="1:17" ht="20.85" customHeight="1" x14ac:dyDescent="0.25">
      <c r="D54" s="53" t="s">
        <v>973</v>
      </c>
    </row>
    <row r="55" spans="1:17" ht="20.85" customHeight="1" x14ac:dyDescent="0.25"/>
    <row r="56" spans="1:17" ht="20.85" customHeight="1" x14ac:dyDescent="0.25"/>
    <row r="57" spans="1:17" ht="20.85" customHeight="1" x14ac:dyDescent="0.25">
      <c r="D57" s="55" t="s">
        <v>973</v>
      </c>
      <c r="E57" s="55"/>
      <c r="F57" s="55"/>
      <c r="G57" s="55"/>
      <c r="L57" s="54" t="s">
        <v>973</v>
      </c>
      <c r="M57" s="54"/>
      <c r="N57" s="54"/>
      <c r="O57" s="54"/>
      <c r="Q57" s="55" t="s">
        <v>973</v>
      </c>
    </row>
  </sheetData>
  <sheetProtection algorithmName="SHA-512" hashValue="sxa30FI9zIB24ItfIkcwE2KEOAHCe+NmEqE+HTVpYoDEOFuIb7SO6sykZnN8tyFVQqIAL3NC0DI2+CQY/dX+xQ==" saltValue="6vQBL2KJ5lZjlS+DPOW9AA==" spinCount="100000" sheet="1" objects="1" scenarios="1" autoFilter="0"/>
  <dataConsolidate link="1"/>
  <customSheetViews>
    <customSheetView guid="{B08879A4-635B-4C39-9937-AC7883D562FC}" showGridLines="0" fitToPage="1" hiddenColumns="1" topLeftCell="B1">
      <selection activeCell="B12" sqref="B12"/>
      <pageMargins left="0.5" right="0.5" top="0.75" bottom="0.5" header="0.5" footer="0.5"/>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5" right="0.5" top="0.75" bottom="0.5" header="0.5" footer="0.5"/>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5" right="0.5" top="0.75" bottom="0.5" header="0.5" footer="0.5"/>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5" right="0.5" top="0.75" bottom="0.5" header="0.5" footer="0.5"/>
      <printOptions horizontalCentered="1"/>
      <pageSetup orientation="landscape" blackAndWhite="1" r:id="rId4"/>
      <headerFooter alignWithMargins="0">
        <oddFooter>&amp;R&amp;A</oddFooter>
      </headerFooter>
    </customSheetView>
  </customSheetViews>
  <mergeCells count="11">
    <mergeCell ref="J24:N24"/>
    <mergeCell ref="B10:H10"/>
    <mergeCell ref="D5:G5"/>
    <mergeCell ref="D6:H6"/>
    <mergeCell ref="B23:L23"/>
    <mergeCell ref="J11:N11"/>
    <mergeCell ref="B1:P1"/>
    <mergeCell ref="Q1:Q3"/>
    <mergeCell ref="B2:P2"/>
    <mergeCell ref="B3:P3"/>
    <mergeCell ref="L4:P4"/>
  </mergeCells>
  <phoneticPr fontId="15" type="noConversion"/>
  <conditionalFormatting sqref="Q1:Q3">
    <cfRule type="cellIs" dxfId="63" priority="1" stopIfTrue="1" operator="equal">
      <formula>"na"</formula>
    </cfRule>
  </conditionalFormatting>
  <dataValidations count="3">
    <dataValidation type="textLength" operator="equal" allowBlank="1" showInputMessage="1" showErrorMessage="1" errorTitle="Invalid data!" error="GASB number must be 4 digits." sqref="D7 F27:F33 F14:F20" xr:uid="{00000000-0002-0000-2D00-000000000000}">
      <formula1>4</formula1>
    </dataValidation>
    <dataValidation type="list" allowBlank="1" showInputMessage="1" showErrorMessage="1" sqref="D27:D33" xr:uid="{00000000-0002-0000-2D00-000001000000}">
      <formula1>Listfor535</formula1>
    </dataValidation>
    <dataValidation type="list" allowBlank="1" showInputMessage="1" showErrorMessage="1" sqref="D14:D20" xr:uid="{00000000-0002-0000-2D00-000002000000}">
      <formula1>List505thru520</formula1>
    </dataValidation>
  </dataValidations>
  <hyperlinks>
    <hyperlink ref="B1:P1" location="Index!A1" display="Index!A1" xr:uid="{00000000-0004-0000-2D00-000000000000}"/>
  </hyperlinks>
  <printOptions horizontalCentered="1"/>
  <pageMargins left="0.5" right="0.5" top="0.75" bottom="0.5" header="0.5" footer="0.5"/>
  <pageSetup scale="91" orientation="landscape" blackAndWhite="1" r:id="rId5"/>
  <headerFooter alignWithMargins="0">
    <oddFooter>&amp;R&amp;A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
    <pageSetUpPr fitToPage="1"/>
  </sheetPr>
  <dimension ref="A1:AI51"/>
  <sheetViews>
    <sheetView showGridLines="0" topLeftCell="B1" zoomScaleNormal="100" workbookViewId="0">
      <selection activeCell="J35" sqref="J35"/>
    </sheetView>
  </sheetViews>
  <sheetFormatPr defaultRowHeight="15.75" x14ac:dyDescent="0.25"/>
  <cols>
    <col min="1" max="1" width="0" style="1768" hidden="1" customWidth="1"/>
    <col min="2" max="2" width="11.42578125" style="1768" customWidth="1"/>
    <col min="3" max="3" width="1.5703125" style="1768" customWidth="1"/>
    <col min="4" max="4" width="7.42578125" style="1768" bestFit="1" customWidth="1"/>
    <col min="5" max="5" width="1.5703125" style="1768" customWidth="1"/>
    <col min="6" max="6" width="12.5703125" style="1768" customWidth="1"/>
    <col min="7" max="7" width="1.5703125" style="1768" customWidth="1"/>
    <col min="8" max="8" width="20.5703125" style="1768" customWidth="1"/>
    <col min="9" max="9" width="2.5703125" style="1768" customWidth="1"/>
    <col min="10" max="10" width="12.42578125" style="1768" customWidth="1"/>
    <col min="11" max="11" width="1.5703125" style="1768" customWidth="1"/>
    <col min="12" max="12" width="10.5703125" style="1768" customWidth="1"/>
    <col min="13" max="13" width="1.5703125" style="1768" customWidth="1"/>
    <col min="14" max="14" width="12.5703125" style="1768" customWidth="1"/>
    <col min="15" max="15" width="1.5703125" style="1768" customWidth="1"/>
    <col min="16" max="16" width="22.5703125" style="1768" customWidth="1"/>
    <col min="17" max="17" width="2.42578125" style="1768" customWidth="1"/>
    <col min="18" max="18" width="5.5703125" style="1768" hidden="1" customWidth="1"/>
    <col min="19" max="19" width="2" style="1768" hidden="1" customWidth="1"/>
    <col min="20" max="23" width="5.5703125" style="1768" hidden="1" customWidth="1"/>
    <col min="24" max="24" width="7" style="1768" hidden="1" customWidth="1"/>
    <col min="25" max="25" width="2" style="1768" hidden="1" customWidth="1"/>
    <col min="26" max="26" width="7" style="1768" hidden="1" customWidth="1"/>
    <col min="27" max="29" width="5.5703125" style="1768" hidden="1" customWidth="1"/>
    <col min="30" max="31" width="6.42578125" style="1768" hidden="1" customWidth="1"/>
    <col min="32" max="34" width="0" style="1768" hidden="1" customWidth="1"/>
    <col min="35" max="35" width="9.42578125" style="1768" customWidth="1"/>
    <col min="36" max="256" width="9.42578125" style="1768"/>
    <col min="257" max="257" width="0" style="1768" hidden="1" customWidth="1"/>
    <col min="258" max="258" width="11.42578125" style="1768" customWidth="1"/>
    <col min="259" max="259" width="1.5703125" style="1768" customWidth="1"/>
    <col min="260" max="260" width="7.42578125" style="1768" bestFit="1" customWidth="1"/>
    <col min="261" max="261" width="1.5703125" style="1768" customWidth="1"/>
    <col min="262" max="262" width="12.5703125" style="1768" customWidth="1"/>
    <col min="263" max="263" width="1.5703125" style="1768" customWidth="1"/>
    <col min="264" max="264" width="20.5703125" style="1768" customWidth="1"/>
    <col min="265" max="265" width="2.5703125" style="1768" customWidth="1"/>
    <col min="266" max="266" width="10.5703125" style="1768" customWidth="1"/>
    <col min="267" max="267" width="1.5703125" style="1768" customWidth="1"/>
    <col min="268" max="268" width="10.5703125" style="1768" customWidth="1"/>
    <col min="269" max="269" width="1.5703125" style="1768" customWidth="1"/>
    <col min="270" max="270" width="12.5703125" style="1768" customWidth="1"/>
    <col min="271" max="271" width="1.5703125" style="1768" customWidth="1"/>
    <col min="272" max="272" width="22.5703125" style="1768" customWidth="1"/>
    <col min="273" max="273" width="4.5703125" style="1768" customWidth="1"/>
    <col min="274" max="287" width="0" style="1768" hidden="1" customWidth="1"/>
    <col min="288" max="512" width="9.42578125" style="1768"/>
    <col min="513" max="513" width="0" style="1768" hidden="1" customWidth="1"/>
    <col min="514" max="514" width="11.42578125" style="1768" customWidth="1"/>
    <col min="515" max="515" width="1.5703125" style="1768" customWidth="1"/>
    <col min="516" max="516" width="7.42578125" style="1768" bestFit="1" customWidth="1"/>
    <col min="517" max="517" width="1.5703125" style="1768" customWidth="1"/>
    <col min="518" max="518" width="12.5703125" style="1768" customWidth="1"/>
    <col min="519" max="519" width="1.5703125" style="1768" customWidth="1"/>
    <col min="520" max="520" width="20.5703125" style="1768" customWidth="1"/>
    <col min="521" max="521" width="2.5703125" style="1768" customWidth="1"/>
    <col min="522" max="522" width="10.5703125" style="1768" customWidth="1"/>
    <col min="523" max="523" width="1.5703125" style="1768" customWidth="1"/>
    <col min="524" max="524" width="10.5703125" style="1768" customWidth="1"/>
    <col min="525" max="525" width="1.5703125" style="1768" customWidth="1"/>
    <col min="526" max="526" width="12.5703125" style="1768" customWidth="1"/>
    <col min="527" max="527" width="1.5703125" style="1768" customWidth="1"/>
    <col min="528" max="528" width="22.5703125" style="1768" customWidth="1"/>
    <col min="529" max="529" width="4.5703125" style="1768" customWidth="1"/>
    <col min="530" max="543" width="0" style="1768" hidden="1" customWidth="1"/>
    <col min="544" max="768" width="9.42578125" style="1768"/>
    <col min="769" max="769" width="0" style="1768" hidden="1" customWidth="1"/>
    <col min="770" max="770" width="11.42578125" style="1768" customWidth="1"/>
    <col min="771" max="771" width="1.5703125" style="1768" customWidth="1"/>
    <col min="772" max="772" width="7.42578125" style="1768" bestFit="1" customWidth="1"/>
    <col min="773" max="773" width="1.5703125" style="1768" customWidth="1"/>
    <col min="774" max="774" width="12.5703125" style="1768" customWidth="1"/>
    <col min="775" max="775" width="1.5703125" style="1768" customWidth="1"/>
    <col min="776" max="776" width="20.5703125" style="1768" customWidth="1"/>
    <col min="777" max="777" width="2.5703125" style="1768" customWidth="1"/>
    <col min="778" max="778" width="10.5703125" style="1768" customWidth="1"/>
    <col min="779" max="779" width="1.5703125" style="1768" customWidth="1"/>
    <col min="780" max="780" width="10.5703125" style="1768" customWidth="1"/>
    <col min="781" max="781" width="1.5703125" style="1768" customWidth="1"/>
    <col min="782" max="782" width="12.5703125" style="1768" customWidth="1"/>
    <col min="783" max="783" width="1.5703125" style="1768" customWidth="1"/>
    <col min="784" max="784" width="22.5703125" style="1768" customWidth="1"/>
    <col min="785" max="785" width="4.5703125" style="1768" customWidth="1"/>
    <col min="786" max="799" width="0" style="1768" hidden="1" customWidth="1"/>
    <col min="800" max="1024" width="9.42578125" style="1768"/>
    <col min="1025" max="1025" width="0" style="1768" hidden="1" customWidth="1"/>
    <col min="1026" max="1026" width="11.42578125" style="1768" customWidth="1"/>
    <col min="1027" max="1027" width="1.5703125" style="1768" customWidth="1"/>
    <col min="1028" max="1028" width="7.42578125" style="1768" bestFit="1" customWidth="1"/>
    <col min="1029" max="1029" width="1.5703125" style="1768" customWidth="1"/>
    <col min="1030" max="1030" width="12.5703125" style="1768" customWidth="1"/>
    <col min="1031" max="1031" width="1.5703125" style="1768" customWidth="1"/>
    <col min="1032" max="1032" width="20.5703125" style="1768" customWidth="1"/>
    <col min="1033" max="1033" width="2.5703125" style="1768" customWidth="1"/>
    <col min="1034" max="1034" width="10.5703125" style="1768" customWidth="1"/>
    <col min="1035" max="1035" width="1.5703125" style="1768" customWidth="1"/>
    <col min="1036" max="1036" width="10.5703125" style="1768" customWidth="1"/>
    <col min="1037" max="1037" width="1.5703125" style="1768" customWidth="1"/>
    <col min="1038" max="1038" width="12.5703125" style="1768" customWidth="1"/>
    <col min="1039" max="1039" width="1.5703125" style="1768" customWidth="1"/>
    <col min="1040" max="1040" width="22.5703125" style="1768" customWidth="1"/>
    <col min="1041" max="1041" width="4.5703125" style="1768" customWidth="1"/>
    <col min="1042" max="1055" width="0" style="1768" hidden="1" customWidth="1"/>
    <col min="1056" max="1280" width="9.42578125" style="1768"/>
    <col min="1281" max="1281" width="0" style="1768" hidden="1" customWidth="1"/>
    <col min="1282" max="1282" width="11.42578125" style="1768" customWidth="1"/>
    <col min="1283" max="1283" width="1.5703125" style="1768" customWidth="1"/>
    <col min="1284" max="1284" width="7.42578125" style="1768" bestFit="1" customWidth="1"/>
    <col min="1285" max="1285" width="1.5703125" style="1768" customWidth="1"/>
    <col min="1286" max="1286" width="12.5703125" style="1768" customWidth="1"/>
    <col min="1287" max="1287" width="1.5703125" style="1768" customWidth="1"/>
    <col min="1288" max="1288" width="20.5703125" style="1768" customWidth="1"/>
    <col min="1289" max="1289" width="2.5703125" style="1768" customWidth="1"/>
    <col min="1290" max="1290" width="10.5703125" style="1768" customWidth="1"/>
    <col min="1291" max="1291" width="1.5703125" style="1768" customWidth="1"/>
    <col min="1292" max="1292" width="10.5703125" style="1768" customWidth="1"/>
    <col min="1293" max="1293" width="1.5703125" style="1768" customWidth="1"/>
    <col min="1294" max="1294" width="12.5703125" style="1768" customWidth="1"/>
    <col min="1295" max="1295" width="1.5703125" style="1768" customWidth="1"/>
    <col min="1296" max="1296" width="22.5703125" style="1768" customWidth="1"/>
    <col min="1297" max="1297" width="4.5703125" style="1768" customWidth="1"/>
    <col min="1298" max="1311" width="0" style="1768" hidden="1" customWidth="1"/>
    <col min="1312" max="1536" width="9.42578125" style="1768"/>
    <col min="1537" max="1537" width="0" style="1768" hidden="1" customWidth="1"/>
    <col min="1538" max="1538" width="11.42578125" style="1768" customWidth="1"/>
    <col min="1539" max="1539" width="1.5703125" style="1768" customWidth="1"/>
    <col min="1540" max="1540" width="7.42578125" style="1768" bestFit="1" customWidth="1"/>
    <col min="1541" max="1541" width="1.5703125" style="1768" customWidth="1"/>
    <col min="1542" max="1542" width="12.5703125" style="1768" customWidth="1"/>
    <col min="1543" max="1543" width="1.5703125" style="1768" customWidth="1"/>
    <col min="1544" max="1544" width="20.5703125" style="1768" customWidth="1"/>
    <col min="1545" max="1545" width="2.5703125" style="1768" customWidth="1"/>
    <col min="1546" max="1546" width="10.5703125" style="1768" customWidth="1"/>
    <col min="1547" max="1547" width="1.5703125" style="1768" customWidth="1"/>
    <col min="1548" max="1548" width="10.5703125" style="1768" customWidth="1"/>
    <col min="1549" max="1549" width="1.5703125" style="1768" customWidth="1"/>
    <col min="1550" max="1550" width="12.5703125" style="1768" customWidth="1"/>
    <col min="1551" max="1551" width="1.5703125" style="1768" customWidth="1"/>
    <col min="1552" max="1552" width="22.5703125" style="1768" customWidth="1"/>
    <col min="1553" max="1553" width="4.5703125" style="1768" customWidth="1"/>
    <col min="1554" max="1567" width="0" style="1768" hidden="1" customWidth="1"/>
    <col min="1568" max="1792" width="9.42578125" style="1768"/>
    <col min="1793" max="1793" width="0" style="1768" hidden="1" customWidth="1"/>
    <col min="1794" max="1794" width="11.42578125" style="1768" customWidth="1"/>
    <col min="1795" max="1795" width="1.5703125" style="1768" customWidth="1"/>
    <col min="1796" max="1796" width="7.42578125" style="1768" bestFit="1" customWidth="1"/>
    <col min="1797" max="1797" width="1.5703125" style="1768" customWidth="1"/>
    <col min="1798" max="1798" width="12.5703125" style="1768" customWidth="1"/>
    <col min="1799" max="1799" width="1.5703125" style="1768" customWidth="1"/>
    <col min="1800" max="1800" width="20.5703125" style="1768" customWidth="1"/>
    <col min="1801" max="1801" width="2.5703125" style="1768" customWidth="1"/>
    <col min="1802" max="1802" width="10.5703125" style="1768" customWidth="1"/>
    <col min="1803" max="1803" width="1.5703125" style="1768" customWidth="1"/>
    <col min="1804" max="1804" width="10.5703125" style="1768" customWidth="1"/>
    <col min="1805" max="1805" width="1.5703125" style="1768" customWidth="1"/>
    <col min="1806" max="1806" width="12.5703125" style="1768" customWidth="1"/>
    <col min="1807" max="1807" width="1.5703125" style="1768" customWidth="1"/>
    <col min="1808" max="1808" width="22.5703125" style="1768" customWidth="1"/>
    <col min="1809" max="1809" width="4.5703125" style="1768" customWidth="1"/>
    <col min="1810" max="1823" width="0" style="1768" hidden="1" customWidth="1"/>
    <col min="1824" max="2048" width="9.42578125" style="1768"/>
    <col min="2049" max="2049" width="0" style="1768" hidden="1" customWidth="1"/>
    <col min="2050" max="2050" width="11.42578125" style="1768" customWidth="1"/>
    <col min="2051" max="2051" width="1.5703125" style="1768" customWidth="1"/>
    <col min="2052" max="2052" width="7.42578125" style="1768" bestFit="1" customWidth="1"/>
    <col min="2053" max="2053" width="1.5703125" style="1768" customWidth="1"/>
    <col min="2054" max="2054" width="12.5703125" style="1768" customWidth="1"/>
    <col min="2055" max="2055" width="1.5703125" style="1768" customWidth="1"/>
    <col min="2056" max="2056" width="20.5703125" style="1768" customWidth="1"/>
    <col min="2057" max="2057" width="2.5703125" style="1768" customWidth="1"/>
    <col min="2058" max="2058" width="10.5703125" style="1768" customWidth="1"/>
    <col min="2059" max="2059" width="1.5703125" style="1768" customWidth="1"/>
    <col min="2060" max="2060" width="10.5703125" style="1768" customWidth="1"/>
    <col min="2061" max="2061" width="1.5703125" style="1768" customWidth="1"/>
    <col min="2062" max="2062" width="12.5703125" style="1768" customWidth="1"/>
    <col min="2063" max="2063" width="1.5703125" style="1768" customWidth="1"/>
    <col min="2064" max="2064" width="22.5703125" style="1768" customWidth="1"/>
    <col min="2065" max="2065" width="4.5703125" style="1768" customWidth="1"/>
    <col min="2066" max="2079" width="0" style="1768" hidden="1" customWidth="1"/>
    <col min="2080" max="2304" width="9.42578125" style="1768"/>
    <col min="2305" max="2305" width="0" style="1768" hidden="1" customWidth="1"/>
    <col min="2306" max="2306" width="11.42578125" style="1768" customWidth="1"/>
    <col min="2307" max="2307" width="1.5703125" style="1768" customWidth="1"/>
    <col min="2308" max="2308" width="7.42578125" style="1768" bestFit="1" customWidth="1"/>
    <col min="2309" max="2309" width="1.5703125" style="1768" customWidth="1"/>
    <col min="2310" max="2310" width="12.5703125" style="1768" customWidth="1"/>
    <col min="2311" max="2311" width="1.5703125" style="1768" customWidth="1"/>
    <col min="2312" max="2312" width="20.5703125" style="1768" customWidth="1"/>
    <col min="2313" max="2313" width="2.5703125" style="1768" customWidth="1"/>
    <col min="2314" max="2314" width="10.5703125" style="1768" customWidth="1"/>
    <col min="2315" max="2315" width="1.5703125" style="1768" customWidth="1"/>
    <col min="2316" max="2316" width="10.5703125" style="1768" customWidth="1"/>
    <col min="2317" max="2317" width="1.5703125" style="1768" customWidth="1"/>
    <col min="2318" max="2318" width="12.5703125" style="1768" customWidth="1"/>
    <col min="2319" max="2319" width="1.5703125" style="1768" customWidth="1"/>
    <col min="2320" max="2320" width="22.5703125" style="1768" customWidth="1"/>
    <col min="2321" max="2321" width="4.5703125" style="1768" customWidth="1"/>
    <col min="2322" max="2335" width="0" style="1768" hidden="1" customWidth="1"/>
    <col min="2336" max="2560" width="9.42578125" style="1768"/>
    <col min="2561" max="2561" width="0" style="1768" hidden="1" customWidth="1"/>
    <col min="2562" max="2562" width="11.42578125" style="1768" customWidth="1"/>
    <col min="2563" max="2563" width="1.5703125" style="1768" customWidth="1"/>
    <col min="2564" max="2564" width="7.42578125" style="1768" bestFit="1" customWidth="1"/>
    <col min="2565" max="2565" width="1.5703125" style="1768" customWidth="1"/>
    <col min="2566" max="2566" width="12.5703125" style="1768" customWidth="1"/>
    <col min="2567" max="2567" width="1.5703125" style="1768" customWidth="1"/>
    <col min="2568" max="2568" width="20.5703125" style="1768" customWidth="1"/>
    <col min="2569" max="2569" width="2.5703125" style="1768" customWidth="1"/>
    <col min="2570" max="2570" width="10.5703125" style="1768" customWidth="1"/>
    <col min="2571" max="2571" width="1.5703125" style="1768" customWidth="1"/>
    <col min="2572" max="2572" width="10.5703125" style="1768" customWidth="1"/>
    <col min="2573" max="2573" width="1.5703125" style="1768" customWidth="1"/>
    <col min="2574" max="2574" width="12.5703125" style="1768" customWidth="1"/>
    <col min="2575" max="2575" width="1.5703125" style="1768" customWidth="1"/>
    <col min="2576" max="2576" width="22.5703125" style="1768" customWidth="1"/>
    <col min="2577" max="2577" width="4.5703125" style="1768" customWidth="1"/>
    <col min="2578" max="2591" width="0" style="1768" hidden="1" customWidth="1"/>
    <col min="2592" max="2816" width="9.42578125" style="1768"/>
    <col min="2817" max="2817" width="0" style="1768" hidden="1" customWidth="1"/>
    <col min="2818" max="2818" width="11.42578125" style="1768" customWidth="1"/>
    <col min="2819" max="2819" width="1.5703125" style="1768" customWidth="1"/>
    <col min="2820" max="2820" width="7.42578125" style="1768" bestFit="1" customWidth="1"/>
    <col min="2821" max="2821" width="1.5703125" style="1768" customWidth="1"/>
    <col min="2822" max="2822" width="12.5703125" style="1768" customWidth="1"/>
    <col min="2823" max="2823" width="1.5703125" style="1768" customWidth="1"/>
    <col min="2824" max="2824" width="20.5703125" style="1768" customWidth="1"/>
    <col min="2825" max="2825" width="2.5703125" style="1768" customWidth="1"/>
    <col min="2826" max="2826" width="10.5703125" style="1768" customWidth="1"/>
    <col min="2827" max="2827" width="1.5703125" style="1768" customWidth="1"/>
    <col min="2828" max="2828" width="10.5703125" style="1768" customWidth="1"/>
    <col min="2829" max="2829" width="1.5703125" style="1768" customWidth="1"/>
    <col min="2830" max="2830" width="12.5703125" style="1768" customWidth="1"/>
    <col min="2831" max="2831" width="1.5703125" style="1768" customWidth="1"/>
    <col min="2832" max="2832" width="22.5703125" style="1768" customWidth="1"/>
    <col min="2833" max="2833" width="4.5703125" style="1768" customWidth="1"/>
    <col min="2834" max="2847" width="0" style="1768" hidden="1" customWidth="1"/>
    <col min="2848" max="3072" width="9.42578125" style="1768"/>
    <col min="3073" max="3073" width="0" style="1768" hidden="1" customWidth="1"/>
    <col min="3074" max="3074" width="11.42578125" style="1768" customWidth="1"/>
    <col min="3075" max="3075" width="1.5703125" style="1768" customWidth="1"/>
    <col min="3076" max="3076" width="7.42578125" style="1768" bestFit="1" customWidth="1"/>
    <col min="3077" max="3077" width="1.5703125" style="1768" customWidth="1"/>
    <col min="3078" max="3078" width="12.5703125" style="1768" customWidth="1"/>
    <col min="3079" max="3079" width="1.5703125" style="1768" customWidth="1"/>
    <col min="3080" max="3080" width="20.5703125" style="1768" customWidth="1"/>
    <col min="3081" max="3081" width="2.5703125" style="1768" customWidth="1"/>
    <col min="3082" max="3082" width="10.5703125" style="1768" customWidth="1"/>
    <col min="3083" max="3083" width="1.5703125" style="1768" customWidth="1"/>
    <col min="3084" max="3084" width="10.5703125" style="1768" customWidth="1"/>
    <col min="3085" max="3085" width="1.5703125" style="1768" customWidth="1"/>
    <col min="3086" max="3086" width="12.5703125" style="1768" customWidth="1"/>
    <col min="3087" max="3087" width="1.5703125" style="1768" customWidth="1"/>
    <col min="3088" max="3088" width="22.5703125" style="1768" customWidth="1"/>
    <col min="3089" max="3089" width="4.5703125" style="1768" customWidth="1"/>
    <col min="3090" max="3103" width="0" style="1768" hidden="1" customWidth="1"/>
    <col min="3104" max="3328" width="9.42578125" style="1768"/>
    <col min="3329" max="3329" width="0" style="1768" hidden="1" customWidth="1"/>
    <col min="3330" max="3330" width="11.42578125" style="1768" customWidth="1"/>
    <col min="3331" max="3331" width="1.5703125" style="1768" customWidth="1"/>
    <col min="3332" max="3332" width="7.42578125" style="1768" bestFit="1" customWidth="1"/>
    <col min="3333" max="3333" width="1.5703125" style="1768" customWidth="1"/>
    <col min="3334" max="3334" width="12.5703125" style="1768" customWidth="1"/>
    <col min="3335" max="3335" width="1.5703125" style="1768" customWidth="1"/>
    <col min="3336" max="3336" width="20.5703125" style="1768" customWidth="1"/>
    <col min="3337" max="3337" width="2.5703125" style="1768" customWidth="1"/>
    <col min="3338" max="3338" width="10.5703125" style="1768" customWidth="1"/>
    <col min="3339" max="3339" width="1.5703125" style="1768" customWidth="1"/>
    <col min="3340" max="3340" width="10.5703125" style="1768" customWidth="1"/>
    <col min="3341" max="3341" width="1.5703125" style="1768" customWidth="1"/>
    <col min="3342" max="3342" width="12.5703125" style="1768" customWidth="1"/>
    <col min="3343" max="3343" width="1.5703125" style="1768" customWidth="1"/>
    <col min="3344" max="3344" width="22.5703125" style="1768" customWidth="1"/>
    <col min="3345" max="3345" width="4.5703125" style="1768" customWidth="1"/>
    <col min="3346" max="3359" width="0" style="1768" hidden="1" customWidth="1"/>
    <col min="3360" max="3584" width="9.42578125" style="1768"/>
    <col min="3585" max="3585" width="0" style="1768" hidden="1" customWidth="1"/>
    <col min="3586" max="3586" width="11.42578125" style="1768" customWidth="1"/>
    <col min="3587" max="3587" width="1.5703125" style="1768" customWidth="1"/>
    <col min="3588" max="3588" width="7.42578125" style="1768" bestFit="1" customWidth="1"/>
    <col min="3589" max="3589" width="1.5703125" style="1768" customWidth="1"/>
    <col min="3590" max="3590" width="12.5703125" style="1768" customWidth="1"/>
    <col min="3591" max="3591" width="1.5703125" style="1768" customWidth="1"/>
    <col min="3592" max="3592" width="20.5703125" style="1768" customWidth="1"/>
    <col min="3593" max="3593" width="2.5703125" style="1768" customWidth="1"/>
    <col min="3594" max="3594" width="10.5703125" style="1768" customWidth="1"/>
    <col min="3595" max="3595" width="1.5703125" style="1768" customWidth="1"/>
    <col min="3596" max="3596" width="10.5703125" style="1768" customWidth="1"/>
    <col min="3597" max="3597" width="1.5703125" style="1768" customWidth="1"/>
    <col min="3598" max="3598" width="12.5703125" style="1768" customWidth="1"/>
    <col min="3599" max="3599" width="1.5703125" style="1768" customWidth="1"/>
    <col min="3600" max="3600" width="22.5703125" style="1768" customWidth="1"/>
    <col min="3601" max="3601" width="4.5703125" style="1768" customWidth="1"/>
    <col min="3602" max="3615" width="0" style="1768" hidden="1" customWidth="1"/>
    <col min="3616" max="3840" width="9.42578125" style="1768"/>
    <col min="3841" max="3841" width="0" style="1768" hidden="1" customWidth="1"/>
    <col min="3842" max="3842" width="11.42578125" style="1768" customWidth="1"/>
    <col min="3843" max="3843" width="1.5703125" style="1768" customWidth="1"/>
    <col min="3844" max="3844" width="7.42578125" style="1768" bestFit="1" customWidth="1"/>
    <col min="3845" max="3845" width="1.5703125" style="1768" customWidth="1"/>
    <col min="3846" max="3846" width="12.5703125" style="1768" customWidth="1"/>
    <col min="3847" max="3847" width="1.5703125" style="1768" customWidth="1"/>
    <col min="3848" max="3848" width="20.5703125" style="1768" customWidth="1"/>
    <col min="3849" max="3849" width="2.5703125" style="1768" customWidth="1"/>
    <col min="3850" max="3850" width="10.5703125" style="1768" customWidth="1"/>
    <col min="3851" max="3851" width="1.5703125" style="1768" customWidth="1"/>
    <col min="3852" max="3852" width="10.5703125" style="1768" customWidth="1"/>
    <col min="3853" max="3853" width="1.5703125" style="1768" customWidth="1"/>
    <col min="3854" max="3854" width="12.5703125" style="1768" customWidth="1"/>
    <col min="3855" max="3855" width="1.5703125" style="1768" customWidth="1"/>
    <col min="3856" max="3856" width="22.5703125" style="1768" customWidth="1"/>
    <col min="3857" max="3857" width="4.5703125" style="1768" customWidth="1"/>
    <col min="3858" max="3871" width="0" style="1768" hidden="1" customWidth="1"/>
    <col min="3872" max="4096" width="9.42578125" style="1768"/>
    <col min="4097" max="4097" width="0" style="1768" hidden="1" customWidth="1"/>
    <col min="4098" max="4098" width="11.42578125" style="1768" customWidth="1"/>
    <col min="4099" max="4099" width="1.5703125" style="1768" customWidth="1"/>
    <col min="4100" max="4100" width="7.42578125" style="1768" bestFit="1" customWidth="1"/>
    <col min="4101" max="4101" width="1.5703125" style="1768" customWidth="1"/>
    <col min="4102" max="4102" width="12.5703125" style="1768" customWidth="1"/>
    <col min="4103" max="4103" width="1.5703125" style="1768" customWidth="1"/>
    <col min="4104" max="4104" width="20.5703125" style="1768" customWidth="1"/>
    <col min="4105" max="4105" width="2.5703125" style="1768" customWidth="1"/>
    <col min="4106" max="4106" width="10.5703125" style="1768" customWidth="1"/>
    <col min="4107" max="4107" width="1.5703125" style="1768" customWidth="1"/>
    <col min="4108" max="4108" width="10.5703125" style="1768" customWidth="1"/>
    <col min="4109" max="4109" width="1.5703125" style="1768" customWidth="1"/>
    <col min="4110" max="4110" width="12.5703125" style="1768" customWidth="1"/>
    <col min="4111" max="4111" width="1.5703125" style="1768" customWidth="1"/>
    <col min="4112" max="4112" width="22.5703125" style="1768" customWidth="1"/>
    <col min="4113" max="4113" width="4.5703125" style="1768" customWidth="1"/>
    <col min="4114" max="4127" width="0" style="1768" hidden="1" customWidth="1"/>
    <col min="4128" max="4352" width="9.42578125" style="1768"/>
    <col min="4353" max="4353" width="0" style="1768" hidden="1" customWidth="1"/>
    <col min="4354" max="4354" width="11.42578125" style="1768" customWidth="1"/>
    <col min="4355" max="4355" width="1.5703125" style="1768" customWidth="1"/>
    <col min="4356" max="4356" width="7.42578125" style="1768" bestFit="1" customWidth="1"/>
    <col min="4357" max="4357" width="1.5703125" style="1768" customWidth="1"/>
    <col min="4358" max="4358" width="12.5703125" style="1768" customWidth="1"/>
    <col min="4359" max="4359" width="1.5703125" style="1768" customWidth="1"/>
    <col min="4360" max="4360" width="20.5703125" style="1768" customWidth="1"/>
    <col min="4361" max="4361" width="2.5703125" style="1768" customWidth="1"/>
    <col min="4362" max="4362" width="10.5703125" style="1768" customWidth="1"/>
    <col min="4363" max="4363" width="1.5703125" style="1768" customWidth="1"/>
    <col min="4364" max="4364" width="10.5703125" style="1768" customWidth="1"/>
    <col min="4365" max="4365" width="1.5703125" style="1768" customWidth="1"/>
    <col min="4366" max="4366" width="12.5703125" style="1768" customWidth="1"/>
    <col min="4367" max="4367" width="1.5703125" style="1768" customWidth="1"/>
    <col min="4368" max="4368" width="22.5703125" style="1768" customWidth="1"/>
    <col min="4369" max="4369" width="4.5703125" style="1768" customWidth="1"/>
    <col min="4370" max="4383" width="0" style="1768" hidden="1" customWidth="1"/>
    <col min="4384" max="4608" width="9.42578125" style="1768"/>
    <col min="4609" max="4609" width="0" style="1768" hidden="1" customWidth="1"/>
    <col min="4610" max="4610" width="11.42578125" style="1768" customWidth="1"/>
    <col min="4611" max="4611" width="1.5703125" style="1768" customWidth="1"/>
    <col min="4612" max="4612" width="7.42578125" style="1768" bestFit="1" customWidth="1"/>
    <col min="4613" max="4613" width="1.5703125" style="1768" customWidth="1"/>
    <col min="4614" max="4614" width="12.5703125" style="1768" customWidth="1"/>
    <col min="4615" max="4615" width="1.5703125" style="1768" customWidth="1"/>
    <col min="4616" max="4616" width="20.5703125" style="1768" customWidth="1"/>
    <col min="4617" max="4617" width="2.5703125" style="1768" customWidth="1"/>
    <col min="4618" max="4618" width="10.5703125" style="1768" customWidth="1"/>
    <col min="4619" max="4619" width="1.5703125" style="1768" customWidth="1"/>
    <col min="4620" max="4620" width="10.5703125" style="1768" customWidth="1"/>
    <col min="4621" max="4621" width="1.5703125" style="1768" customWidth="1"/>
    <col min="4622" max="4622" width="12.5703125" style="1768" customWidth="1"/>
    <col min="4623" max="4623" width="1.5703125" style="1768" customWidth="1"/>
    <col min="4624" max="4624" width="22.5703125" style="1768" customWidth="1"/>
    <col min="4625" max="4625" width="4.5703125" style="1768" customWidth="1"/>
    <col min="4626" max="4639" width="0" style="1768" hidden="1" customWidth="1"/>
    <col min="4640" max="4864" width="9.42578125" style="1768"/>
    <col min="4865" max="4865" width="0" style="1768" hidden="1" customWidth="1"/>
    <col min="4866" max="4866" width="11.42578125" style="1768" customWidth="1"/>
    <col min="4867" max="4867" width="1.5703125" style="1768" customWidth="1"/>
    <col min="4868" max="4868" width="7.42578125" style="1768" bestFit="1" customWidth="1"/>
    <col min="4869" max="4869" width="1.5703125" style="1768" customWidth="1"/>
    <col min="4870" max="4870" width="12.5703125" style="1768" customWidth="1"/>
    <col min="4871" max="4871" width="1.5703125" style="1768" customWidth="1"/>
    <col min="4872" max="4872" width="20.5703125" style="1768" customWidth="1"/>
    <col min="4873" max="4873" width="2.5703125" style="1768" customWidth="1"/>
    <col min="4874" max="4874" width="10.5703125" style="1768" customWidth="1"/>
    <col min="4875" max="4875" width="1.5703125" style="1768" customWidth="1"/>
    <col min="4876" max="4876" width="10.5703125" style="1768" customWidth="1"/>
    <col min="4877" max="4877" width="1.5703125" style="1768" customWidth="1"/>
    <col min="4878" max="4878" width="12.5703125" style="1768" customWidth="1"/>
    <col min="4879" max="4879" width="1.5703125" style="1768" customWidth="1"/>
    <col min="4880" max="4880" width="22.5703125" style="1768" customWidth="1"/>
    <col min="4881" max="4881" width="4.5703125" style="1768" customWidth="1"/>
    <col min="4882" max="4895" width="0" style="1768" hidden="1" customWidth="1"/>
    <col min="4896" max="5120" width="9.42578125" style="1768"/>
    <col min="5121" max="5121" width="0" style="1768" hidden="1" customWidth="1"/>
    <col min="5122" max="5122" width="11.42578125" style="1768" customWidth="1"/>
    <col min="5123" max="5123" width="1.5703125" style="1768" customWidth="1"/>
    <col min="5124" max="5124" width="7.42578125" style="1768" bestFit="1" customWidth="1"/>
    <col min="5125" max="5125" width="1.5703125" style="1768" customWidth="1"/>
    <col min="5126" max="5126" width="12.5703125" style="1768" customWidth="1"/>
    <col min="5127" max="5127" width="1.5703125" style="1768" customWidth="1"/>
    <col min="5128" max="5128" width="20.5703125" style="1768" customWidth="1"/>
    <col min="5129" max="5129" width="2.5703125" style="1768" customWidth="1"/>
    <col min="5130" max="5130" width="10.5703125" style="1768" customWidth="1"/>
    <col min="5131" max="5131" width="1.5703125" style="1768" customWidth="1"/>
    <col min="5132" max="5132" width="10.5703125" style="1768" customWidth="1"/>
    <col min="5133" max="5133" width="1.5703125" style="1768" customWidth="1"/>
    <col min="5134" max="5134" width="12.5703125" style="1768" customWidth="1"/>
    <col min="5135" max="5135" width="1.5703125" style="1768" customWidth="1"/>
    <col min="5136" max="5136" width="22.5703125" style="1768" customWidth="1"/>
    <col min="5137" max="5137" width="4.5703125" style="1768" customWidth="1"/>
    <col min="5138" max="5151" width="0" style="1768" hidden="1" customWidth="1"/>
    <col min="5152" max="5376" width="9.42578125" style="1768"/>
    <col min="5377" max="5377" width="0" style="1768" hidden="1" customWidth="1"/>
    <col min="5378" max="5378" width="11.42578125" style="1768" customWidth="1"/>
    <col min="5379" max="5379" width="1.5703125" style="1768" customWidth="1"/>
    <col min="5380" max="5380" width="7.42578125" style="1768" bestFit="1" customWidth="1"/>
    <col min="5381" max="5381" width="1.5703125" style="1768" customWidth="1"/>
    <col min="5382" max="5382" width="12.5703125" style="1768" customWidth="1"/>
    <col min="5383" max="5383" width="1.5703125" style="1768" customWidth="1"/>
    <col min="5384" max="5384" width="20.5703125" style="1768" customWidth="1"/>
    <col min="5385" max="5385" width="2.5703125" style="1768" customWidth="1"/>
    <col min="5386" max="5386" width="10.5703125" style="1768" customWidth="1"/>
    <col min="5387" max="5387" width="1.5703125" style="1768" customWidth="1"/>
    <col min="5388" max="5388" width="10.5703125" style="1768" customWidth="1"/>
    <col min="5389" max="5389" width="1.5703125" style="1768" customWidth="1"/>
    <col min="5390" max="5390" width="12.5703125" style="1768" customWidth="1"/>
    <col min="5391" max="5391" width="1.5703125" style="1768" customWidth="1"/>
    <col min="5392" max="5392" width="22.5703125" style="1768" customWidth="1"/>
    <col min="5393" max="5393" width="4.5703125" style="1768" customWidth="1"/>
    <col min="5394" max="5407" width="0" style="1768" hidden="1" customWidth="1"/>
    <col min="5408" max="5632" width="9.42578125" style="1768"/>
    <col min="5633" max="5633" width="0" style="1768" hidden="1" customWidth="1"/>
    <col min="5634" max="5634" width="11.42578125" style="1768" customWidth="1"/>
    <col min="5635" max="5635" width="1.5703125" style="1768" customWidth="1"/>
    <col min="5636" max="5636" width="7.42578125" style="1768" bestFit="1" customWidth="1"/>
    <col min="5637" max="5637" width="1.5703125" style="1768" customWidth="1"/>
    <col min="5638" max="5638" width="12.5703125" style="1768" customWidth="1"/>
    <col min="5639" max="5639" width="1.5703125" style="1768" customWidth="1"/>
    <col min="5640" max="5640" width="20.5703125" style="1768" customWidth="1"/>
    <col min="5641" max="5641" width="2.5703125" style="1768" customWidth="1"/>
    <col min="5642" max="5642" width="10.5703125" style="1768" customWidth="1"/>
    <col min="5643" max="5643" width="1.5703125" style="1768" customWidth="1"/>
    <col min="5644" max="5644" width="10.5703125" style="1768" customWidth="1"/>
    <col min="5645" max="5645" width="1.5703125" style="1768" customWidth="1"/>
    <col min="5646" max="5646" width="12.5703125" style="1768" customWidth="1"/>
    <col min="5647" max="5647" width="1.5703125" style="1768" customWidth="1"/>
    <col min="5648" max="5648" width="22.5703125" style="1768" customWidth="1"/>
    <col min="5649" max="5649" width="4.5703125" style="1768" customWidth="1"/>
    <col min="5650" max="5663" width="0" style="1768" hidden="1" customWidth="1"/>
    <col min="5664" max="5888" width="9.42578125" style="1768"/>
    <col min="5889" max="5889" width="0" style="1768" hidden="1" customWidth="1"/>
    <col min="5890" max="5890" width="11.42578125" style="1768" customWidth="1"/>
    <col min="5891" max="5891" width="1.5703125" style="1768" customWidth="1"/>
    <col min="5892" max="5892" width="7.42578125" style="1768" bestFit="1" customWidth="1"/>
    <col min="5893" max="5893" width="1.5703125" style="1768" customWidth="1"/>
    <col min="5894" max="5894" width="12.5703125" style="1768" customWidth="1"/>
    <col min="5895" max="5895" width="1.5703125" style="1768" customWidth="1"/>
    <col min="5896" max="5896" width="20.5703125" style="1768" customWidth="1"/>
    <col min="5897" max="5897" width="2.5703125" style="1768" customWidth="1"/>
    <col min="5898" max="5898" width="10.5703125" style="1768" customWidth="1"/>
    <col min="5899" max="5899" width="1.5703125" style="1768" customWidth="1"/>
    <col min="5900" max="5900" width="10.5703125" style="1768" customWidth="1"/>
    <col min="5901" max="5901" width="1.5703125" style="1768" customWidth="1"/>
    <col min="5902" max="5902" width="12.5703125" style="1768" customWidth="1"/>
    <col min="5903" max="5903" width="1.5703125" style="1768" customWidth="1"/>
    <col min="5904" max="5904" width="22.5703125" style="1768" customWidth="1"/>
    <col min="5905" max="5905" width="4.5703125" style="1768" customWidth="1"/>
    <col min="5906" max="5919" width="0" style="1768" hidden="1" customWidth="1"/>
    <col min="5920" max="6144" width="9.42578125" style="1768"/>
    <col min="6145" max="6145" width="0" style="1768" hidden="1" customWidth="1"/>
    <col min="6146" max="6146" width="11.42578125" style="1768" customWidth="1"/>
    <col min="6147" max="6147" width="1.5703125" style="1768" customWidth="1"/>
    <col min="6148" max="6148" width="7.42578125" style="1768" bestFit="1" customWidth="1"/>
    <col min="6149" max="6149" width="1.5703125" style="1768" customWidth="1"/>
    <col min="6150" max="6150" width="12.5703125" style="1768" customWidth="1"/>
    <col min="6151" max="6151" width="1.5703125" style="1768" customWidth="1"/>
    <col min="6152" max="6152" width="20.5703125" style="1768" customWidth="1"/>
    <col min="6153" max="6153" width="2.5703125" style="1768" customWidth="1"/>
    <col min="6154" max="6154" width="10.5703125" style="1768" customWidth="1"/>
    <col min="6155" max="6155" width="1.5703125" style="1768" customWidth="1"/>
    <col min="6156" max="6156" width="10.5703125" style="1768" customWidth="1"/>
    <col min="6157" max="6157" width="1.5703125" style="1768" customWidth="1"/>
    <col min="6158" max="6158" width="12.5703125" style="1768" customWidth="1"/>
    <col min="6159" max="6159" width="1.5703125" style="1768" customWidth="1"/>
    <col min="6160" max="6160" width="22.5703125" style="1768" customWidth="1"/>
    <col min="6161" max="6161" width="4.5703125" style="1768" customWidth="1"/>
    <col min="6162" max="6175" width="0" style="1768" hidden="1" customWidth="1"/>
    <col min="6176" max="6400" width="9.42578125" style="1768"/>
    <col min="6401" max="6401" width="0" style="1768" hidden="1" customWidth="1"/>
    <col min="6402" max="6402" width="11.42578125" style="1768" customWidth="1"/>
    <col min="6403" max="6403" width="1.5703125" style="1768" customWidth="1"/>
    <col min="6404" max="6404" width="7.42578125" style="1768" bestFit="1" customWidth="1"/>
    <col min="6405" max="6405" width="1.5703125" style="1768" customWidth="1"/>
    <col min="6406" max="6406" width="12.5703125" style="1768" customWidth="1"/>
    <col min="6407" max="6407" width="1.5703125" style="1768" customWidth="1"/>
    <col min="6408" max="6408" width="20.5703125" style="1768" customWidth="1"/>
    <col min="6409" max="6409" width="2.5703125" style="1768" customWidth="1"/>
    <col min="6410" max="6410" width="10.5703125" style="1768" customWidth="1"/>
    <col min="6411" max="6411" width="1.5703125" style="1768" customWidth="1"/>
    <col min="6412" max="6412" width="10.5703125" style="1768" customWidth="1"/>
    <col min="6413" max="6413" width="1.5703125" style="1768" customWidth="1"/>
    <col min="6414" max="6414" width="12.5703125" style="1768" customWidth="1"/>
    <col min="6415" max="6415" width="1.5703125" style="1768" customWidth="1"/>
    <col min="6416" max="6416" width="22.5703125" style="1768" customWidth="1"/>
    <col min="6417" max="6417" width="4.5703125" style="1768" customWidth="1"/>
    <col min="6418" max="6431" width="0" style="1768" hidden="1" customWidth="1"/>
    <col min="6432" max="6656" width="9.42578125" style="1768"/>
    <col min="6657" max="6657" width="0" style="1768" hidden="1" customWidth="1"/>
    <col min="6658" max="6658" width="11.42578125" style="1768" customWidth="1"/>
    <col min="6659" max="6659" width="1.5703125" style="1768" customWidth="1"/>
    <col min="6660" max="6660" width="7.42578125" style="1768" bestFit="1" customWidth="1"/>
    <col min="6661" max="6661" width="1.5703125" style="1768" customWidth="1"/>
    <col min="6662" max="6662" width="12.5703125" style="1768" customWidth="1"/>
    <col min="6663" max="6663" width="1.5703125" style="1768" customWidth="1"/>
    <col min="6664" max="6664" width="20.5703125" style="1768" customWidth="1"/>
    <col min="6665" max="6665" width="2.5703125" style="1768" customWidth="1"/>
    <col min="6666" max="6666" width="10.5703125" style="1768" customWidth="1"/>
    <col min="6667" max="6667" width="1.5703125" style="1768" customWidth="1"/>
    <col min="6668" max="6668" width="10.5703125" style="1768" customWidth="1"/>
    <col min="6669" max="6669" width="1.5703125" style="1768" customWidth="1"/>
    <col min="6670" max="6670" width="12.5703125" style="1768" customWidth="1"/>
    <col min="6671" max="6671" width="1.5703125" style="1768" customWidth="1"/>
    <col min="6672" max="6672" width="22.5703125" style="1768" customWidth="1"/>
    <col min="6673" max="6673" width="4.5703125" style="1768" customWidth="1"/>
    <col min="6674" max="6687" width="0" style="1768" hidden="1" customWidth="1"/>
    <col min="6688" max="6912" width="9.42578125" style="1768"/>
    <col min="6913" max="6913" width="0" style="1768" hidden="1" customWidth="1"/>
    <col min="6914" max="6914" width="11.42578125" style="1768" customWidth="1"/>
    <col min="6915" max="6915" width="1.5703125" style="1768" customWidth="1"/>
    <col min="6916" max="6916" width="7.42578125" style="1768" bestFit="1" customWidth="1"/>
    <col min="6917" max="6917" width="1.5703125" style="1768" customWidth="1"/>
    <col min="6918" max="6918" width="12.5703125" style="1768" customWidth="1"/>
    <col min="6919" max="6919" width="1.5703125" style="1768" customWidth="1"/>
    <col min="6920" max="6920" width="20.5703125" style="1768" customWidth="1"/>
    <col min="6921" max="6921" width="2.5703125" style="1768" customWidth="1"/>
    <col min="6922" max="6922" width="10.5703125" style="1768" customWidth="1"/>
    <col min="6923" max="6923" width="1.5703125" style="1768" customWidth="1"/>
    <col min="6924" max="6924" width="10.5703125" style="1768" customWidth="1"/>
    <col min="6925" max="6925" width="1.5703125" style="1768" customWidth="1"/>
    <col min="6926" max="6926" width="12.5703125" style="1768" customWidth="1"/>
    <col min="6927" max="6927" width="1.5703125" style="1768" customWidth="1"/>
    <col min="6928" max="6928" width="22.5703125" style="1768" customWidth="1"/>
    <col min="6929" max="6929" width="4.5703125" style="1768" customWidth="1"/>
    <col min="6930" max="6943" width="0" style="1768" hidden="1" customWidth="1"/>
    <col min="6944" max="7168" width="9.42578125" style="1768"/>
    <col min="7169" max="7169" width="0" style="1768" hidden="1" customWidth="1"/>
    <col min="7170" max="7170" width="11.42578125" style="1768" customWidth="1"/>
    <col min="7171" max="7171" width="1.5703125" style="1768" customWidth="1"/>
    <col min="7172" max="7172" width="7.42578125" style="1768" bestFit="1" customWidth="1"/>
    <col min="7173" max="7173" width="1.5703125" style="1768" customWidth="1"/>
    <col min="7174" max="7174" width="12.5703125" style="1768" customWidth="1"/>
    <col min="7175" max="7175" width="1.5703125" style="1768" customWidth="1"/>
    <col min="7176" max="7176" width="20.5703125" style="1768" customWidth="1"/>
    <col min="7177" max="7177" width="2.5703125" style="1768" customWidth="1"/>
    <col min="7178" max="7178" width="10.5703125" style="1768" customWidth="1"/>
    <col min="7179" max="7179" width="1.5703125" style="1768" customWidth="1"/>
    <col min="7180" max="7180" width="10.5703125" style="1768" customWidth="1"/>
    <col min="7181" max="7181" width="1.5703125" style="1768" customWidth="1"/>
    <col min="7182" max="7182" width="12.5703125" style="1768" customWidth="1"/>
    <col min="7183" max="7183" width="1.5703125" style="1768" customWidth="1"/>
    <col min="7184" max="7184" width="22.5703125" style="1768" customWidth="1"/>
    <col min="7185" max="7185" width="4.5703125" style="1768" customWidth="1"/>
    <col min="7186" max="7199" width="0" style="1768" hidden="1" customWidth="1"/>
    <col min="7200" max="7424" width="9.42578125" style="1768"/>
    <col min="7425" max="7425" width="0" style="1768" hidden="1" customWidth="1"/>
    <col min="7426" max="7426" width="11.42578125" style="1768" customWidth="1"/>
    <col min="7427" max="7427" width="1.5703125" style="1768" customWidth="1"/>
    <col min="7428" max="7428" width="7.42578125" style="1768" bestFit="1" customWidth="1"/>
    <col min="7429" max="7429" width="1.5703125" style="1768" customWidth="1"/>
    <col min="7430" max="7430" width="12.5703125" style="1768" customWidth="1"/>
    <col min="7431" max="7431" width="1.5703125" style="1768" customWidth="1"/>
    <col min="7432" max="7432" width="20.5703125" style="1768" customWidth="1"/>
    <col min="7433" max="7433" width="2.5703125" style="1768" customWidth="1"/>
    <col min="7434" max="7434" width="10.5703125" style="1768" customWidth="1"/>
    <col min="7435" max="7435" width="1.5703125" style="1768" customWidth="1"/>
    <col min="7436" max="7436" width="10.5703125" style="1768" customWidth="1"/>
    <col min="7437" max="7437" width="1.5703125" style="1768" customWidth="1"/>
    <col min="7438" max="7438" width="12.5703125" style="1768" customWidth="1"/>
    <col min="7439" max="7439" width="1.5703125" style="1768" customWidth="1"/>
    <col min="7440" max="7440" width="22.5703125" style="1768" customWidth="1"/>
    <col min="7441" max="7441" width="4.5703125" style="1768" customWidth="1"/>
    <col min="7442" max="7455" width="0" style="1768" hidden="1" customWidth="1"/>
    <col min="7456" max="7680" width="9.42578125" style="1768"/>
    <col min="7681" max="7681" width="0" style="1768" hidden="1" customWidth="1"/>
    <col min="7682" max="7682" width="11.42578125" style="1768" customWidth="1"/>
    <col min="7683" max="7683" width="1.5703125" style="1768" customWidth="1"/>
    <col min="7684" max="7684" width="7.42578125" style="1768" bestFit="1" customWidth="1"/>
    <col min="7685" max="7685" width="1.5703125" style="1768" customWidth="1"/>
    <col min="7686" max="7686" width="12.5703125" style="1768" customWidth="1"/>
    <col min="7687" max="7687" width="1.5703125" style="1768" customWidth="1"/>
    <col min="7688" max="7688" width="20.5703125" style="1768" customWidth="1"/>
    <col min="7689" max="7689" width="2.5703125" style="1768" customWidth="1"/>
    <col min="7690" max="7690" width="10.5703125" style="1768" customWidth="1"/>
    <col min="7691" max="7691" width="1.5703125" style="1768" customWidth="1"/>
    <col min="7692" max="7692" width="10.5703125" style="1768" customWidth="1"/>
    <col min="7693" max="7693" width="1.5703125" style="1768" customWidth="1"/>
    <col min="7694" max="7694" width="12.5703125" style="1768" customWidth="1"/>
    <col min="7695" max="7695" width="1.5703125" style="1768" customWidth="1"/>
    <col min="7696" max="7696" width="22.5703125" style="1768" customWidth="1"/>
    <col min="7697" max="7697" width="4.5703125" style="1768" customWidth="1"/>
    <col min="7698" max="7711" width="0" style="1768" hidden="1" customWidth="1"/>
    <col min="7712" max="7936" width="9.42578125" style="1768"/>
    <col min="7937" max="7937" width="0" style="1768" hidden="1" customWidth="1"/>
    <col min="7938" max="7938" width="11.42578125" style="1768" customWidth="1"/>
    <col min="7939" max="7939" width="1.5703125" style="1768" customWidth="1"/>
    <col min="7940" max="7940" width="7.42578125" style="1768" bestFit="1" customWidth="1"/>
    <col min="7941" max="7941" width="1.5703125" style="1768" customWidth="1"/>
    <col min="7942" max="7942" width="12.5703125" style="1768" customWidth="1"/>
    <col min="7943" max="7943" width="1.5703125" style="1768" customWidth="1"/>
    <col min="7944" max="7944" width="20.5703125" style="1768" customWidth="1"/>
    <col min="7945" max="7945" width="2.5703125" style="1768" customWidth="1"/>
    <col min="7946" max="7946" width="10.5703125" style="1768" customWidth="1"/>
    <col min="7947" max="7947" width="1.5703125" style="1768" customWidth="1"/>
    <col min="7948" max="7948" width="10.5703125" style="1768" customWidth="1"/>
    <col min="7949" max="7949" width="1.5703125" style="1768" customWidth="1"/>
    <col min="7950" max="7950" width="12.5703125" style="1768" customWidth="1"/>
    <col min="7951" max="7951" width="1.5703125" style="1768" customWidth="1"/>
    <col min="7952" max="7952" width="22.5703125" style="1768" customWidth="1"/>
    <col min="7953" max="7953" width="4.5703125" style="1768" customWidth="1"/>
    <col min="7954" max="7967" width="0" style="1768" hidden="1" customWidth="1"/>
    <col min="7968" max="8192" width="9.42578125" style="1768"/>
    <col min="8193" max="8193" width="0" style="1768" hidden="1" customWidth="1"/>
    <col min="8194" max="8194" width="11.42578125" style="1768" customWidth="1"/>
    <col min="8195" max="8195" width="1.5703125" style="1768" customWidth="1"/>
    <col min="8196" max="8196" width="7.42578125" style="1768" bestFit="1" customWidth="1"/>
    <col min="8197" max="8197" width="1.5703125" style="1768" customWidth="1"/>
    <col min="8198" max="8198" width="12.5703125" style="1768" customWidth="1"/>
    <col min="8199" max="8199" width="1.5703125" style="1768" customWidth="1"/>
    <col min="8200" max="8200" width="20.5703125" style="1768" customWidth="1"/>
    <col min="8201" max="8201" width="2.5703125" style="1768" customWidth="1"/>
    <col min="8202" max="8202" width="10.5703125" style="1768" customWidth="1"/>
    <col min="8203" max="8203" width="1.5703125" style="1768" customWidth="1"/>
    <col min="8204" max="8204" width="10.5703125" style="1768" customWidth="1"/>
    <col min="8205" max="8205" width="1.5703125" style="1768" customWidth="1"/>
    <col min="8206" max="8206" width="12.5703125" style="1768" customWidth="1"/>
    <col min="8207" max="8207" width="1.5703125" style="1768" customWidth="1"/>
    <col min="8208" max="8208" width="22.5703125" style="1768" customWidth="1"/>
    <col min="8209" max="8209" width="4.5703125" style="1768" customWidth="1"/>
    <col min="8210" max="8223" width="0" style="1768" hidden="1" customWidth="1"/>
    <col min="8224" max="8448" width="9.42578125" style="1768"/>
    <col min="8449" max="8449" width="0" style="1768" hidden="1" customWidth="1"/>
    <col min="8450" max="8450" width="11.42578125" style="1768" customWidth="1"/>
    <col min="8451" max="8451" width="1.5703125" style="1768" customWidth="1"/>
    <col min="8452" max="8452" width="7.42578125" style="1768" bestFit="1" customWidth="1"/>
    <col min="8453" max="8453" width="1.5703125" style="1768" customWidth="1"/>
    <col min="8454" max="8454" width="12.5703125" style="1768" customWidth="1"/>
    <col min="8455" max="8455" width="1.5703125" style="1768" customWidth="1"/>
    <col min="8456" max="8456" width="20.5703125" style="1768" customWidth="1"/>
    <col min="8457" max="8457" width="2.5703125" style="1768" customWidth="1"/>
    <col min="8458" max="8458" width="10.5703125" style="1768" customWidth="1"/>
    <col min="8459" max="8459" width="1.5703125" style="1768" customWidth="1"/>
    <col min="8460" max="8460" width="10.5703125" style="1768" customWidth="1"/>
    <col min="8461" max="8461" width="1.5703125" style="1768" customWidth="1"/>
    <col min="8462" max="8462" width="12.5703125" style="1768" customWidth="1"/>
    <col min="8463" max="8463" width="1.5703125" style="1768" customWidth="1"/>
    <col min="8464" max="8464" width="22.5703125" style="1768" customWidth="1"/>
    <col min="8465" max="8465" width="4.5703125" style="1768" customWidth="1"/>
    <col min="8466" max="8479" width="0" style="1768" hidden="1" customWidth="1"/>
    <col min="8480" max="8704" width="9.42578125" style="1768"/>
    <col min="8705" max="8705" width="0" style="1768" hidden="1" customWidth="1"/>
    <col min="8706" max="8706" width="11.42578125" style="1768" customWidth="1"/>
    <col min="8707" max="8707" width="1.5703125" style="1768" customWidth="1"/>
    <col min="8708" max="8708" width="7.42578125" style="1768" bestFit="1" customWidth="1"/>
    <col min="8709" max="8709" width="1.5703125" style="1768" customWidth="1"/>
    <col min="8710" max="8710" width="12.5703125" style="1768" customWidth="1"/>
    <col min="8711" max="8711" width="1.5703125" style="1768" customWidth="1"/>
    <col min="8712" max="8712" width="20.5703125" style="1768" customWidth="1"/>
    <col min="8713" max="8713" width="2.5703125" style="1768" customWidth="1"/>
    <col min="8714" max="8714" width="10.5703125" style="1768" customWidth="1"/>
    <col min="8715" max="8715" width="1.5703125" style="1768" customWidth="1"/>
    <col min="8716" max="8716" width="10.5703125" style="1768" customWidth="1"/>
    <col min="8717" max="8717" width="1.5703125" style="1768" customWidth="1"/>
    <col min="8718" max="8718" width="12.5703125" style="1768" customWidth="1"/>
    <col min="8719" max="8719" width="1.5703125" style="1768" customWidth="1"/>
    <col min="8720" max="8720" width="22.5703125" style="1768" customWidth="1"/>
    <col min="8721" max="8721" width="4.5703125" style="1768" customWidth="1"/>
    <col min="8722" max="8735" width="0" style="1768" hidden="1" customWidth="1"/>
    <col min="8736" max="8960" width="9.42578125" style="1768"/>
    <col min="8961" max="8961" width="0" style="1768" hidden="1" customWidth="1"/>
    <col min="8962" max="8962" width="11.42578125" style="1768" customWidth="1"/>
    <col min="8963" max="8963" width="1.5703125" style="1768" customWidth="1"/>
    <col min="8964" max="8964" width="7.42578125" style="1768" bestFit="1" customWidth="1"/>
    <col min="8965" max="8965" width="1.5703125" style="1768" customWidth="1"/>
    <col min="8966" max="8966" width="12.5703125" style="1768" customWidth="1"/>
    <col min="8967" max="8967" width="1.5703125" style="1768" customWidth="1"/>
    <col min="8968" max="8968" width="20.5703125" style="1768" customWidth="1"/>
    <col min="8969" max="8969" width="2.5703125" style="1768" customWidth="1"/>
    <col min="8970" max="8970" width="10.5703125" style="1768" customWidth="1"/>
    <col min="8971" max="8971" width="1.5703125" style="1768" customWidth="1"/>
    <col min="8972" max="8972" width="10.5703125" style="1768" customWidth="1"/>
    <col min="8973" max="8973" width="1.5703125" style="1768" customWidth="1"/>
    <col min="8974" max="8974" width="12.5703125" style="1768" customWidth="1"/>
    <col min="8975" max="8975" width="1.5703125" style="1768" customWidth="1"/>
    <col min="8976" max="8976" width="22.5703125" style="1768" customWidth="1"/>
    <col min="8977" max="8977" width="4.5703125" style="1768" customWidth="1"/>
    <col min="8978" max="8991" width="0" style="1768" hidden="1" customWidth="1"/>
    <col min="8992" max="9216" width="9.42578125" style="1768"/>
    <col min="9217" max="9217" width="0" style="1768" hidden="1" customWidth="1"/>
    <col min="9218" max="9218" width="11.42578125" style="1768" customWidth="1"/>
    <col min="9219" max="9219" width="1.5703125" style="1768" customWidth="1"/>
    <col min="9220" max="9220" width="7.42578125" style="1768" bestFit="1" customWidth="1"/>
    <col min="9221" max="9221" width="1.5703125" style="1768" customWidth="1"/>
    <col min="9222" max="9222" width="12.5703125" style="1768" customWidth="1"/>
    <col min="9223" max="9223" width="1.5703125" style="1768" customWidth="1"/>
    <col min="9224" max="9224" width="20.5703125" style="1768" customWidth="1"/>
    <col min="9225" max="9225" width="2.5703125" style="1768" customWidth="1"/>
    <col min="9226" max="9226" width="10.5703125" style="1768" customWidth="1"/>
    <col min="9227" max="9227" width="1.5703125" style="1768" customWidth="1"/>
    <col min="9228" max="9228" width="10.5703125" style="1768" customWidth="1"/>
    <col min="9229" max="9229" width="1.5703125" style="1768" customWidth="1"/>
    <col min="9230" max="9230" width="12.5703125" style="1768" customWidth="1"/>
    <col min="9231" max="9231" width="1.5703125" style="1768" customWidth="1"/>
    <col min="9232" max="9232" width="22.5703125" style="1768" customWidth="1"/>
    <col min="9233" max="9233" width="4.5703125" style="1768" customWidth="1"/>
    <col min="9234" max="9247" width="0" style="1768" hidden="1" customWidth="1"/>
    <col min="9248" max="9472" width="9.42578125" style="1768"/>
    <col min="9473" max="9473" width="0" style="1768" hidden="1" customWidth="1"/>
    <col min="9474" max="9474" width="11.42578125" style="1768" customWidth="1"/>
    <col min="9475" max="9475" width="1.5703125" style="1768" customWidth="1"/>
    <col min="9476" max="9476" width="7.42578125" style="1768" bestFit="1" customWidth="1"/>
    <col min="9477" max="9477" width="1.5703125" style="1768" customWidth="1"/>
    <col min="9478" max="9478" width="12.5703125" style="1768" customWidth="1"/>
    <col min="9479" max="9479" width="1.5703125" style="1768" customWidth="1"/>
    <col min="9480" max="9480" width="20.5703125" style="1768" customWidth="1"/>
    <col min="9481" max="9481" width="2.5703125" style="1768" customWidth="1"/>
    <col min="9482" max="9482" width="10.5703125" style="1768" customWidth="1"/>
    <col min="9483" max="9483" width="1.5703125" style="1768" customWidth="1"/>
    <col min="9484" max="9484" width="10.5703125" style="1768" customWidth="1"/>
    <col min="9485" max="9485" width="1.5703125" style="1768" customWidth="1"/>
    <col min="9486" max="9486" width="12.5703125" style="1768" customWidth="1"/>
    <col min="9487" max="9487" width="1.5703125" style="1768" customWidth="1"/>
    <col min="9488" max="9488" width="22.5703125" style="1768" customWidth="1"/>
    <col min="9489" max="9489" width="4.5703125" style="1768" customWidth="1"/>
    <col min="9490" max="9503" width="0" style="1768" hidden="1" customWidth="1"/>
    <col min="9504" max="9728" width="9.42578125" style="1768"/>
    <col min="9729" max="9729" width="0" style="1768" hidden="1" customWidth="1"/>
    <col min="9730" max="9730" width="11.42578125" style="1768" customWidth="1"/>
    <col min="9731" max="9731" width="1.5703125" style="1768" customWidth="1"/>
    <col min="9732" max="9732" width="7.42578125" style="1768" bestFit="1" customWidth="1"/>
    <col min="9733" max="9733" width="1.5703125" style="1768" customWidth="1"/>
    <col min="9734" max="9734" width="12.5703125" style="1768" customWidth="1"/>
    <col min="9735" max="9735" width="1.5703125" style="1768" customWidth="1"/>
    <col min="9736" max="9736" width="20.5703125" style="1768" customWidth="1"/>
    <col min="9737" max="9737" width="2.5703125" style="1768" customWidth="1"/>
    <col min="9738" max="9738" width="10.5703125" style="1768" customWidth="1"/>
    <col min="9739" max="9739" width="1.5703125" style="1768" customWidth="1"/>
    <col min="9740" max="9740" width="10.5703125" style="1768" customWidth="1"/>
    <col min="9741" max="9741" width="1.5703125" style="1768" customWidth="1"/>
    <col min="9742" max="9742" width="12.5703125" style="1768" customWidth="1"/>
    <col min="9743" max="9743" width="1.5703125" style="1768" customWidth="1"/>
    <col min="9744" max="9744" width="22.5703125" style="1768" customWidth="1"/>
    <col min="9745" max="9745" width="4.5703125" style="1768" customWidth="1"/>
    <col min="9746" max="9759" width="0" style="1768" hidden="1" customWidth="1"/>
    <col min="9760" max="9984" width="9.42578125" style="1768"/>
    <col min="9985" max="9985" width="0" style="1768" hidden="1" customWidth="1"/>
    <col min="9986" max="9986" width="11.42578125" style="1768" customWidth="1"/>
    <col min="9987" max="9987" width="1.5703125" style="1768" customWidth="1"/>
    <col min="9988" max="9988" width="7.42578125" style="1768" bestFit="1" customWidth="1"/>
    <col min="9989" max="9989" width="1.5703125" style="1768" customWidth="1"/>
    <col min="9990" max="9990" width="12.5703125" style="1768" customWidth="1"/>
    <col min="9991" max="9991" width="1.5703125" style="1768" customWidth="1"/>
    <col min="9992" max="9992" width="20.5703125" style="1768" customWidth="1"/>
    <col min="9993" max="9993" width="2.5703125" style="1768" customWidth="1"/>
    <col min="9994" max="9994" width="10.5703125" style="1768" customWidth="1"/>
    <col min="9995" max="9995" width="1.5703125" style="1768" customWidth="1"/>
    <col min="9996" max="9996" width="10.5703125" style="1768" customWidth="1"/>
    <col min="9997" max="9997" width="1.5703125" style="1768" customWidth="1"/>
    <col min="9998" max="9998" width="12.5703125" style="1768" customWidth="1"/>
    <col min="9999" max="9999" width="1.5703125" style="1768" customWidth="1"/>
    <col min="10000" max="10000" width="22.5703125" style="1768" customWidth="1"/>
    <col min="10001" max="10001" width="4.5703125" style="1768" customWidth="1"/>
    <col min="10002" max="10015" width="0" style="1768" hidden="1" customWidth="1"/>
    <col min="10016" max="10240" width="9.42578125" style="1768"/>
    <col min="10241" max="10241" width="0" style="1768" hidden="1" customWidth="1"/>
    <col min="10242" max="10242" width="11.42578125" style="1768" customWidth="1"/>
    <col min="10243" max="10243" width="1.5703125" style="1768" customWidth="1"/>
    <col min="10244" max="10244" width="7.42578125" style="1768" bestFit="1" customWidth="1"/>
    <col min="10245" max="10245" width="1.5703125" style="1768" customWidth="1"/>
    <col min="10246" max="10246" width="12.5703125" style="1768" customWidth="1"/>
    <col min="10247" max="10247" width="1.5703125" style="1768" customWidth="1"/>
    <col min="10248" max="10248" width="20.5703125" style="1768" customWidth="1"/>
    <col min="10249" max="10249" width="2.5703125" style="1768" customWidth="1"/>
    <col min="10250" max="10250" width="10.5703125" style="1768" customWidth="1"/>
    <col min="10251" max="10251" width="1.5703125" style="1768" customWidth="1"/>
    <col min="10252" max="10252" width="10.5703125" style="1768" customWidth="1"/>
    <col min="10253" max="10253" width="1.5703125" style="1768" customWidth="1"/>
    <col min="10254" max="10254" width="12.5703125" style="1768" customWidth="1"/>
    <col min="10255" max="10255" width="1.5703125" style="1768" customWidth="1"/>
    <col min="10256" max="10256" width="22.5703125" style="1768" customWidth="1"/>
    <col min="10257" max="10257" width="4.5703125" style="1768" customWidth="1"/>
    <col min="10258" max="10271" width="0" style="1768" hidden="1" customWidth="1"/>
    <col min="10272" max="10496" width="9.42578125" style="1768"/>
    <col min="10497" max="10497" width="0" style="1768" hidden="1" customWidth="1"/>
    <col min="10498" max="10498" width="11.42578125" style="1768" customWidth="1"/>
    <col min="10499" max="10499" width="1.5703125" style="1768" customWidth="1"/>
    <col min="10500" max="10500" width="7.42578125" style="1768" bestFit="1" customWidth="1"/>
    <col min="10501" max="10501" width="1.5703125" style="1768" customWidth="1"/>
    <col min="10502" max="10502" width="12.5703125" style="1768" customWidth="1"/>
    <col min="10503" max="10503" width="1.5703125" style="1768" customWidth="1"/>
    <col min="10504" max="10504" width="20.5703125" style="1768" customWidth="1"/>
    <col min="10505" max="10505" width="2.5703125" style="1768" customWidth="1"/>
    <col min="10506" max="10506" width="10.5703125" style="1768" customWidth="1"/>
    <col min="10507" max="10507" width="1.5703125" style="1768" customWidth="1"/>
    <col min="10508" max="10508" width="10.5703125" style="1768" customWidth="1"/>
    <col min="10509" max="10509" width="1.5703125" style="1768" customWidth="1"/>
    <col min="10510" max="10510" width="12.5703125" style="1768" customWidth="1"/>
    <col min="10511" max="10511" width="1.5703125" style="1768" customWidth="1"/>
    <col min="10512" max="10512" width="22.5703125" style="1768" customWidth="1"/>
    <col min="10513" max="10513" width="4.5703125" style="1768" customWidth="1"/>
    <col min="10514" max="10527" width="0" style="1768" hidden="1" customWidth="1"/>
    <col min="10528" max="10752" width="9.42578125" style="1768"/>
    <col min="10753" max="10753" width="0" style="1768" hidden="1" customWidth="1"/>
    <col min="10754" max="10754" width="11.42578125" style="1768" customWidth="1"/>
    <col min="10755" max="10755" width="1.5703125" style="1768" customWidth="1"/>
    <col min="10756" max="10756" width="7.42578125" style="1768" bestFit="1" customWidth="1"/>
    <col min="10757" max="10757" width="1.5703125" style="1768" customWidth="1"/>
    <col min="10758" max="10758" width="12.5703125" style="1768" customWidth="1"/>
    <col min="10759" max="10759" width="1.5703125" style="1768" customWidth="1"/>
    <col min="10760" max="10760" width="20.5703125" style="1768" customWidth="1"/>
    <col min="10761" max="10761" width="2.5703125" style="1768" customWidth="1"/>
    <col min="10762" max="10762" width="10.5703125" style="1768" customWidth="1"/>
    <col min="10763" max="10763" width="1.5703125" style="1768" customWidth="1"/>
    <col min="10764" max="10764" width="10.5703125" style="1768" customWidth="1"/>
    <col min="10765" max="10765" width="1.5703125" style="1768" customWidth="1"/>
    <col min="10766" max="10766" width="12.5703125" style="1768" customWidth="1"/>
    <col min="10767" max="10767" width="1.5703125" style="1768" customWidth="1"/>
    <col min="10768" max="10768" width="22.5703125" style="1768" customWidth="1"/>
    <col min="10769" max="10769" width="4.5703125" style="1768" customWidth="1"/>
    <col min="10770" max="10783" width="0" style="1768" hidden="1" customWidth="1"/>
    <col min="10784" max="11008" width="9.42578125" style="1768"/>
    <col min="11009" max="11009" width="0" style="1768" hidden="1" customWidth="1"/>
    <col min="11010" max="11010" width="11.42578125" style="1768" customWidth="1"/>
    <col min="11011" max="11011" width="1.5703125" style="1768" customWidth="1"/>
    <col min="11012" max="11012" width="7.42578125" style="1768" bestFit="1" customWidth="1"/>
    <col min="11013" max="11013" width="1.5703125" style="1768" customWidth="1"/>
    <col min="11014" max="11014" width="12.5703125" style="1768" customWidth="1"/>
    <col min="11015" max="11015" width="1.5703125" style="1768" customWidth="1"/>
    <col min="11016" max="11016" width="20.5703125" style="1768" customWidth="1"/>
    <col min="11017" max="11017" width="2.5703125" style="1768" customWidth="1"/>
    <col min="11018" max="11018" width="10.5703125" style="1768" customWidth="1"/>
    <col min="11019" max="11019" width="1.5703125" style="1768" customWidth="1"/>
    <col min="11020" max="11020" width="10.5703125" style="1768" customWidth="1"/>
    <col min="11021" max="11021" width="1.5703125" style="1768" customWidth="1"/>
    <col min="11022" max="11022" width="12.5703125" style="1768" customWidth="1"/>
    <col min="11023" max="11023" width="1.5703125" style="1768" customWidth="1"/>
    <col min="11024" max="11024" width="22.5703125" style="1768" customWidth="1"/>
    <col min="11025" max="11025" width="4.5703125" style="1768" customWidth="1"/>
    <col min="11026" max="11039" width="0" style="1768" hidden="1" customWidth="1"/>
    <col min="11040" max="11264" width="9.42578125" style="1768"/>
    <col min="11265" max="11265" width="0" style="1768" hidden="1" customWidth="1"/>
    <col min="11266" max="11266" width="11.42578125" style="1768" customWidth="1"/>
    <col min="11267" max="11267" width="1.5703125" style="1768" customWidth="1"/>
    <col min="11268" max="11268" width="7.42578125" style="1768" bestFit="1" customWidth="1"/>
    <col min="11269" max="11269" width="1.5703125" style="1768" customWidth="1"/>
    <col min="11270" max="11270" width="12.5703125" style="1768" customWidth="1"/>
    <col min="11271" max="11271" width="1.5703125" style="1768" customWidth="1"/>
    <col min="11272" max="11272" width="20.5703125" style="1768" customWidth="1"/>
    <col min="11273" max="11273" width="2.5703125" style="1768" customWidth="1"/>
    <col min="11274" max="11274" width="10.5703125" style="1768" customWidth="1"/>
    <col min="11275" max="11275" width="1.5703125" style="1768" customWidth="1"/>
    <col min="11276" max="11276" width="10.5703125" style="1768" customWidth="1"/>
    <col min="11277" max="11277" width="1.5703125" style="1768" customWidth="1"/>
    <col min="11278" max="11278" width="12.5703125" style="1768" customWidth="1"/>
    <col min="11279" max="11279" width="1.5703125" style="1768" customWidth="1"/>
    <col min="11280" max="11280" width="22.5703125" style="1768" customWidth="1"/>
    <col min="11281" max="11281" width="4.5703125" style="1768" customWidth="1"/>
    <col min="11282" max="11295" width="0" style="1768" hidden="1" customWidth="1"/>
    <col min="11296" max="11520" width="9.42578125" style="1768"/>
    <col min="11521" max="11521" width="0" style="1768" hidden="1" customWidth="1"/>
    <col min="11522" max="11522" width="11.42578125" style="1768" customWidth="1"/>
    <col min="11523" max="11523" width="1.5703125" style="1768" customWidth="1"/>
    <col min="11524" max="11524" width="7.42578125" style="1768" bestFit="1" customWidth="1"/>
    <col min="11525" max="11525" width="1.5703125" style="1768" customWidth="1"/>
    <col min="11526" max="11526" width="12.5703125" style="1768" customWidth="1"/>
    <col min="11527" max="11527" width="1.5703125" style="1768" customWidth="1"/>
    <col min="11528" max="11528" width="20.5703125" style="1768" customWidth="1"/>
    <col min="11529" max="11529" width="2.5703125" style="1768" customWidth="1"/>
    <col min="11530" max="11530" width="10.5703125" style="1768" customWidth="1"/>
    <col min="11531" max="11531" width="1.5703125" style="1768" customWidth="1"/>
    <col min="11532" max="11532" width="10.5703125" style="1768" customWidth="1"/>
    <col min="11533" max="11533" width="1.5703125" style="1768" customWidth="1"/>
    <col min="11534" max="11534" width="12.5703125" style="1768" customWidth="1"/>
    <col min="11535" max="11535" width="1.5703125" style="1768" customWidth="1"/>
    <col min="11536" max="11536" width="22.5703125" style="1768" customWidth="1"/>
    <col min="11537" max="11537" width="4.5703125" style="1768" customWidth="1"/>
    <col min="11538" max="11551" width="0" style="1768" hidden="1" customWidth="1"/>
    <col min="11552" max="11776" width="9.42578125" style="1768"/>
    <col min="11777" max="11777" width="0" style="1768" hidden="1" customWidth="1"/>
    <col min="11778" max="11778" width="11.42578125" style="1768" customWidth="1"/>
    <col min="11779" max="11779" width="1.5703125" style="1768" customWidth="1"/>
    <col min="11780" max="11780" width="7.42578125" style="1768" bestFit="1" customWidth="1"/>
    <col min="11781" max="11781" width="1.5703125" style="1768" customWidth="1"/>
    <col min="11782" max="11782" width="12.5703125" style="1768" customWidth="1"/>
    <col min="11783" max="11783" width="1.5703125" style="1768" customWidth="1"/>
    <col min="11784" max="11784" width="20.5703125" style="1768" customWidth="1"/>
    <col min="11785" max="11785" width="2.5703125" style="1768" customWidth="1"/>
    <col min="11786" max="11786" width="10.5703125" style="1768" customWidth="1"/>
    <col min="11787" max="11787" width="1.5703125" style="1768" customWidth="1"/>
    <col min="11788" max="11788" width="10.5703125" style="1768" customWidth="1"/>
    <col min="11789" max="11789" width="1.5703125" style="1768" customWidth="1"/>
    <col min="11790" max="11790" width="12.5703125" style="1768" customWidth="1"/>
    <col min="11791" max="11791" width="1.5703125" style="1768" customWidth="1"/>
    <col min="11792" max="11792" width="22.5703125" style="1768" customWidth="1"/>
    <col min="11793" max="11793" width="4.5703125" style="1768" customWidth="1"/>
    <col min="11794" max="11807" width="0" style="1768" hidden="1" customWidth="1"/>
    <col min="11808" max="12032" width="9.42578125" style="1768"/>
    <col min="12033" max="12033" width="0" style="1768" hidden="1" customWidth="1"/>
    <col min="12034" max="12034" width="11.42578125" style="1768" customWidth="1"/>
    <col min="12035" max="12035" width="1.5703125" style="1768" customWidth="1"/>
    <col min="12036" max="12036" width="7.42578125" style="1768" bestFit="1" customWidth="1"/>
    <col min="12037" max="12037" width="1.5703125" style="1768" customWidth="1"/>
    <col min="12038" max="12038" width="12.5703125" style="1768" customWidth="1"/>
    <col min="12039" max="12039" width="1.5703125" style="1768" customWidth="1"/>
    <col min="12040" max="12040" width="20.5703125" style="1768" customWidth="1"/>
    <col min="12041" max="12041" width="2.5703125" style="1768" customWidth="1"/>
    <col min="12042" max="12042" width="10.5703125" style="1768" customWidth="1"/>
    <col min="12043" max="12043" width="1.5703125" style="1768" customWidth="1"/>
    <col min="12044" max="12044" width="10.5703125" style="1768" customWidth="1"/>
    <col min="12045" max="12045" width="1.5703125" style="1768" customWidth="1"/>
    <col min="12046" max="12046" width="12.5703125" style="1768" customWidth="1"/>
    <col min="12047" max="12047" width="1.5703125" style="1768" customWidth="1"/>
    <col min="12048" max="12048" width="22.5703125" style="1768" customWidth="1"/>
    <col min="12049" max="12049" width="4.5703125" style="1768" customWidth="1"/>
    <col min="12050" max="12063" width="0" style="1768" hidden="1" customWidth="1"/>
    <col min="12064" max="12288" width="9.42578125" style="1768"/>
    <col min="12289" max="12289" width="0" style="1768" hidden="1" customWidth="1"/>
    <col min="12290" max="12290" width="11.42578125" style="1768" customWidth="1"/>
    <col min="12291" max="12291" width="1.5703125" style="1768" customWidth="1"/>
    <col min="12292" max="12292" width="7.42578125" style="1768" bestFit="1" customWidth="1"/>
    <col min="12293" max="12293" width="1.5703125" style="1768" customWidth="1"/>
    <col min="12294" max="12294" width="12.5703125" style="1768" customWidth="1"/>
    <col min="12295" max="12295" width="1.5703125" style="1768" customWidth="1"/>
    <col min="12296" max="12296" width="20.5703125" style="1768" customWidth="1"/>
    <col min="12297" max="12297" width="2.5703125" style="1768" customWidth="1"/>
    <col min="12298" max="12298" width="10.5703125" style="1768" customWidth="1"/>
    <col min="12299" max="12299" width="1.5703125" style="1768" customWidth="1"/>
    <col min="12300" max="12300" width="10.5703125" style="1768" customWidth="1"/>
    <col min="12301" max="12301" width="1.5703125" style="1768" customWidth="1"/>
    <col min="12302" max="12302" width="12.5703125" style="1768" customWidth="1"/>
    <col min="12303" max="12303" width="1.5703125" style="1768" customWidth="1"/>
    <col min="12304" max="12304" width="22.5703125" style="1768" customWidth="1"/>
    <col min="12305" max="12305" width="4.5703125" style="1768" customWidth="1"/>
    <col min="12306" max="12319" width="0" style="1768" hidden="1" customWidth="1"/>
    <col min="12320" max="12544" width="9.42578125" style="1768"/>
    <col min="12545" max="12545" width="0" style="1768" hidden="1" customWidth="1"/>
    <col min="12546" max="12546" width="11.42578125" style="1768" customWidth="1"/>
    <col min="12547" max="12547" width="1.5703125" style="1768" customWidth="1"/>
    <col min="12548" max="12548" width="7.42578125" style="1768" bestFit="1" customWidth="1"/>
    <col min="12549" max="12549" width="1.5703125" style="1768" customWidth="1"/>
    <col min="12550" max="12550" width="12.5703125" style="1768" customWidth="1"/>
    <col min="12551" max="12551" width="1.5703125" style="1768" customWidth="1"/>
    <col min="12552" max="12552" width="20.5703125" style="1768" customWidth="1"/>
    <col min="12553" max="12553" width="2.5703125" style="1768" customWidth="1"/>
    <col min="12554" max="12554" width="10.5703125" style="1768" customWidth="1"/>
    <col min="12555" max="12555" width="1.5703125" style="1768" customWidth="1"/>
    <col min="12556" max="12556" width="10.5703125" style="1768" customWidth="1"/>
    <col min="12557" max="12557" width="1.5703125" style="1768" customWidth="1"/>
    <col min="12558" max="12558" width="12.5703125" style="1768" customWidth="1"/>
    <col min="12559" max="12559" width="1.5703125" style="1768" customWidth="1"/>
    <col min="12560" max="12560" width="22.5703125" style="1768" customWidth="1"/>
    <col min="12561" max="12561" width="4.5703125" style="1768" customWidth="1"/>
    <col min="12562" max="12575" width="0" style="1768" hidden="1" customWidth="1"/>
    <col min="12576" max="12800" width="9.42578125" style="1768"/>
    <col min="12801" max="12801" width="0" style="1768" hidden="1" customWidth="1"/>
    <col min="12802" max="12802" width="11.42578125" style="1768" customWidth="1"/>
    <col min="12803" max="12803" width="1.5703125" style="1768" customWidth="1"/>
    <col min="12804" max="12804" width="7.42578125" style="1768" bestFit="1" customWidth="1"/>
    <col min="12805" max="12805" width="1.5703125" style="1768" customWidth="1"/>
    <col min="12806" max="12806" width="12.5703125" style="1768" customWidth="1"/>
    <col min="12807" max="12807" width="1.5703125" style="1768" customWidth="1"/>
    <col min="12808" max="12808" width="20.5703125" style="1768" customWidth="1"/>
    <col min="12809" max="12809" width="2.5703125" style="1768" customWidth="1"/>
    <col min="12810" max="12810" width="10.5703125" style="1768" customWidth="1"/>
    <col min="12811" max="12811" width="1.5703125" style="1768" customWidth="1"/>
    <col min="12812" max="12812" width="10.5703125" style="1768" customWidth="1"/>
    <col min="12813" max="12813" width="1.5703125" style="1768" customWidth="1"/>
    <col min="12814" max="12814" width="12.5703125" style="1768" customWidth="1"/>
    <col min="12815" max="12815" width="1.5703125" style="1768" customWidth="1"/>
    <col min="12816" max="12816" width="22.5703125" style="1768" customWidth="1"/>
    <col min="12817" max="12817" width="4.5703125" style="1768" customWidth="1"/>
    <col min="12818" max="12831" width="0" style="1768" hidden="1" customWidth="1"/>
    <col min="12832" max="13056" width="9.42578125" style="1768"/>
    <col min="13057" max="13057" width="0" style="1768" hidden="1" customWidth="1"/>
    <col min="13058" max="13058" width="11.42578125" style="1768" customWidth="1"/>
    <col min="13059" max="13059" width="1.5703125" style="1768" customWidth="1"/>
    <col min="13060" max="13060" width="7.42578125" style="1768" bestFit="1" customWidth="1"/>
    <col min="13061" max="13061" width="1.5703125" style="1768" customWidth="1"/>
    <col min="13062" max="13062" width="12.5703125" style="1768" customWidth="1"/>
    <col min="13063" max="13063" width="1.5703125" style="1768" customWidth="1"/>
    <col min="13064" max="13064" width="20.5703125" style="1768" customWidth="1"/>
    <col min="13065" max="13065" width="2.5703125" style="1768" customWidth="1"/>
    <col min="13066" max="13066" width="10.5703125" style="1768" customWidth="1"/>
    <col min="13067" max="13067" width="1.5703125" style="1768" customWidth="1"/>
    <col min="13068" max="13068" width="10.5703125" style="1768" customWidth="1"/>
    <col min="13069" max="13069" width="1.5703125" style="1768" customWidth="1"/>
    <col min="13070" max="13070" width="12.5703125" style="1768" customWidth="1"/>
    <col min="13071" max="13071" width="1.5703125" style="1768" customWidth="1"/>
    <col min="13072" max="13072" width="22.5703125" style="1768" customWidth="1"/>
    <col min="13073" max="13073" width="4.5703125" style="1768" customWidth="1"/>
    <col min="13074" max="13087" width="0" style="1768" hidden="1" customWidth="1"/>
    <col min="13088" max="13312" width="9.42578125" style="1768"/>
    <col min="13313" max="13313" width="0" style="1768" hidden="1" customWidth="1"/>
    <col min="13314" max="13314" width="11.42578125" style="1768" customWidth="1"/>
    <col min="13315" max="13315" width="1.5703125" style="1768" customWidth="1"/>
    <col min="13316" max="13316" width="7.42578125" style="1768" bestFit="1" customWidth="1"/>
    <col min="13317" max="13317" width="1.5703125" style="1768" customWidth="1"/>
    <col min="13318" max="13318" width="12.5703125" style="1768" customWidth="1"/>
    <col min="13319" max="13319" width="1.5703125" style="1768" customWidth="1"/>
    <col min="13320" max="13320" width="20.5703125" style="1768" customWidth="1"/>
    <col min="13321" max="13321" width="2.5703125" style="1768" customWidth="1"/>
    <col min="13322" max="13322" width="10.5703125" style="1768" customWidth="1"/>
    <col min="13323" max="13323" width="1.5703125" style="1768" customWidth="1"/>
    <col min="13324" max="13324" width="10.5703125" style="1768" customWidth="1"/>
    <col min="13325" max="13325" width="1.5703125" style="1768" customWidth="1"/>
    <col min="13326" max="13326" width="12.5703125" style="1768" customWidth="1"/>
    <col min="13327" max="13327" width="1.5703125" style="1768" customWidth="1"/>
    <col min="13328" max="13328" width="22.5703125" style="1768" customWidth="1"/>
    <col min="13329" max="13329" width="4.5703125" style="1768" customWidth="1"/>
    <col min="13330" max="13343" width="0" style="1768" hidden="1" customWidth="1"/>
    <col min="13344" max="13568" width="9.42578125" style="1768"/>
    <col min="13569" max="13569" width="0" style="1768" hidden="1" customWidth="1"/>
    <col min="13570" max="13570" width="11.42578125" style="1768" customWidth="1"/>
    <col min="13571" max="13571" width="1.5703125" style="1768" customWidth="1"/>
    <col min="13572" max="13572" width="7.42578125" style="1768" bestFit="1" customWidth="1"/>
    <col min="13573" max="13573" width="1.5703125" style="1768" customWidth="1"/>
    <col min="13574" max="13574" width="12.5703125" style="1768" customWidth="1"/>
    <col min="13575" max="13575" width="1.5703125" style="1768" customWidth="1"/>
    <col min="13576" max="13576" width="20.5703125" style="1768" customWidth="1"/>
    <col min="13577" max="13577" width="2.5703125" style="1768" customWidth="1"/>
    <col min="13578" max="13578" width="10.5703125" style="1768" customWidth="1"/>
    <col min="13579" max="13579" width="1.5703125" style="1768" customWidth="1"/>
    <col min="13580" max="13580" width="10.5703125" style="1768" customWidth="1"/>
    <col min="13581" max="13581" width="1.5703125" style="1768" customWidth="1"/>
    <col min="13582" max="13582" width="12.5703125" style="1768" customWidth="1"/>
    <col min="13583" max="13583" width="1.5703125" style="1768" customWidth="1"/>
    <col min="13584" max="13584" width="22.5703125" style="1768" customWidth="1"/>
    <col min="13585" max="13585" width="4.5703125" style="1768" customWidth="1"/>
    <col min="13586" max="13599" width="0" style="1768" hidden="1" customWidth="1"/>
    <col min="13600" max="13824" width="9.42578125" style="1768"/>
    <col min="13825" max="13825" width="0" style="1768" hidden="1" customWidth="1"/>
    <col min="13826" max="13826" width="11.42578125" style="1768" customWidth="1"/>
    <col min="13827" max="13827" width="1.5703125" style="1768" customWidth="1"/>
    <col min="13828" max="13828" width="7.42578125" style="1768" bestFit="1" customWidth="1"/>
    <col min="13829" max="13829" width="1.5703125" style="1768" customWidth="1"/>
    <col min="13830" max="13830" width="12.5703125" style="1768" customWidth="1"/>
    <col min="13831" max="13831" width="1.5703125" style="1768" customWidth="1"/>
    <col min="13832" max="13832" width="20.5703125" style="1768" customWidth="1"/>
    <col min="13833" max="13833" width="2.5703125" style="1768" customWidth="1"/>
    <col min="13834" max="13834" width="10.5703125" style="1768" customWidth="1"/>
    <col min="13835" max="13835" width="1.5703125" style="1768" customWidth="1"/>
    <col min="13836" max="13836" width="10.5703125" style="1768" customWidth="1"/>
    <col min="13837" max="13837" width="1.5703125" style="1768" customWidth="1"/>
    <col min="13838" max="13838" width="12.5703125" style="1768" customWidth="1"/>
    <col min="13839" max="13839" width="1.5703125" style="1768" customWidth="1"/>
    <col min="13840" max="13840" width="22.5703125" style="1768" customWidth="1"/>
    <col min="13841" max="13841" width="4.5703125" style="1768" customWidth="1"/>
    <col min="13842" max="13855" width="0" style="1768" hidden="1" customWidth="1"/>
    <col min="13856" max="14080" width="9.42578125" style="1768"/>
    <col min="14081" max="14081" width="0" style="1768" hidden="1" customWidth="1"/>
    <col min="14082" max="14082" width="11.42578125" style="1768" customWidth="1"/>
    <col min="14083" max="14083" width="1.5703125" style="1768" customWidth="1"/>
    <col min="14084" max="14084" width="7.42578125" style="1768" bestFit="1" customWidth="1"/>
    <col min="14085" max="14085" width="1.5703125" style="1768" customWidth="1"/>
    <col min="14086" max="14086" width="12.5703125" style="1768" customWidth="1"/>
    <col min="14087" max="14087" width="1.5703125" style="1768" customWidth="1"/>
    <col min="14088" max="14088" width="20.5703125" style="1768" customWidth="1"/>
    <col min="14089" max="14089" width="2.5703125" style="1768" customWidth="1"/>
    <col min="14090" max="14090" width="10.5703125" style="1768" customWidth="1"/>
    <col min="14091" max="14091" width="1.5703125" style="1768" customWidth="1"/>
    <col min="14092" max="14092" width="10.5703125" style="1768" customWidth="1"/>
    <col min="14093" max="14093" width="1.5703125" style="1768" customWidth="1"/>
    <col min="14094" max="14094" width="12.5703125" style="1768" customWidth="1"/>
    <col min="14095" max="14095" width="1.5703125" style="1768" customWidth="1"/>
    <col min="14096" max="14096" width="22.5703125" style="1768" customWidth="1"/>
    <col min="14097" max="14097" width="4.5703125" style="1768" customWidth="1"/>
    <col min="14098" max="14111" width="0" style="1768" hidden="1" customWidth="1"/>
    <col min="14112" max="14336" width="9.42578125" style="1768"/>
    <col min="14337" max="14337" width="0" style="1768" hidden="1" customWidth="1"/>
    <col min="14338" max="14338" width="11.42578125" style="1768" customWidth="1"/>
    <col min="14339" max="14339" width="1.5703125" style="1768" customWidth="1"/>
    <col min="14340" max="14340" width="7.42578125" style="1768" bestFit="1" customWidth="1"/>
    <col min="14341" max="14341" width="1.5703125" style="1768" customWidth="1"/>
    <col min="14342" max="14342" width="12.5703125" style="1768" customWidth="1"/>
    <col min="14343" max="14343" width="1.5703125" style="1768" customWidth="1"/>
    <col min="14344" max="14344" width="20.5703125" style="1768" customWidth="1"/>
    <col min="14345" max="14345" width="2.5703125" style="1768" customWidth="1"/>
    <col min="14346" max="14346" width="10.5703125" style="1768" customWidth="1"/>
    <col min="14347" max="14347" width="1.5703125" style="1768" customWidth="1"/>
    <col min="14348" max="14348" width="10.5703125" style="1768" customWidth="1"/>
    <col min="14349" max="14349" width="1.5703125" style="1768" customWidth="1"/>
    <col min="14350" max="14350" width="12.5703125" style="1768" customWidth="1"/>
    <col min="14351" max="14351" width="1.5703125" style="1768" customWidth="1"/>
    <col min="14352" max="14352" width="22.5703125" style="1768" customWidth="1"/>
    <col min="14353" max="14353" width="4.5703125" style="1768" customWidth="1"/>
    <col min="14354" max="14367" width="0" style="1768" hidden="1" customWidth="1"/>
    <col min="14368" max="14592" width="9.42578125" style="1768"/>
    <col min="14593" max="14593" width="0" style="1768" hidden="1" customWidth="1"/>
    <col min="14594" max="14594" width="11.42578125" style="1768" customWidth="1"/>
    <col min="14595" max="14595" width="1.5703125" style="1768" customWidth="1"/>
    <col min="14596" max="14596" width="7.42578125" style="1768" bestFit="1" customWidth="1"/>
    <col min="14597" max="14597" width="1.5703125" style="1768" customWidth="1"/>
    <col min="14598" max="14598" width="12.5703125" style="1768" customWidth="1"/>
    <col min="14599" max="14599" width="1.5703125" style="1768" customWidth="1"/>
    <col min="14600" max="14600" width="20.5703125" style="1768" customWidth="1"/>
    <col min="14601" max="14601" width="2.5703125" style="1768" customWidth="1"/>
    <col min="14602" max="14602" width="10.5703125" style="1768" customWidth="1"/>
    <col min="14603" max="14603" width="1.5703125" style="1768" customWidth="1"/>
    <col min="14604" max="14604" width="10.5703125" style="1768" customWidth="1"/>
    <col min="14605" max="14605" width="1.5703125" style="1768" customWidth="1"/>
    <col min="14606" max="14606" width="12.5703125" style="1768" customWidth="1"/>
    <col min="14607" max="14607" width="1.5703125" style="1768" customWidth="1"/>
    <col min="14608" max="14608" width="22.5703125" style="1768" customWidth="1"/>
    <col min="14609" max="14609" width="4.5703125" style="1768" customWidth="1"/>
    <col min="14610" max="14623" width="0" style="1768" hidden="1" customWidth="1"/>
    <col min="14624" max="14848" width="9.42578125" style="1768"/>
    <col min="14849" max="14849" width="0" style="1768" hidden="1" customWidth="1"/>
    <col min="14850" max="14850" width="11.42578125" style="1768" customWidth="1"/>
    <col min="14851" max="14851" width="1.5703125" style="1768" customWidth="1"/>
    <col min="14852" max="14852" width="7.42578125" style="1768" bestFit="1" customWidth="1"/>
    <col min="14853" max="14853" width="1.5703125" style="1768" customWidth="1"/>
    <col min="14854" max="14854" width="12.5703125" style="1768" customWidth="1"/>
    <col min="14855" max="14855" width="1.5703125" style="1768" customWidth="1"/>
    <col min="14856" max="14856" width="20.5703125" style="1768" customWidth="1"/>
    <col min="14857" max="14857" width="2.5703125" style="1768" customWidth="1"/>
    <col min="14858" max="14858" width="10.5703125" style="1768" customWidth="1"/>
    <col min="14859" max="14859" width="1.5703125" style="1768" customWidth="1"/>
    <col min="14860" max="14860" width="10.5703125" style="1768" customWidth="1"/>
    <col min="14861" max="14861" width="1.5703125" style="1768" customWidth="1"/>
    <col min="14862" max="14862" width="12.5703125" style="1768" customWidth="1"/>
    <col min="14863" max="14863" width="1.5703125" style="1768" customWidth="1"/>
    <col min="14864" max="14864" width="22.5703125" style="1768" customWidth="1"/>
    <col min="14865" max="14865" width="4.5703125" style="1768" customWidth="1"/>
    <col min="14866" max="14879" width="0" style="1768" hidden="1" customWidth="1"/>
    <col min="14880" max="15104" width="9.42578125" style="1768"/>
    <col min="15105" max="15105" width="0" style="1768" hidden="1" customWidth="1"/>
    <col min="15106" max="15106" width="11.42578125" style="1768" customWidth="1"/>
    <col min="15107" max="15107" width="1.5703125" style="1768" customWidth="1"/>
    <col min="15108" max="15108" width="7.42578125" style="1768" bestFit="1" customWidth="1"/>
    <col min="15109" max="15109" width="1.5703125" style="1768" customWidth="1"/>
    <col min="15110" max="15110" width="12.5703125" style="1768" customWidth="1"/>
    <col min="15111" max="15111" width="1.5703125" style="1768" customWidth="1"/>
    <col min="15112" max="15112" width="20.5703125" style="1768" customWidth="1"/>
    <col min="15113" max="15113" width="2.5703125" style="1768" customWidth="1"/>
    <col min="15114" max="15114" width="10.5703125" style="1768" customWidth="1"/>
    <col min="15115" max="15115" width="1.5703125" style="1768" customWidth="1"/>
    <col min="15116" max="15116" width="10.5703125" style="1768" customWidth="1"/>
    <col min="15117" max="15117" width="1.5703125" style="1768" customWidth="1"/>
    <col min="15118" max="15118" width="12.5703125" style="1768" customWidth="1"/>
    <col min="15119" max="15119" width="1.5703125" style="1768" customWidth="1"/>
    <col min="15120" max="15120" width="22.5703125" style="1768" customWidth="1"/>
    <col min="15121" max="15121" width="4.5703125" style="1768" customWidth="1"/>
    <col min="15122" max="15135" width="0" style="1768" hidden="1" customWidth="1"/>
    <col min="15136" max="15360" width="9.42578125" style="1768"/>
    <col min="15361" max="15361" width="0" style="1768" hidden="1" customWidth="1"/>
    <col min="15362" max="15362" width="11.42578125" style="1768" customWidth="1"/>
    <col min="15363" max="15363" width="1.5703125" style="1768" customWidth="1"/>
    <col min="15364" max="15364" width="7.42578125" style="1768" bestFit="1" customWidth="1"/>
    <col min="15365" max="15365" width="1.5703125" style="1768" customWidth="1"/>
    <col min="15366" max="15366" width="12.5703125" style="1768" customWidth="1"/>
    <col min="15367" max="15367" width="1.5703125" style="1768" customWidth="1"/>
    <col min="15368" max="15368" width="20.5703125" style="1768" customWidth="1"/>
    <col min="15369" max="15369" width="2.5703125" style="1768" customWidth="1"/>
    <col min="15370" max="15370" width="10.5703125" style="1768" customWidth="1"/>
    <col min="15371" max="15371" width="1.5703125" style="1768" customWidth="1"/>
    <col min="15372" max="15372" width="10.5703125" style="1768" customWidth="1"/>
    <col min="15373" max="15373" width="1.5703125" style="1768" customWidth="1"/>
    <col min="15374" max="15374" width="12.5703125" style="1768" customWidth="1"/>
    <col min="15375" max="15375" width="1.5703125" style="1768" customWidth="1"/>
    <col min="15376" max="15376" width="22.5703125" style="1768" customWidth="1"/>
    <col min="15377" max="15377" width="4.5703125" style="1768" customWidth="1"/>
    <col min="15378" max="15391" width="0" style="1768" hidden="1" customWidth="1"/>
    <col min="15392" max="15616" width="9.42578125" style="1768"/>
    <col min="15617" max="15617" width="0" style="1768" hidden="1" customWidth="1"/>
    <col min="15618" max="15618" width="11.42578125" style="1768" customWidth="1"/>
    <col min="15619" max="15619" width="1.5703125" style="1768" customWidth="1"/>
    <col min="15620" max="15620" width="7.42578125" style="1768" bestFit="1" customWidth="1"/>
    <col min="15621" max="15621" width="1.5703125" style="1768" customWidth="1"/>
    <col min="15622" max="15622" width="12.5703125" style="1768" customWidth="1"/>
    <col min="15623" max="15623" width="1.5703125" style="1768" customWidth="1"/>
    <col min="15624" max="15624" width="20.5703125" style="1768" customWidth="1"/>
    <col min="15625" max="15625" width="2.5703125" style="1768" customWidth="1"/>
    <col min="15626" max="15626" width="10.5703125" style="1768" customWidth="1"/>
    <col min="15627" max="15627" width="1.5703125" style="1768" customWidth="1"/>
    <col min="15628" max="15628" width="10.5703125" style="1768" customWidth="1"/>
    <col min="15629" max="15629" width="1.5703125" style="1768" customWidth="1"/>
    <col min="15630" max="15630" width="12.5703125" style="1768" customWidth="1"/>
    <col min="15631" max="15631" width="1.5703125" style="1768" customWidth="1"/>
    <col min="15632" max="15632" width="22.5703125" style="1768" customWidth="1"/>
    <col min="15633" max="15633" width="4.5703125" style="1768" customWidth="1"/>
    <col min="15634" max="15647" width="0" style="1768" hidden="1" customWidth="1"/>
    <col min="15648" max="15872" width="9.42578125" style="1768"/>
    <col min="15873" max="15873" width="0" style="1768" hidden="1" customWidth="1"/>
    <col min="15874" max="15874" width="11.42578125" style="1768" customWidth="1"/>
    <col min="15875" max="15875" width="1.5703125" style="1768" customWidth="1"/>
    <col min="15876" max="15876" width="7.42578125" style="1768" bestFit="1" customWidth="1"/>
    <col min="15877" max="15877" width="1.5703125" style="1768" customWidth="1"/>
    <col min="15878" max="15878" width="12.5703125" style="1768" customWidth="1"/>
    <col min="15879" max="15879" width="1.5703125" style="1768" customWidth="1"/>
    <col min="15880" max="15880" width="20.5703125" style="1768" customWidth="1"/>
    <col min="15881" max="15881" width="2.5703125" style="1768" customWidth="1"/>
    <col min="15882" max="15882" width="10.5703125" style="1768" customWidth="1"/>
    <col min="15883" max="15883" width="1.5703125" style="1768" customWidth="1"/>
    <col min="15884" max="15884" width="10.5703125" style="1768" customWidth="1"/>
    <col min="15885" max="15885" width="1.5703125" style="1768" customWidth="1"/>
    <col min="15886" max="15886" width="12.5703125" style="1768" customWidth="1"/>
    <col min="15887" max="15887" width="1.5703125" style="1768" customWidth="1"/>
    <col min="15888" max="15888" width="22.5703125" style="1768" customWidth="1"/>
    <col min="15889" max="15889" width="4.5703125" style="1768" customWidth="1"/>
    <col min="15890" max="15903" width="0" style="1768" hidden="1" customWidth="1"/>
    <col min="15904" max="16128" width="9.42578125" style="1768"/>
    <col min="16129" max="16129" width="0" style="1768" hidden="1" customWidth="1"/>
    <col min="16130" max="16130" width="11.42578125" style="1768" customWidth="1"/>
    <col min="16131" max="16131" width="1.5703125" style="1768" customWidth="1"/>
    <col min="16132" max="16132" width="7.42578125" style="1768" bestFit="1" customWidth="1"/>
    <col min="16133" max="16133" width="1.5703125" style="1768" customWidth="1"/>
    <col min="16134" max="16134" width="12.5703125" style="1768" customWidth="1"/>
    <col min="16135" max="16135" width="1.5703125" style="1768" customWidth="1"/>
    <col min="16136" max="16136" width="20.5703125" style="1768" customWidth="1"/>
    <col min="16137" max="16137" width="2.5703125" style="1768" customWidth="1"/>
    <col min="16138" max="16138" width="10.5703125" style="1768" customWidth="1"/>
    <col min="16139" max="16139" width="1.5703125" style="1768" customWidth="1"/>
    <col min="16140" max="16140" width="10.5703125" style="1768" customWidth="1"/>
    <col min="16141" max="16141" width="1.5703125" style="1768" customWidth="1"/>
    <col min="16142" max="16142" width="12.5703125" style="1768" customWidth="1"/>
    <col min="16143" max="16143" width="1.5703125" style="1768" customWidth="1"/>
    <col min="16144" max="16144" width="22.5703125" style="1768" customWidth="1"/>
    <col min="16145" max="16145" width="4.5703125" style="1768" customWidth="1"/>
    <col min="16146" max="16159" width="0" style="1768" hidden="1" customWidth="1"/>
    <col min="16160" max="16384" width="9.42578125" style="1768"/>
  </cols>
  <sheetData>
    <row r="1" spans="2:35" ht="25.15" customHeight="1" x14ac:dyDescent="0.25">
      <c r="B1" s="2764" t="str">
        <f>Index!A1</f>
        <v xml:space="preserve">                                                               Office of the State Controller                                                                </v>
      </c>
      <c r="C1" s="2764"/>
      <c r="D1" s="2764"/>
      <c r="E1" s="2764"/>
      <c r="F1" s="2764"/>
      <c r="G1" s="2764"/>
      <c r="H1" s="2764"/>
      <c r="I1" s="2764"/>
      <c r="J1" s="2764"/>
      <c r="K1" s="2764"/>
      <c r="L1" s="2764"/>
      <c r="M1" s="2764"/>
      <c r="N1" s="2764"/>
      <c r="O1" s="2764"/>
      <c r="P1" s="2764"/>
      <c r="Q1" s="2510"/>
      <c r="R1" s="182"/>
      <c r="S1" s="182"/>
      <c r="T1" s="182"/>
      <c r="U1" s="182"/>
      <c r="V1" s="182"/>
      <c r="W1" s="182"/>
      <c r="X1" s="182"/>
      <c r="Y1" s="182"/>
      <c r="Z1" s="182"/>
      <c r="AA1" s="182"/>
      <c r="AB1" s="182"/>
      <c r="AC1" s="182"/>
      <c r="AI1" s="182" t="str">
        <f>IF(Index!$B$71="na","NA","")</f>
        <v/>
      </c>
    </row>
    <row r="2" spans="2:35" ht="15" customHeight="1" x14ac:dyDescent="0.25">
      <c r="B2" s="2761" t="str">
        <f>Index!A2</f>
        <v>2022 ACFR Worksheets</v>
      </c>
      <c r="C2" s="2761"/>
      <c r="D2" s="2761"/>
      <c r="E2" s="2761"/>
      <c r="F2" s="2761"/>
      <c r="G2" s="2761"/>
      <c r="H2" s="2761"/>
      <c r="I2" s="2761"/>
      <c r="J2" s="2761"/>
      <c r="K2" s="2761"/>
      <c r="L2" s="2761"/>
      <c r="M2" s="2761"/>
      <c r="N2" s="2761"/>
      <c r="O2" s="2761"/>
      <c r="P2" s="2761"/>
      <c r="Q2" s="2510"/>
      <c r="R2" s="182"/>
      <c r="S2" s="182"/>
      <c r="T2" s="182"/>
      <c r="U2" s="182"/>
      <c r="V2" s="182"/>
      <c r="W2" s="182"/>
      <c r="X2" s="182"/>
      <c r="Y2" s="182"/>
      <c r="Z2" s="182"/>
      <c r="AA2" s="182"/>
      <c r="AB2" s="182"/>
      <c r="AC2" s="182"/>
      <c r="AI2" s="182"/>
    </row>
    <row r="3" spans="2:35" ht="15" customHeight="1" x14ac:dyDescent="0.25">
      <c r="B3" s="2762" t="s">
        <v>4313</v>
      </c>
      <c r="C3" s="2762"/>
      <c r="D3" s="2762"/>
      <c r="E3" s="2762"/>
      <c r="F3" s="2762"/>
      <c r="G3" s="2762"/>
      <c r="H3" s="2762"/>
      <c r="I3" s="2762"/>
      <c r="J3" s="2762"/>
      <c r="K3" s="2762"/>
      <c r="L3" s="2762"/>
      <c r="M3" s="2762"/>
      <c r="N3" s="2762"/>
      <c r="O3" s="2762"/>
      <c r="P3" s="2762"/>
      <c r="Q3" s="2510"/>
      <c r="R3" s="182"/>
      <c r="S3" s="182"/>
      <c r="T3" s="182"/>
      <c r="U3" s="182"/>
      <c r="V3" s="182"/>
      <c r="W3" s="182"/>
      <c r="X3" s="182"/>
      <c r="Y3" s="182"/>
      <c r="Z3" s="182"/>
      <c r="AA3" s="182"/>
      <c r="AB3" s="182"/>
      <c r="AC3" s="182"/>
      <c r="AI3" s="182"/>
    </row>
    <row r="4" spans="2:35" ht="15" customHeight="1" x14ac:dyDescent="0.25">
      <c r="B4" s="1769"/>
      <c r="C4" s="1770"/>
      <c r="D4" s="1770"/>
      <c r="E4" s="1770"/>
      <c r="F4" s="1770"/>
      <c r="G4" s="1770"/>
      <c r="H4" s="1770"/>
      <c r="I4" s="1769"/>
      <c r="J4" s="1770"/>
      <c r="K4" s="1770"/>
      <c r="L4" s="1770"/>
      <c r="M4" s="1770"/>
      <c r="N4" s="1770"/>
      <c r="O4" s="2765" t="s">
        <v>1091</v>
      </c>
      <c r="P4" s="2765"/>
      <c r="Q4" s="182"/>
      <c r="R4" s="182"/>
      <c r="S4" s="182"/>
      <c r="T4" s="182"/>
      <c r="U4" s="182"/>
      <c r="V4" s="182"/>
      <c r="W4" s="182"/>
      <c r="X4" s="182"/>
      <c r="Y4" s="182"/>
      <c r="Z4" s="182"/>
      <c r="AA4" s="182"/>
      <c r="AB4" s="182"/>
      <c r="AC4" s="182"/>
    </row>
    <row r="5" spans="2:35" s="1763" customFormat="1" ht="15" customHeight="1" x14ac:dyDescent="0.2">
      <c r="B5" s="1773" t="s">
        <v>327</v>
      </c>
      <c r="C5" s="1774"/>
      <c r="D5" s="1802" t="str">
        <f>AgyIdx</f>
        <v>01</v>
      </c>
      <c r="E5" s="1803"/>
      <c r="F5" s="1803"/>
      <c r="G5" s="1804"/>
      <c r="H5" s="1803"/>
      <c r="I5" s="1774"/>
      <c r="J5" s="1773" t="s">
        <v>972</v>
      </c>
      <c r="K5" s="1775"/>
      <c r="L5" s="2763" t="str">
        <f>CONCATENATE(Index!$E$12," ",Index!$E$14)</f>
        <v xml:space="preserve"> </v>
      </c>
      <c r="M5" s="2763"/>
      <c r="N5" s="2763"/>
      <c r="O5" s="2763"/>
      <c r="P5" s="2763"/>
    </row>
    <row r="6" spans="2:35" s="1763" customFormat="1" ht="15" customHeight="1" x14ac:dyDescent="0.2">
      <c r="B6" s="1773" t="s">
        <v>1154</v>
      </c>
      <c r="C6" s="1774"/>
      <c r="D6" s="2756" t="str">
        <f>Index!E11</f>
        <v>North Carolina General Assembly</v>
      </c>
      <c r="E6" s="2756"/>
      <c r="F6" s="2756"/>
      <c r="G6" s="2756"/>
      <c r="H6" s="2756"/>
      <c r="I6" s="1774"/>
      <c r="J6" s="1773" t="s">
        <v>348</v>
      </c>
      <c r="K6" s="1774"/>
      <c r="L6" s="2757">
        <f>Index!E13</f>
        <v>0</v>
      </c>
      <c r="M6" s="2757"/>
      <c r="N6" s="2757"/>
      <c r="O6" s="2757"/>
      <c r="P6" s="2757"/>
    </row>
    <row r="7" spans="2:35" s="1763" customFormat="1" ht="15" customHeight="1" thickBot="1" x14ac:dyDescent="0.25">
      <c r="B7" s="1779"/>
      <c r="C7" s="1779"/>
      <c r="D7" s="1779"/>
      <c r="E7" s="1779"/>
      <c r="F7" s="1779"/>
      <c r="G7" s="1779"/>
      <c r="H7" s="1779"/>
      <c r="I7" s="1780"/>
      <c r="J7" s="1779"/>
      <c r="K7" s="1779"/>
      <c r="L7" s="1779"/>
      <c r="M7" s="1779"/>
      <c r="N7" s="1779"/>
      <c r="O7" s="1779"/>
      <c r="P7" s="1779"/>
    </row>
    <row r="8" spans="2:35" s="1763" customFormat="1" ht="15" customHeight="1" x14ac:dyDescent="0.2">
      <c r="B8" s="1774"/>
      <c r="C8" s="1774"/>
      <c r="D8" s="1774"/>
      <c r="E8" s="1774"/>
      <c r="F8" s="1774"/>
      <c r="G8" s="1774"/>
      <c r="H8" s="1774"/>
      <c r="I8" s="1781"/>
      <c r="J8" s="1774"/>
      <c r="K8" s="1774"/>
      <c r="L8" s="1774"/>
      <c r="M8" s="1774"/>
      <c r="N8" s="1774"/>
      <c r="O8" s="1774"/>
      <c r="P8" s="1774"/>
    </row>
    <row r="9" spans="2:35" s="1763" customFormat="1" ht="15" customHeight="1" thickBot="1" x14ac:dyDescent="0.25">
      <c r="B9" s="2758" t="s">
        <v>4314</v>
      </c>
      <c r="C9" s="2758"/>
      <c r="D9" s="2758"/>
      <c r="E9" s="2758"/>
      <c r="F9" s="2758"/>
      <c r="G9" s="2758"/>
      <c r="H9" s="2758"/>
      <c r="I9" s="1781"/>
      <c r="J9" s="2758" t="s">
        <v>4315</v>
      </c>
      <c r="K9" s="2758"/>
      <c r="L9" s="2758"/>
      <c r="M9" s="2758"/>
      <c r="N9" s="2758"/>
      <c r="O9" s="2758"/>
      <c r="P9" s="2758"/>
    </row>
    <row r="10" spans="2:35" s="1763" customFormat="1" ht="15" customHeight="1" x14ac:dyDescent="0.2">
      <c r="B10" s="1774"/>
      <c r="C10" s="1774"/>
      <c r="D10" s="1774"/>
      <c r="E10" s="1774"/>
      <c r="F10" s="1782" t="s">
        <v>1155</v>
      </c>
      <c r="G10" s="1774"/>
      <c r="H10" s="1774"/>
      <c r="I10" s="1782"/>
      <c r="J10" s="1774"/>
      <c r="K10" s="1774"/>
      <c r="L10" s="1774"/>
      <c r="M10" s="1774"/>
      <c r="N10" s="1782" t="s">
        <v>1064</v>
      </c>
      <c r="O10" s="1774"/>
      <c r="P10" s="1774"/>
    </row>
    <row r="11" spans="2:35" s="1763" customFormat="1" ht="15" customHeight="1" x14ac:dyDescent="0.2">
      <c r="B11" s="1782" t="s">
        <v>4295</v>
      </c>
      <c r="C11" s="1774"/>
      <c r="D11" s="1782" t="s">
        <v>1157</v>
      </c>
      <c r="E11" s="1774"/>
      <c r="F11" s="1782" t="s">
        <v>684</v>
      </c>
      <c r="G11" s="1774"/>
      <c r="H11" s="1774"/>
      <c r="I11" s="1782"/>
      <c r="J11" s="1782" t="s">
        <v>4295</v>
      </c>
      <c r="K11" s="1774"/>
      <c r="L11" s="1782" t="s">
        <v>1157</v>
      </c>
      <c r="M11" s="1774"/>
      <c r="N11" s="1782" t="s">
        <v>684</v>
      </c>
      <c r="O11" s="1774"/>
      <c r="P11" s="1774"/>
    </row>
    <row r="12" spans="2:35" s="1763" customFormat="1" ht="15" customHeight="1" thickBot="1" x14ac:dyDescent="0.25">
      <c r="B12" s="1784" t="s">
        <v>685</v>
      </c>
      <c r="C12" s="1782"/>
      <c r="D12" s="1784" t="s">
        <v>685</v>
      </c>
      <c r="E12" s="1782"/>
      <c r="F12" s="1784" t="s">
        <v>4299</v>
      </c>
      <c r="G12" s="1774"/>
      <c r="H12" s="1784" t="s">
        <v>1156</v>
      </c>
      <c r="I12" s="1782"/>
      <c r="J12" s="1784" t="s">
        <v>685</v>
      </c>
      <c r="K12" s="1782"/>
      <c r="L12" s="1784" t="s">
        <v>685</v>
      </c>
      <c r="M12" s="1782"/>
      <c r="N12" s="1784" t="s">
        <v>4302</v>
      </c>
      <c r="O12" s="1774"/>
      <c r="P12" s="1784" t="s">
        <v>1156</v>
      </c>
      <c r="Q12" s="1785" t="s">
        <v>973</v>
      </c>
      <c r="R12" s="1785"/>
      <c r="S12" s="1785"/>
      <c r="T12" s="1785"/>
      <c r="U12" s="1785"/>
      <c r="V12" s="1785"/>
      <c r="W12" s="1785"/>
      <c r="X12" s="1785"/>
      <c r="Y12" s="1785"/>
      <c r="Z12" s="1785"/>
      <c r="AA12" s="1785"/>
      <c r="AB12" s="1785"/>
      <c r="AC12" s="1785"/>
    </row>
    <row r="13" spans="2:35" s="1763" customFormat="1" ht="15" customHeight="1" x14ac:dyDescent="0.2">
      <c r="B13" s="1872" t="s">
        <v>4450</v>
      </c>
      <c r="C13" s="1873"/>
      <c r="D13" s="1874">
        <v>1400</v>
      </c>
      <c r="E13" s="1873"/>
      <c r="F13" s="1874">
        <v>438101</v>
      </c>
      <c r="G13" s="1873"/>
      <c r="H13" s="1875">
        <v>100000</v>
      </c>
      <c r="I13" s="1876"/>
      <c r="J13" s="1877" t="s">
        <v>4451</v>
      </c>
      <c r="K13" s="1873"/>
      <c r="L13" s="1874">
        <v>1100</v>
      </c>
      <c r="M13" s="1873"/>
      <c r="N13" s="1874">
        <v>538101</v>
      </c>
      <c r="O13" s="1876"/>
      <c r="P13" s="1875">
        <v>100000</v>
      </c>
      <c r="Q13" s="1878" t="str">
        <f>IF(AND(R13,X13,AD13,AE13),"","*")</f>
        <v/>
      </c>
      <c r="R13" s="525" t="b">
        <f>IF(OR(S13=0,S13=4),TRUE, FALSE)</f>
        <v>1</v>
      </c>
      <c r="S13" s="525">
        <f>COUNTIF(T13:W13,FALSE)</f>
        <v>4</v>
      </c>
      <c r="T13" s="1879" t="b">
        <f>ISBLANK(B13)</f>
        <v>0</v>
      </c>
      <c r="U13" s="1879" t="b">
        <f>ISBLANK(D13)</f>
        <v>0</v>
      </c>
      <c r="V13" s="1879" t="b">
        <f>ISBLANK(F13)</f>
        <v>0</v>
      </c>
      <c r="W13" s="1879" t="b">
        <f>ISBLANK(H13)</f>
        <v>0</v>
      </c>
      <c r="X13" s="525" t="b">
        <f>IF(OR(Y13=0,Y13=4),TRUE, FALSE)</f>
        <v>1</v>
      </c>
      <c r="Y13" s="525">
        <f>COUNTIF(Z13:AC13,FALSE)</f>
        <v>4</v>
      </c>
      <c r="Z13" s="1879" t="b">
        <f>ISBLANK(J13)</f>
        <v>0</v>
      </c>
      <c r="AA13" s="1879" t="b">
        <f>ISBLANK(L13)</f>
        <v>0</v>
      </c>
      <c r="AB13" s="1879" t="b">
        <f>ISBLANK(N13)</f>
        <v>0</v>
      </c>
      <c r="AC13" s="1879" t="b">
        <f>ISBLANK(P13)</f>
        <v>0</v>
      </c>
      <c r="AD13" s="1763" t="b">
        <f>IF(ISBLANK(F13),TRUE,VALUE(LEFT(F13,4))=4381)</f>
        <v>1</v>
      </c>
      <c r="AE13" s="1763" t="b">
        <f>IF(ISBLANK(N13),TRUE,VALUE(LEFT(N13,4))=5381)</f>
        <v>1</v>
      </c>
      <c r="AI13" s="1880" t="s">
        <v>4452</v>
      </c>
    </row>
    <row r="14" spans="2:35" s="1763" customFormat="1" ht="15" customHeight="1" x14ac:dyDescent="0.2">
      <c r="B14" s="1786"/>
      <c r="C14" s="1787"/>
      <c r="D14" s="1788"/>
      <c r="E14" s="1787"/>
      <c r="F14" s="1788"/>
      <c r="G14" s="1787"/>
      <c r="H14" s="1789"/>
      <c r="I14" s="1774"/>
      <c r="J14" s="1790"/>
      <c r="K14" s="1791"/>
      <c r="L14" s="1788"/>
      <c r="M14" s="1787"/>
      <c r="N14" s="1788"/>
      <c r="O14" s="1774"/>
      <c r="P14" s="1789"/>
      <c r="Q14" s="552" t="str">
        <f t="shared" ref="Q14:Q27" si="0">IF(AND(R14,X14,AD14,AE14),"","*")</f>
        <v/>
      </c>
      <c r="R14" s="1752" t="b">
        <f t="shared" ref="R14:R27" si="1">IF(OR(S14=0,S14=4),TRUE, FALSE)</f>
        <v>1</v>
      </c>
      <c r="S14" s="1752">
        <f t="shared" ref="S14:S27" si="2">COUNTIF(T14:W14,FALSE)</f>
        <v>0</v>
      </c>
      <c r="T14" s="1753" t="b">
        <f t="shared" ref="T14:T27" si="3">ISBLANK(B14)</f>
        <v>1</v>
      </c>
      <c r="U14" s="1753" t="b">
        <f t="shared" ref="U14:U27" si="4">ISBLANK(D14)</f>
        <v>1</v>
      </c>
      <c r="V14" s="1753" t="b">
        <f t="shared" ref="V14:V27" si="5">ISBLANK(F14)</f>
        <v>1</v>
      </c>
      <c r="W14" s="1753" t="b">
        <f t="shared" ref="W14:W27" si="6">ISBLANK(H14)</f>
        <v>1</v>
      </c>
      <c r="X14" s="1752" t="b">
        <f t="shared" ref="X14:X27" si="7">IF(OR(Y14=0,Y14=4),TRUE, FALSE)</f>
        <v>1</v>
      </c>
      <c r="Y14" s="1752">
        <f t="shared" ref="Y14:Y27" si="8">COUNTIF(Z14:AC14,FALSE)</f>
        <v>0</v>
      </c>
      <c r="Z14" s="1753" t="b">
        <f t="shared" ref="Z14:Z27" si="9">ISBLANK(J14)</f>
        <v>1</v>
      </c>
      <c r="AA14" s="1753" t="b">
        <f t="shared" ref="AA14:AA27" si="10">ISBLANK(L14)</f>
        <v>1</v>
      </c>
      <c r="AB14" s="1753" t="b">
        <f t="shared" ref="AB14:AB27" si="11">ISBLANK(N14)</f>
        <v>1</v>
      </c>
      <c r="AC14" s="1753" t="b">
        <f t="shared" ref="AC14:AC27" si="12">ISBLANK(P14)</f>
        <v>1</v>
      </c>
      <c r="AD14" s="1754" t="b">
        <f t="shared" ref="AD14:AD27" si="13">IF(ISBLANK(F14),TRUE,VALUE(LEFT(F14,4))=4381)</f>
        <v>1</v>
      </c>
      <c r="AE14" s="1754" t="b">
        <f t="shared" ref="AE14:AE27" si="14">IF(ISBLANK(N14),TRUE,VALUE(LEFT(N14,4))=5381)</f>
        <v>1</v>
      </c>
    </row>
    <row r="15" spans="2:35" s="1763" customFormat="1" ht="15" customHeight="1" x14ac:dyDescent="0.2">
      <c r="B15" s="1786"/>
      <c r="C15" s="1787"/>
      <c r="D15" s="1788"/>
      <c r="E15" s="1787"/>
      <c r="F15" s="1788"/>
      <c r="G15" s="1787"/>
      <c r="H15" s="1789"/>
      <c r="I15" s="1774"/>
      <c r="J15" s="1790"/>
      <c r="K15" s="1791"/>
      <c r="L15" s="1788"/>
      <c r="M15" s="1787"/>
      <c r="N15" s="1788"/>
      <c r="O15" s="1774"/>
      <c r="P15" s="1789"/>
      <c r="Q15" s="552" t="str">
        <f t="shared" si="0"/>
        <v/>
      </c>
      <c r="R15" s="1752" t="b">
        <f t="shared" si="1"/>
        <v>1</v>
      </c>
      <c r="S15" s="1752">
        <f t="shared" si="2"/>
        <v>0</v>
      </c>
      <c r="T15" s="1753" t="b">
        <f t="shared" si="3"/>
        <v>1</v>
      </c>
      <c r="U15" s="1753" t="b">
        <f t="shared" si="4"/>
        <v>1</v>
      </c>
      <c r="V15" s="1753" t="b">
        <f t="shared" si="5"/>
        <v>1</v>
      </c>
      <c r="W15" s="1753" t="b">
        <f t="shared" si="6"/>
        <v>1</v>
      </c>
      <c r="X15" s="1752" t="b">
        <f t="shared" si="7"/>
        <v>1</v>
      </c>
      <c r="Y15" s="1752">
        <f t="shared" si="8"/>
        <v>0</v>
      </c>
      <c r="Z15" s="1753" t="b">
        <f t="shared" si="9"/>
        <v>1</v>
      </c>
      <c r="AA15" s="1753" t="b">
        <f t="shared" si="10"/>
        <v>1</v>
      </c>
      <c r="AB15" s="1753" t="b">
        <f t="shared" si="11"/>
        <v>1</v>
      </c>
      <c r="AC15" s="1753" t="b">
        <f t="shared" si="12"/>
        <v>1</v>
      </c>
      <c r="AD15" s="1754" t="b">
        <f t="shared" si="13"/>
        <v>1</v>
      </c>
      <c r="AE15" s="1754" t="b">
        <f t="shared" si="14"/>
        <v>1</v>
      </c>
    </row>
    <row r="16" spans="2:35" s="1763" customFormat="1" ht="15" customHeight="1" x14ac:dyDescent="0.2">
      <c r="B16" s="1786"/>
      <c r="C16" s="1787"/>
      <c r="D16" s="1788"/>
      <c r="E16" s="1787"/>
      <c r="F16" s="1788"/>
      <c r="G16" s="1787"/>
      <c r="H16" s="1789"/>
      <c r="I16" s="1774"/>
      <c r="J16" s="1790"/>
      <c r="K16" s="1791"/>
      <c r="L16" s="1788"/>
      <c r="M16" s="1787"/>
      <c r="N16" s="1788"/>
      <c r="O16" s="1774"/>
      <c r="P16" s="1789"/>
      <c r="Q16" s="552" t="str">
        <f t="shared" si="0"/>
        <v/>
      </c>
      <c r="R16" s="1752" t="b">
        <f t="shared" si="1"/>
        <v>1</v>
      </c>
      <c r="S16" s="1752">
        <f t="shared" si="2"/>
        <v>0</v>
      </c>
      <c r="T16" s="1753" t="b">
        <f t="shared" si="3"/>
        <v>1</v>
      </c>
      <c r="U16" s="1753" t="b">
        <f t="shared" si="4"/>
        <v>1</v>
      </c>
      <c r="V16" s="1753" t="b">
        <f t="shared" si="5"/>
        <v>1</v>
      </c>
      <c r="W16" s="1753" t="b">
        <f t="shared" si="6"/>
        <v>1</v>
      </c>
      <c r="X16" s="1752" t="b">
        <f t="shared" si="7"/>
        <v>1</v>
      </c>
      <c r="Y16" s="1752">
        <f t="shared" si="8"/>
        <v>0</v>
      </c>
      <c r="Z16" s="1753" t="b">
        <f t="shared" si="9"/>
        <v>1</v>
      </c>
      <c r="AA16" s="1753" t="b">
        <f t="shared" si="10"/>
        <v>1</v>
      </c>
      <c r="AB16" s="1753" t="b">
        <f t="shared" si="11"/>
        <v>1</v>
      </c>
      <c r="AC16" s="1753" t="b">
        <f t="shared" si="12"/>
        <v>1</v>
      </c>
      <c r="AD16" s="1754" t="b">
        <f t="shared" si="13"/>
        <v>1</v>
      </c>
      <c r="AE16" s="1754" t="b">
        <f t="shared" si="14"/>
        <v>1</v>
      </c>
    </row>
    <row r="17" spans="2:31" s="1763" customFormat="1" ht="15" customHeight="1" x14ac:dyDescent="0.2">
      <c r="B17" s="1786"/>
      <c r="C17" s="1787"/>
      <c r="D17" s="1788"/>
      <c r="E17" s="1787"/>
      <c r="F17" s="1788"/>
      <c r="G17" s="1787"/>
      <c r="H17" s="1789"/>
      <c r="I17" s="1774"/>
      <c r="J17" s="1790"/>
      <c r="K17" s="1791"/>
      <c r="L17" s="1788"/>
      <c r="M17" s="1787"/>
      <c r="N17" s="1788"/>
      <c r="O17" s="1774"/>
      <c r="P17" s="1789"/>
      <c r="Q17" s="552" t="str">
        <f t="shared" si="0"/>
        <v/>
      </c>
      <c r="R17" s="1752" t="b">
        <f t="shared" si="1"/>
        <v>1</v>
      </c>
      <c r="S17" s="1752">
        <f t="shared" si="2"/>
        <v>0</v>
      </c>
      <c r="T17" s="1753" t="b">
        <f t="shared" si="3"/>
        <v>1</v>
      </c>
      <c r="U17" s="1753" t="b">
        <f t="shared" si="4"/>
        <v>1</v>
      </c>
      <c r="V17" s="1753" t="b">
        <f t="shared" si="5"/>
        <v>1</v>
      </c>
      <c r="W17" s="1753" t="b">
        <f t="shared" si="6"/>
        <v>1</v>
      </c>
      <c r="X17" s="1752" t="b">
        <f t="shared" si="7"/>
        <v>1</v>
      </c>
      <c r="Y17" s="1752">
        <f t="shared" si="8"/>
        <v>0</v>
      </c>
      <c r="Z17" s="1753" t="b">
        <f t="shared" si="9"/>
        <v>1</v>
      </c>
      <c r="AA17" s="1753" t="b">
        <f t="shared" si="10"/>
        <v>1</v>
      </c>
      <c r="AB17" s="1753" t="b">
        <f t="shared" si="11"/>
        <v>1</v>
      </c>
      <c r="AC17" s="1753" t="b">
        <f t="shared" si="12"/>
        <v>1</v>
      </c>
      <c r="AD17" s="1754" t="b">
        <f t="shared" si="13"/>
        <v>1</v>
      </c>
      <c r="AE17" s="1754" t="b">
        <f t="shared" si="14"/>
        <v>1</v>
      </c>
    </row>
    <row r="18" spans="2:31" s="1763" customFormat="1" ht="15" customHeight="1" x14ac:dyDescent="0.2">
      <c r="B18" s="1786"/>
      <c r="C18" s="1787"/>
      <c r="D18" s="1788"/>
      <c r="E18" s="1787"/>
      <c r="F18" s="1788"/>
      <c r="G18" s="1787"/>
      <c r="H18" s="1789"/>
      <c r="I18" s="1774"/>
      <c r="J18" s="1790"/>
      <c r="K18" s="1791"/>
      <c r="L18" s="1788"/>
      <c r="M18" s="1787"/>
      <c r="N18" s="1788"/>
      <c r="O18" s="1774"/>
      <c r="P18" s="1789"/>
      <c r="Q18" s="552" t="str">
        <f t="shared" si="0"/>
        <v/>
      </c>
      <c r="R18" s="1752" t="b">
        <f t="shared" si="1"/>
        <v>1</v>
      </c>
      <c r="S18" s="1752">
        <f t="shared" si="2"/>
        <v>0</v>
      </c>
      <c r="T18" s="1753" t="b">
        <f t="shared" si="3"/>
        <v>1</v>
      </c>
      <c r="U18" s="1753" t="b">
        <f t="shared" si="4"/>
        <v>1</v>
      </c>
      <c r="V18" s="1753" t="b">
        <f t="shared" si="5"/>
        <v>1</v>
      </c>
      <c r="W18" s="1753" t="b">
        <f t="shared" si="6"/>
        <v>1</v>
      </c>
      <c r="X18" s="1752" t="b">
        <f t="shared" si="7"/>
        <v>1</v>
      </c>
      <c r="Y18" s="1752">
        <f t="shared" si="8"/>
        <v>0</v>
      </c>
      <c r="Z18" s="1753" t="b">
        <f t="shared" si="9"/>
        <v>1</v>
      </c>
      <c r="AA18" s="1753" t="b">
        <f t="shared" si="10"/>
        <v>1</v>
      </c>
      <c r="AB18" s="1753" t="b">
        <f t="shared" si="11"/>
        <v>1</v>
      </c>
      <c r="AC18" s="1753" t="b">
        <f t="shared" si="12"/>
        <v>1</v>
      </c>
      <c r="AD18" s="1754" t="b">
        <f t="shared" si="13"/>
        <v>1</v>
      </c>
      <c r="AE18" s="1754" t="b">
        <f t="shared" si="14"/>
        <v>1</v>
      </c>
    </row>
    <row r="19" spans="2:31" s="1763" customFormat="1" ht="15" customHeight="1" x14ac:dyDescent="0.2">
      <c r="B19" s="1786"/>
      <c r="C19" s="1787"/>
      <c r="D19" s="1788"/>
      <c r="E19" s="1787"/>
      <c r="F19" s="1788"/>
      <c r="G19" s="1787"/>
      <c r="H19" s="1789"/>
      <c r="I19" s="1774"/>
      <c r="J19" s="1790"/>
      <c r="K19" s="1791"/>
      <c r="L19" s="1788"/>
      <c r="M19" s="1787"/>
      <c r="N19" s="1788"/>
      <c r="O19" s="1774"/>
      <c r="P19" s="1789"/>
      <c r="Q19" s="552" t="str">
        <f t="shared" si="0"/>
        <v/>
      </c>
      <c r="R19" s="1752" t="b">
        <f t="shared" si="1"/>
        <v>1</v>
      </c>
      <c r="S19" s="1752">
        <f t="shared" si="2"/>
        <v>0</v>
      </c>
      <c r="T19" s="1753" t="b">
        <f t="shared" si="3"/>
        <v>1</v>
      </c>
      <c r="U19" s="1753" t="b">
        <f t="shared" si="4"/>
        <v>1</v>
      </c>
      <c r="V19" s="1753" t="b">
        <f t="shared" si="5"/>
        <v>1</v>
      </c>
      <c r="W19" s="1753" t="b">
        <f t="shared" si="6"/>
        <v>1</v>
      </c>
      <c r="X19" s="1752" t="b">
        <f t="shared" si="7"/>
        <v>1</v>
      </c>
      <c r="Y19" s="1752">
        <f t="shared" si="8"/>
        <v>0</v>
      </c>
      <c r="Z19" s="1753" t="b">
        <f t="shared" si="9"/>
        <v>1</v>
      </c>
      <c r="AA19" s="1753" t="b">
        <f t="shared" si="10"/>
        <v>1</v>
      </c>
      <c r="AB19" s="1753" t="b">
        <f t="shared" si="11"/>
        <v>1</v>
      </c>
      <c r="AC19" s="1753" t="b">
        <f t="shared" si="12"/>
        <v>1</v>
      </c>
      <c r="AD19" s="1754" t="b">
        <f t="shared" si="13"/>
        <v>1</v>
      </c>
      <c r="AE19" s="1754" t="b">
        <f t="shared" si="14"/>
        <v>1</v>
      </c>
    </row>
    <row r="20" spans="2:31" s="1763" customFormat="1" ht="15" customHeight="1" x14ac:dyDescent="0.2">
      <c r="B20" s="1786"/>
      <c r="C20" s="1787"/>
      <c r="D20" s="1788"/>
      <c r="E20" s="1787"/>
      <c r="F20" s="1788"/>
      <c r="G20" s="1787"/>
      <c r="H20" s="1789"/>
      <c r="I20" s="1774"/>
      <c r="J20" s="1790"/>
      <c r="K20" s="1791"/>
      <c r="L20" s="1788"/>
      <c r="M20" s="1787"/>
      <c r="N20" s="1788"/>
      <c r="O20" s="1774"/>
      <c r="P20" s="1789"/>
      <c r="Q20" s="552" t="str">
        <f t="shared" si="0"/>
        <v/>
      </c>
      <c r="R20" s="1752" t="b">
        <f t="shared" si="1"/>
        <v>1</v>
      </c>
      <c r="S20" s="1752">
        <f t="shared" si="2"/>
        <v>0</v>
      </c>
      <c r="T20" s="1753" t="b">
        <f t="shared" si="3"/>
        <v>1</v>
      </c>
      <c r="U20" s="1753" t="b">
        <f t="shared" si="4"/>
        <v>1</v>
      </c>
      <c r="V20" s="1753" t="b">
        <f t="shared" si="5"/>
        <v>1</v>
      </c>
      <c r="W20" s="1753" t="b">
        <f t="shared" si="6"/>
        <v>1</v>
      </c>
      <c r="X20" s="1752" t="b">
        <f t="shared" si="7"/>
        <v>1</v>
      </c>
      <c r="Y20" s="1752">
        <f t="shared" si="8"/>
        <v>0</v>
      </c>
      <c r="Z20" s="1753" t="b">
        <f t="shared" si="9"/>
        <v>1</v>
      </c>
      <c r="AA20" s="1753" t="b">
        <f t="shared" si="10"/>
        <v>1</v>
      </c>
      <c r="AB20" s="1753" t="b">
        <f t="shared" si="11"/>
        <v>1</v>
      </c>
      <c r="AC20" s="1753" t="b">
        <f t="shared" si="12"/>
        <v>1</v>
      </c>
      <c r="AD20" s="1754" t="b">
        <f t="shared" si="13"/>
        <v>1</v>
      </c>
      <c r="AE20" s="1754" t="b">
        <f t="shared" si="14"/>
        <v>1</v>
      </c>
    </row>
    <row r="21" spans="2:31" s="1763" customFormat="1" ht="15" customHeight="1" x14ac:dyDescent="0.2">
      <c r="B21" s="1790"/>
      <c r="C21" s="1787"/>
      <c r="D21" s="1788"/>
      <c r="E21" s="1787"/>
      <c r="F21" s="1788"/>
      <c r="G21" s="1787"/>
      <c r="H21" s="1789"/>
      <c r="I21" s="1774"/>
      <c r="J21" s="1790"/>
      <c r="K21" s="1791"/>
      <c r="L21" s="1788"/>
      <c r="M21" s="1787"/>
      <c r="N21" s="1788"/>
      <c r="O21" s="1774"/>
      <c r="P21" s="1789"/>
      <c r="Q21" s="552" t="str">
        <f t="shared" si="0"/>
        <v/>
      </c>
      <c r="R21" s="1752" t="b">
        <f t="shared" si="1"/>
        <v>1</v>
      </c>
      <c r="S21" s="1752">
        <f t="shared" si="2"/>
        <v>0</v>
      </c>
      <c r="T21" s="1753" t="b">
        <f t="shared" si="3"/>
        <v>1</v>
      </c>
      <c r="U21" s="1753" t="b">
        <f t="shared" si="4"/>
        <v>1</v>
      </c>
      <c r="V21" s="1753" t="b">
        <f t="shared" si="5"/>
        <v>1</v>
      </c>
      <c r="W21" s="1753" t="b">
        <f t="shared" si="6"/>
        <v>1</v>
      </c>
      <c r="X21" s="1752" t="b">
        <f t="shared" si="7"/>
        <v>1</v>
      </c>
      <c r="Y21" s="1752">
        <f t="shared" si="8"/>
        <v>0</v>
      </c>
      <c r="Z21" s="1753" t="b">
        <f t="shared" si="9"/>
        <v>1</v>
      </c>
      <c r="AA21" s="1753" t="b">
        <f t="shared" si="10"/>
        <v>1</v>
      </c>
      <c r="AB21" s="1753" t="b">
        <f t="shared" si="11"/>
        <v>1</v>
      </c>
      <c r="AC21" s="1753" t="b">
        <f t="shared" si="12"/>
        <v>1</v>
      </c>
      <c r="AD21" s="1754" t="b">
        <f t="shared" si="13"/>
        <v>1</v>
      </c>
      <c r="AE21" s="1754" t="b">
        <f t="shared" si="14"/>
        <v>1</v>
      </c>
    </row>
    <row r="22" spans="2:31" s="1763" customFormat="1" ht="15" customHeight="1" x14ac:dyDescent="0.2">
      <c r="B22" s="1790"/>
      <c r="C22" s="1787"/>
      <c r="D22" s="1788"/>
      <c r="E22" s="1787"/>
      <c r="F22" s="1788"/>
      <c r="G22" s="1787"/>
      <c r="H22" s="1789"/>
      <c r="I22" s="1774"/>
      <c r="J22" s="1790"/>
      <c r="K22" s="1791"/>
      <c r="L22" s="1788"/>
      <c r="M22" s="1787"/>
      <c r="N22" s="1788"/>
      <c r="O22" s="1774"/>
      <c r="P22" s="1789"/>
      <c r="Q22" s="552" t="str">
        <f t="shared" si="0"/>
        <v/>
      </c>
      <c r="R22" s="1752" t="b">
        <f t="shared" si="1"/>
        <v>1</v>
      </c>
      <c r="S22" s="1752">
        <f t="shared" si="2"/>
        <v>0</v>
      </c>
      <c r="T22" s="1753" t="b">
        <f t="shared" si="3"/>
        <v>1</v>
      </c>
      <c r="U22" s="1753" t="b">
        <f t="shared" si="4"/>
        <v>1</v>
      </c>
      <c r="V22" s="1753" t="b">
        <f t="shared" si="5"/>
        <v>1</v>
      </c>
      <c r="W22" s="1753" t="b">
        <f t="shared" si="6"/>
        <v>1</v>
      </c>
      <c r="X22" s="1752" t="b">
        <f t="shared" si="7"/>
        <v>1</v>
      </c>
      <c r="Y22" s="1752">
        <f t="shared" si="8"/>
        <v>0</v>
      </c>
      <c r="Z22" s="1753" t="b">
        <f t="shared" si="9"/>
        <v>1</v>
      </c>
      <c r="AA22" s="1753" t="b">
        <f t="shared" si="10"/>
        <v>1</v>
      </c>
      <c r="AB22" s="1753" t="b">
        <f t="shared" si="11"/>
        <v>1</v>
      </c>
      <c r="AC22" s="1753" t="b">
        <f t="shared" si="12"/>
        <v>1</v>
      </c>
      <c r="AD22" s="1754" t="b">
        <f t="shared" si="13"/>
        <v>1</v>
      </c>
      <c r="AE22" s="1754" t="b">
        <f t="shared" si="14"/>
        <v>1</v>
      </c>
    </row>
    <row r="23" spans="2:31" s="1763" customFormat="1" ht="15" customHeight="1" x14ac:dyDescent="0.2">
      <c r="B23" s="1790"/>
      <c r="C23" s="1787"/>
      <c r="D23" s="1788"/>
      <c r="E23" s="1787"/>
      <c r="F23" s="1788"/>
      <c r="G23" s="1787"/>
      <c r="H23" s="1789"/>
      <c r="I23" s="1774"/>
      <c r="J23" s="1790"/>
      <c r="K23" s="1791"/>
      <c r="L23" s="1788"/>
      <c r="M23" s="1787"/>
      <c r="N23" s="1788"/>
      <c r="O23" s="1774"/>
      <c r="P23" s="1789"/>
      <c r="Q23" s="552" t="str">
        <f t="shared" si="0"/>
        <v/>
      </c>
      <c r="R23" s="1752" t="b">
        <f t="shared" si="1"/>
        <v>1</v>
      </c>
      <c r="S23" s="1752">
        <f t="shared" si="2"/>
        <v>0</v>
      </c>
      <c r="T23" s="1753" t="b">
        <f t="shared" si="3"/>
        <v>1</v>
      </c>
      <c r="U23" s="1753" t="b">
        <f t="shared" si="4"/>
        <v>1</v>
      </c>
      <c r="V23" s="1753" t="b">
        <f t="shared" si="5"/>
        <v>1</v>
      </c>
      <c r="W23" s="1753" t="b">
        <f t="shared" si="6"/>
        <v>1</v>
      </c>
      <c r="X23" s="1752" t="b">
        <f t="shared" si="7"/>
        <v>1</v>
      </c>
      <c r="Y23" s="1752">
        <f t="shared" si="8"/>
        <v>0</v>
      </c>
      <c r="Z23" s="1753" t="b">
        <f t="shared" si="9"/>
        <v>1</v>
      </c>
      <c r="AA23" s="1753" t="b">
        <f t="shared" si="10"/>
        <v>1</v>
      </c>
      <c r="AB23" s="1753" t="b">
        <f t="shared" si="11"/>
        <v>1</v>
      </c>
      <c r="AC23" s="1753" t="b">
        <f t="shared" si="12"/>
        <v>1</v>
      </c>
      <c r="AD23" s="1754" t="b">
        <f t="shared" si="13"/>
        <v>1</v>
      </c>
      <c r="AE23" s="1754" t="b">
        <f t="shared" si="14"/>
        <v>1</v>
      </c>
    </row>
    <row r="24" spans="2:31" s="1763" customFormat="1" ht="15" customHeight="1" x14ac:dyDescent="0.2">
      <c r="B24" s="1790"/>
      <c r="C24" s="1787"/>
      <c r="D24" s="1788"/>
      <c r="E24" s="1787"/>
      <c r="F24" s="1788"/>
      <c r="G24" s="1787"/>
      <c r="H24" s="1789"/>
      <c r="I24" s="1774"/>
      <c r="J24" s="1790"/>
      <c r="K24" s="1791"/>
      <c r="L24" s="1788"/>
      <c r="M24" s="1787"/>
      <c r="N24" s="1788"/>
      <c r="O24" s="1774"/>
      <c r="P24" s="1789"/>
      <c r="Q24" s="552" t="str">
        <f t="shared" si="0"/>
        <v/>
      </c>
      <c r="R24" s="1752" t="b">
        <f t="shared" si="1"/>
        <v>1</v>
      </c>
      <c r="S24" s="1752">
        <f t="shared" si="2"/>
        <v>0</v>
      </c>
      <c r="T24" s="1753" t="b">
        <f t="shared" si="3"/>
        <v>1</v>
      </c>
      <c r="U24" s="1753" t="b">
        <f t="shared" si="4"/>
        <v>1</v>
      </c>
      <c r="V24" s="1753" t="b">
        <f t="shared" si="5"/>
        <v>1</v>
      </c>
      <c r="W24" s="1753" t="b">
        <f t="shared" si="6"/>
        <v>1</v>
      </c>
      <c r="X24" s="1752" t="b">
        <f t="shared" si="7"/>
        <v>1</v>
      </c>
      <c r="Y24" s="1752">
        <f t="shared" si="8"/>
        <v>0</v>
      </c>
      <c r="Z24" s="1753" t="b">
        <f t="shared" si="9"/>
        <v>1</v>
      </c>
      <c r="AA24" s="1753" t="b">
        <f t="shared" si="10"/>
        <v>1</v>
      </c>
      <c r="AB24" s="1753" t="b">
        <f t="shared" si="11"/>
        <v>1</v>
      </c>
      <c r="AC24" s="1753" t="b">
        <f t="shared" si="12"/>
        <v>1</v>
      </c>
      <c r="AD24" s="1754" t="b">
        <f t="shared" si="13"/>
        <v>1</v>
      </c>
      <c r="AE24" s="1754" t="b">
        <f t="shared" si="14"/>
        <v>1</v>
      </c>
    </row>
    <row r="25" spans="2:31" s="1763" customFormat="1" ht="15" customHeight="1" x14ac:dyDescent="0.2">
      <c r="B25" s="1790"/>
      <c r="C25" s="1787"/>
      <c r="D25" s="1788"/>
      <c r="E25" s="1787"/>
      <c r="F25" s="1788"/>
      <c r="G25" s="1787"/>
      <c r="H25" s="1789"/>
      <c r="I25" s="1774"/>
      <c r="J25" s="1790"/>
      <c r="K25" s="1791"/>
      <c r="L25" s="1788"/>
      <c r="M25" s="1787"/>
      <c r="N25" s="1788"/>
      <c r="O25" s="1774"/>
      <c r="P25" s="1789"/>
      <c r="Q25" s="552" t="str">
        <f t="shared" si="0"/>
        <v/>
      </c>
      <c r="R25" s="1752" t="b">
        <f t="shared" si="1"/>
        <v>1</v>
      </c>
      <c r="S25" s="1752">
        <f t="shared" si="2"/>
        <v>0</v>
      </c>
      <c r="T25" s="1753" t="b">
        <f t="shared" si="3"/>
        <v>1</v>
      </c>
      <c r="U25" s="1753" t="b">
        <f t="shared" si="4"/>
        <v>1</v>
      </c>
      <c r="V25" s="1753" t="b">
        <f t="shared" si="5"/>
        <v>1</v>
      </c>
      <c r="W25" s="1753" t="b">
        <f t="shared" si="6"/>
        <v>1</v>
      </c>
      <c r="X25" s="1752" t="b">
        <f t="shared" si="7"/>
        <v>1</v>
      </c>
      <c r="Y25" s="1752">
        <f t="shared" si="8"/>
        <v>0</v>
      </c>
      <c r="Z25" s="1753" t="b">
        <f t="shared" si="9"/>
        <v>1</v>
      </c>
      <c r="AA25" s="1753" t="b">
        <f t="shared" si="10"/>
        <v>1</v>
      </c>
      <c r="AB25" s="1753" t="b">
        <f t="shared" si="11"/>
        <v>1</v>
      </c>
      <c r="AC25" s="1753" t="b">
        <f t="shared" si="12"/>
        <v>1</v>
      </c>
      <c r="AD25" s="1754" t="b">
        <f t="shared" si="13"/>
        <v>1</v>
      </c>
      <c r="AE25" s="1754" t="b">
        <f t="shared" si="14"/>
        <v>1</v>
      </c>
    </row>
    <row r="26" spans="2:31" s="1763" customFormat="1" ht="15" customHeight="1" x14ac:dyDescent="0.2">
      <c r="B26" s="1790"/>
      <c r="C26" s="1787"/>
      <c r="D26" s="1788"/>
      <c r="E26" s="1787"/>
      <c r="F26" s="1788"/>
      <c r="G26" s="1787"/>
      <c r="H26" s="1789"/>
      <c r="I26" s="1774"/>
      <c r="J26" s="1790"/>
      <c r="K26" s="1791"/>
      <c r="L26" s="1788"/>
      <c r="M26" s="1787"/>
      <c r="N26" s="1788"/>
      <c r="O26" s="1774"/>
      <c r="P26" s="1789"/>
      <c r="Q26" s="552" t="str">
        <f t="shared" si="0"/>
        <v/>
      </c>
      <c r="R26" s="1752" t="b">
        <f t="shared" si="1"/>
        <v>1</v>
      </c>
      <c r="S26" s="1752">
        <f t="shared" si="2"/>
        <v>0</v>
      </c>
      <c r="T26" s="1753" t="b">
        <f t="shared" si="3"/>
        <v>1</v>
      </c>
      <c r="U26" s="1753" t="b">
        <f t="shared" si="4"/>
        <v>1</v>
      </c>
      <c r="V26" s="1753" t="b">
        <f t="shared" si="5"/>
        <v>1</v>
      </c>
      <c r="W26" s="1753" t="b">
        <f t="shared" si="6"/>
        <v>1</v>
      </c>
      <c r="X26" s="1752" t="b">
        <f t="shared" si="7"/>
        <v>1</v>
      </c>
      <c r="Y26" s="1752">
        <f t="shared" si="8"/>
        <v>0</v>
      </c>
      <c r="Z26" s="1753" t="b">
        <f t="shared" si="9"/>
        <v>1</v>
      </c>
      <c r="AA26" s="1753" t="b">
        <f t="shared" si="10"/>
        <v>1</v>
      </c>
      <c r="AB26" s="1753" t="b">
        <f t="shared" si="11"/>
        <v>1</v>
      </c>
      <c r="AC26" s="1753" t="b">
        <f t="shared" si="12"/>
        <v>1</v>
      </c>
      <c r="AD26" s="1754" t="b">
        <f t="shared" si="13"/>
        <v>1</v>
      </c>
      <c r="AE26" s="1754" t="b">
        <f t="shared" si="14"/>
        <v>1</v>
      </c>
    </row>
    <row r="27" spans="2:31" s="1763" customFormat="1" ht="15" customHeight="1" x14ac:dyDescent="0.2">
      <c r="B27" s="1790"/>
      <c r="C27" s="1787"/>
      <c r="D27" s="1788"/>
      <c r="E27" s="1787"/>
      <c r="F27" s="1788"/>
      <c r="G27" s="1787"/>
      <c r="H27" s="1789"/>
      <c r="I27" s="1774"/>
      <c r="J27" s="1790"/>
      <c r="K27" s="1791"/>
      <c r="L27" s="1788"/>
      <c r="M27" s="1787"/>
      <c r="N27" s="1788"/>
      <c r="O27" s="1774"/>
      <c r="P27" s="1789"/>
      <c r="Q27" s="552" t="str">
        <f t="shared" si="0"/>
        <v/>
      </c>
      <c r="R27" s="1752" t="b">
        <f t="shared" si="1"/>
        <v>1</v>
      </c>
      <c r="S27" s="1752">
        <f t="shared" si="2"/>
        <v>0</v>
      </c>
      <c r="T27" s="1753" t="b">
        <f t="shared" si="3"/>
        <v>1</v>
      </c>
      <c r="U27" s="1753" t="b">
        <f t="shared" si="4"/>
        <v>1</v>
      </c>
      <c r="V27" s="1753" t="b">
        <f t="shared" si="5"/>
        <v>1</v>
      </c>
      <c r="W27" s="1753" t="b">
        <f t="shared" si="6"/>
        <v>1</v>
      </c>
      <c r="X27" s="1752" t="b">
        <f t="shared" si="7"/>
        <v>1</v>
      </c>
      <c r="Y27" s="1752">
        <f t="shared" si="8"/>
        <v>0</v>
      </c>
      <c r="Z27" s="1753" t="b">
        <f t="shared" si="9"/>
        <v>1</v>
      </c>
      <c r="AA27" s="1753" t="b">
        <f t="shared" si="10"/>
        <v>1</v>
      </c>
      <c r="AB27" s="1753" t="b">
        <f t="shared" si="11"/>
        <v>1</v>
      </c>
      <c r="AC27" s="1753" t="b">
        <f t="shared" si="12"/>
        <v>1</v>
      </c>
      <c r="AD27" s="1754" t="b">
        <f t="shared" si="13"/>
        <v>1</v>
      </c>
      <c r="AE27" s="1754" t="b">
        <f t="shared" si="14"/>
        <v>1</v>
      </c>
    </row>
    <row r="28" spans="2:31" s="1763" customFormat="1" ht="15" customHeight="1" thickBot="1" x14ac:dyDescent="0.25">
      <c r="B28" s="1774"/>
      <c r="C28" s="1774"/>
      <c r="D28" s="1774"/>
      <c r="E28" s="1774"/>
      <c r="F28" s="1782" t="s">
        <v>976</v>
      </c>
      <c r="G28" s="1782"/>
      <c r="H28" s="1805">
        <f>SUM(H14:H27)</f>
        <v>0</v>
      </c>
      <c r="I28" s="1774"/>
      <c r="J28" s="1774"/>
      <c r="K28" s="1774"/>
      <c r="L28" s="1774"/>
      <c r="M28" s="1774"/>
      <c r="N28" s="1782" t="s">
        <v>977</v>
      </c>
      <c r="O28" s="1782"/>
      <c r="P28" s="1805">
        <f>SUM(P14:P27)</f>
        <v>0</v>
      </c>
      <c r="Q28" s="1754"/>
      <c r="R28" s="1752">
        <f>COUNTIF(R13:R27,FALSE)</f>
        <v>0</v>
      </c>
      <c r="S28" s="1759"/>
      <c r="T28" s="1759"/>
      <c r="U28" s="1759"/>
      <c r="V28" s="1759"/>
      <c r="W28" s="1759"/>
      <c r="X28" s="1752">
        <f>COUNTIF(X13:X27,FALSE)</f>
        <v>0</v>
      </c>
      <c r="Y28" s="1759"/>
      <c r="Z28" s="1759"/>
      <c r="AA28" s="1759"/>
      <c r="AB28" s="1759"/>
      <c r="AC28" s="1759"/>
      <c r="AD28" s="1759">
        <f>COUNTIF(AD13:AD27,FALSE)</f>
        <v>0</v>
      </c>
      <c r="AE28" s="1759">
        <f>COUNTIF(AE13:AE27,FALSE)</f>
        <v>0</v>
      </c>
    </row>
    <row r="29" spans="2:31" s="1796" customFormat="1" ht="21.75" customHeight="1" x14ac:dyDescent="0.2">
      <c r="B29" s="1806"/>
      <c r="C29" s="1806"/>
      <c r="D29" s="1806"/>
      <c r="E29" s="1806"/>
      <c r="F29" s="2759" t="s">
        <v>978</v>
      </c>
      <c r="G29" s="2759"/>
      <c r="H29" s="2759"/>
      <c r="I29" s="1806"/>
      <c r="J29" s="1806"/>
      <c r="K29" s="1806"/>
      <c r="L29" s="1806"/>
      <c r="M29" s="2760" t="str">
        <f>IF(P29&lt;&gt;0,"Out of Balance","")</f>
        <v/>
      </c>
      <c r="N29" s="2760"/>
      <c r="O29" s="1807"/>
      <c r="P29" s="1808">
        <f>+H28-P28</f>
        <v>0</v>
      </c>
      <c r="Q29" s="1759"/>
    </row>
    <row r="30" spans="2:31" s="1760" customFormat="1" ht="12.75" x14ac:dyDescent="0.2">
      <c r="B30" s="1783" t="s">
        <v>4784</v>
      </c>
      <c r="C30" s="1783"/>
      <c r="D30" s="1783"/>
      <c r="E30" s="1783"/>
      <c r="F30" s="1783"/>
      <c r="G30" s="1783"/>
      <c r="H30" s="1783"/>
      <c r="I30" s="1783"/>
      <c r="J30" s="1783"/>
      <c r="K30" s="1783"/>
      <c r="L30" s="1783"/>
      <c r="M30" s="1783"/>
      <c r="N30" s="1783"/>
      <c r="O30" s="1783"/>
      <c r="P30" s="1783"/>
    </row>
    <row r="31" spans="2:31" s="1763" customFormat="1" ht="14.25" customHeight="1" x14ac:dyDescent="0.2">
      <c r="B31" s="1809"/>
      <c r="C31" s="1809"/>
      <c r="D31" s="1809"/>
      <c r="E31" s="1809"/>
      <c r="F31" s="1809"/>
      <c r="G31" s="1809"/>
      <c r="H31" s="1809"/>
      <c r="I31" s="1809"/>
      <c r="J31" s="1809"/>
      <c r="K31" s="1809"/>
      <c r="L31" s="1809"/>
      <c r="M31" s="1809"/>
      <c r="N31" s="1809"/>
      <c r="O31" s="1809"/>
      <c r="P31" s="1809"/>
    </row>
    <row r="32" spans="2:31" s="1763" customFormat="1" ht="15" customHeight="1" x14ac:dyDescent="0.2">
      <c r="B32" s="1809"/>
      <c r="C32" s="1809"/>
      <c r="D32" s="1809"/>
      <c r="E32" s="1809"/>
      <c r="F32" s="1809"/>
      <c r="G32" s="1809"/>
      <c r="H32" s="1809"/>
      <c r="I32" s="1809"/>
      <c r="J32" s="1809"/>
      <c r="K32" s="1809"/>
      <c r="L32" s="1809"/>
      <c r="M32" s="1809"/>
      <c r="N32" s="1809"/>
      <c r="O32" s="1809"/>
      <c r="P32" s="1809"/>
    </row>
    <row r="33" spans="1:17" s="1763" customFormat="1" ht="15" customHeight="1" x14ac:dyDescent="0.2">
      <c r="B33" s="1810"/>
      <c r="C33" s="1810"/>
      <c r="D33" s="1810"/>
      <c r="E33" s="1810"/>
      <c r="F33" s="1810"/>
      <c r="G33" s="1810"/>
      <c r="H33" s="1810"/>
      <c r="I33" s="1810"/>
      <c r="J33" s="1810"/>
      <c r="K33" s="1810"/>
      <c r="L33" s="1810"/>
      <c r="M33" s="1810"/>
      <c r="N33" s="1810"/>
      <c r="O33" s="1810"/>
      <c r="P33" s="1810"/>
    </row>
    <row r="35" spans="1:17" x14ac:dyDescent="0.25">
      <c r="B35" s="1161"/>
    </row>
    <row r="36" spans="1:17" x14ac:dyDescent="0.25">
      <c r="B36" s="1161"/>
    </row>
    <row r="37" spans="1:17" ht="20.85" customHeight="1" x14ac:dyDescent="0.25">
      <c r="A37" s="794" t="str">
        <f ca="1">MID(CELL("filename",A3),FIND("]",CELL("filename",A3))+1,256)</f>
        <v>540</v>
      </c>
      <c r="B37" s="794"/>
    </row>
    <row r="38" spans="1:17" ht="20.85" customHeight="1" x14ac:dyDescent="0.25">
      <c r="A38" s="794" t="s">
        <v>446</v>
      </c>
      <c r="B38" s="794" t="s">
        <v>4119</v>
      </c>
    </row>
    <row r="39" spans="1:17" ht="20.85" customHeight="1" x14ac:dyDescent="0.25">
      <c r="A39" s="794" t="s">
        <v>447</v>
      </c>
      <c r="B39" s="794" t="s">
        <v>4119</v>
      </c>
    </row>
    <row r="40" spans="1:17" ht="20.85" customHeight="1" x14ac:dyDescent="0.25">
      <c r="A40" s="794" t="s">
        <v>448</v>
      </c>
      <c r="B40" s="794" t="s">
        <v>4119</v>
      </c>
    </row>
    <row r="41" spans="1:17" ht="20.85" customHeight="1" x14ac:dyDescent="0.25">
      <c r="A41" s="794" t="s">
        <v>450</v>
      </c>
      <c r="B41" s="794" t="s">
        <v>4119</v>
      </c>
      <c r="F41" s="1768" t="s">
        <v>973</v>
      </c>
      <c r="N41" s="1768" t="s">
        <v>973</v>
      </c>
      <c r="Q41" s="1768" t="s">
        <v>973</v>
      </c>
    </row>
    <row r="42" spans="1:17" ht="20.85" customHeight="1" x14ac:dyDescent="0.25">
      <c r="A42" s="794" t="s">
        <v>451</v>
      </c>
      <c r="B42" s="794" t="s">
        <v>4119</v>
      </c>
    </row>
    <row r="43" spans="1:17" ht="20.85" customHeight="1" x14ac:dyDescent="0.25">
      <c r="A43" s="794" t="s">
        <v>452</v>
      </c>
      <c r="B43" s="794" t="s">
        <v>4119</v>
      </c>
    </row>
    <row r="44" spans="1:17" ht="20.85" customHeight="1" x14ac:dyDescent="0.25">
      <c r="A44" s="794" t="s">
        <v>453</v>
      </c>
      <c r="B44" s="794" t="s">
        <v>4119</v>
      </c>
    </row>
    <row r="45" spans="1:17" ht="20.85" customHeight="1" x14ac:dyDescent="0.25">
      <c r="A45" s="794" t="s">
        <v>454</v>
      </c>
      <c r="B45" s="794" t="s">
        <v>4119</v>
      </c>
    </row>
    <row r="46" spans="1:17" ht="20.85" customHeight="1" x14ac:dyDescent="0.25">
      <c r="A46" s="794" t="s">
        <v>455</v>
      </c>
      <c r="B46" s="794" t="s">
        <v>4119</v>
      </c>
    </row>
    <row r="47" spans="1:17" ht="20.85" customHeight="1" x14ac:dyDescent="0.25">
      <c r="A47" s="794" t="s">
        <v>456</v>
      </c>
      <c r="B47" s="794" t="s">
        <v>4119</v>
      </c>
    </row>
    <row r="48" spans="1:17" ht="20.85" customHeight="1" x14ac:dyDescent="0.25">
      <c r="F48" s="1768" t="s">
        <v>973</v>
      </c>
    </row>
    <row r="49" spans="6:29" ht="20.85" customHeight="1" x14ac:dyDescent="0.25"/>
    <row r="50" spans="6:29" ht="20.85" customHeight="1" x14ac:dyDescent="0.25"/>
    <row r="51" spans="6:29" ht="20.85" customHeight="1" x14ac:dyDescent="0.25">
      <c r="F51" s="1800" t="s">
        <v>973</v>
      </c>
      <c r="G51" s="1800"/>
      <c r="M51" s="1800"/>
      <c r="N51" s="1801" t="s">
        <v>973</v>
      </c>
      <c r="O51" s="1801"/>
      <c r="Q51" s="1800" t="s">
        <v>973</v>
      </c>
      <c r="R51" s="1800"/>
      <c r="S51" s="1800"/>
      <c r="T51" s="1800"/>
      <c r="U51" s="1800"/>
      <c r="V51" s="1800"/>
      <c r="W51" s="1800"/>
      <c r="X51" s="1800"/>
      <c r="Y51" s="1800"/>
      <c r="Z51" s="1800"/>
      <c r="AA51" s="1800"/>
      <c r="AB51" s="1800"/>
      <c r="AC51" s="1800"/>
    </row>
  </sheetData>
  <sheetProtection algorithmName="SHA-512" hashValue="GfzKZeorvqV/dhM+YQykvz8c9L8RDHgnprd/67NYDIy2MD7P1R7vugTuGXShVtltdQ69f3rZTevtTZJDJDBQYQ==" saltValue="eTmeuvTGMFiYuLW3RCsKXA==" spinCount="100000" sheet="1" objects="1" scenarios="1" autoFilter="0"/>
  <dataConsolidate link="1"/>
  <mergeCells count="12">
    <mergeCell ref="Q1:Q3"/>
    <mergeCell ref="B2:P2"/>
    <mergeCell ref="B3:P3"/>
    <mergeCell ref="L5:P5"/>
    <mergeCell ref="B1:P1"/>
    <mergeCell ref="O4:P4"/>
    <mergeCell ref="D6:H6"/>
    <mergeCell ref="L6:P6"/>
    <mergeCell ref="B9:H9"/>
    <mergeCell ref="J9:P9"/>
    <mergeCell ref="F29:H29"/>
    <mergeCell ref="M29:N29"/>
  </mergeCells>
  <conditionalFormatting sqref="Q4:AC4 R1:AC3">
    <cfRule type="cellIs" dxfId="62" priority="3" stopIfTrue="1" operator="equal">
      <formula>"na"</formula>
    </cfRule>
  </conditionalFormatting>
  <conditionalFormatting sqref="Q1:Q3">
    <cfRule type="cellIs" dxfId="61" priority="2" stopIfTrue="1" operator="equal">
      <formula>"na"</formula>
    </cfRule>
  </conditionalFormatting>
  <conditionalFormatting sqref="AI1:AI3">
    <cfRule type="cellIs" dxfId="60" priority="1" stopIfTrue="1" operator="equal">
      <formula>"na"</formula>
    </cfRule>
  </conditionalFormatting>
  <dataValidations count="4">
    <dataValidation type="textLength" operator="equal" allowBlank="1" showInputMessage="1" showErrorMessage="1" errorTitle="Invalid data!" error="Company number must be 4 digits." sqref="IX13:IX27 ST13:ST27 ACP13:ACP27 AML13:AML27 AWH13:AWH27 BGD13:BGD27 BPZ13:BPZ27 BZV13:BZV27 CJR13:CJR27 CTN13:CTN27 DDJ13:DDJ27 DNF13:DNF27 DXB13:DXB27 EGX13:EGX27 EQT13:EQT27 FAP13:FAP27 FKL13:FKL27 FUH13:FUH27 GED13:GED27 GNZ13:GNZ27 GXV13:GXV27 HHR13:HHR27 HRN13:HRN27 IBJ13:IBJ27 ILF13:ILF27 IVB13:IVB27 JEX13:JEX27 JOT13:JOT27 JYP13:JYP27 KIL13:KIL27 KSH13:KSH27 LCD13:LCD27 LLZ13:LLZ27 LVV13:LVV27 MFR13:MFR27 MPN13:MPN27 MZJ13:MZJ27 NJF13:NJF27 NTB13:NTB27 OCX13:OCX27 OMT13:OMT27 OWP13:OWP27 PGL13:PGL27 PQH13:PQH27 QAD13:QAD27 QJZ13:QJZ27 QTV13:QTV27 RDR13:RDR27 RNN13:RNN27 RXJ13:RXJ27 SHF13:SHF27 SRB13:SRB27 TAX13:TAX27 TKT13:TKT27 TUP13:TUP27 UEL13:UEL27 UOH13:UOH27 UYD13:UYD27 VHZ13:VHZ27 VRV13:VRV27 WBR13:WBR27 WLN13:WLN27 WVJ13:WVJ27 B65549:B65563 IX65549:IX65563 ST65549:ST65563 ACP65549:ACP65563 AML65549:AML65563 AWH65549:AWH65563 BGD65549:BGD65563 BPZ65549:BPZ65563 BZV65549:BZV65563 CJR65549:CJR65563 CTN65549:CTN65563 DDJ65549:DDJ65563 DNF65549:DNF65563 DXB65549:DXB65563 EGX65549:EGX65563 EQT65549:EQT65563 FAP65549:FAP65563 FKL65549:FKL65563 FUH65549:FUH65563 GED65549:GED65563 GNZ65549:GNZ65563 GXV65549:GXV65563 HHR65549:HHR65563 HRN65549:HRN65563 IBJ65549:IBJ65563 ILF65549:ILF65563 IVB65549:IVB65563 JEX65549:JEX65563 JOT65549:JOT65563 JYP65549:JYP65563 KIL65549:KIL65563 KSH65549:KSH65563 LCD65549:LCD65563 LLZ65549:LLZ65563 LVV65549:LVV65563 MFR65549:MFR65563 MPN65549:MPN65563 MZJ65549:MZJ65563 NJF65549:NJF65563 NTB65549:NTB65563 OCX65549:OCX65563 OMT65549:OMT65563 OWP65549:OWP65563 PGL65549:PGL65563 PQH65549:PQH65563 QAD65549:QAD65563 QJZ65549:QJZ65563 QTV65549:QTV65563 RDR65549:RDR65563 RNN65549:RNN65563 RXJ65549:RXJ65563 SHF65549:SHF65563 SRB65549:SRB65563 TAX65549:TAX65563 TKT65549:TKT65563 TUP65549:TUP65563 UEL65549:UEL65563 UOH65549:UOH65563 UYD65549:UYD65563 VHZ65549:VHZ65563 VRV65549:VRV65563 WBR65549:WBR65563 WLN65549:WLN65563 WVJ65549:WVJ65563 B131085:B131099 IX131085:IX131099 ST131085:ST131099 ACP131085:ACP131099 AML131085:AML131099 AWH131085:AWH131099 BGD131085:BGD131099 BPZ131085:BPZ131099 BZV131085:BZV131099 CJR131085:CJR131099 CTN131085:CTN131099 DDJ131085:DDJ131099 DNF131085:DNF131099 DXB131085:DXB131099 EGX131085:EGX131099 EQT131085:EQT131099 FAP131085:FAP131099 FKL131085:FKL131099 FUH131085:FUH131099 GED131085:GED131099 GNZ131085:GNZ131099 GXV131085:GXV131099 HHR131085:HHR131099 HRN131085:HRN131099 IBJ131085:IBJ131099 ILF131085:ILF131099 IVB131085:IVB131099 JEX131085:JEX131099 JOT131085:JOT131099 JYP131085:JYP131099 KIL131085:KIL131099 KSH131085:KSH131099 LCD131085:LCD131099 LLZ131085:LLZ131099 LVV131085:LVV131099 MFR131085:MFR131099 MPN131085:MPN131099 MZJ131085:MZJ131099 NJF131085:NJF131099 NTB131085:NTB131099 OCX131085:OCX131099 OMT131085:OMT131099 OWP131085:OWP131099 PGL131085:PGL131099 PQH131085:PQH131099 QAD131085:QAD131099 QJZ131085:QJZ131099 QTV131085:QTV131099 RDR131085:RDR131099 RNN131085:RNN131099 RXJ131085:RXJ131099 SHF131085:SHF131099 SRB131085:SRB131099 TAX131085:TAX131099 TKT131085:TKT131099 TUP131085:TUP131099 UEL131085:UEL131099 UOH131085:UOH131099 UYD131085:UYD131099 VHZ131085:VHZ131099 VRV131085:VRV131099 WBR131085:WBR131099 WLN131085:WLN131099 WVJ131085:WVJ131099 B196621:B196635 IX196621:IX196635 ST196621:ST196635 ACP196621:ACP196635 AML196621:AML196635 AWH196621:AWH196635 BGD196621:BGD196635 BPZ196621:BPZ196635 BZV196621:BZV196635 CJR196621:CJR196635 CTN196621:CTN196635 DDJ196621:DDJ196635 DNF196621:DNF196635 DXB196621:DXB196635 EGX196621:EGX196635 EQT196621:EQT196635 FAP196621:FAP196635 FKL196621:FKL196635 FUH196621:FUH196635 GED196621:GED196635 GNZ196621:GNZ196635 GXV196621:GXV196635 HHR196621:HHR196635 HRN196621:HRN196635 IBJ196621:IBJ196635 ILF196621:ILF196635 IVB196621:IVB196635 JEX196621:JEX196635 JOT196621:JOT196635 JYP196621:JYP196635 KIL196621:KIL196635 KSH196621:KSH196635 LCD196621:LCD196635 LLZ196621:LLZ196635 LVV196621:LVV196635 MFR196621:MFR196635 MPN196621:MPN196635 MZJ196621:MZJ196635 NJF196621:NJF196635 NTB196621:NTB196635 OCX196621:OCX196635 OMT196621:OMT196635 OWP196621:OWP196635 PGL196621:PGL196635 PQH196621:PQH196635 QAD196621:QAD196635 QJZ196621:QJZ196635 QTV196621:QTV196635 RDR196621:RDR196635 RNN196621:RNN196635 RXJ196621:RXJ196635 SHF196621:SHF196635 SRB196621:SRB196635 TAX196621:TAX196635 TKT196621:TKT196635 TUP196621:TUP196635 UEL196621:UEL196635 UOH196621:UOH196635 UYD196621:UYD196635 VHZ196621:VHZ196635 VRV196621:VRV196635 WBR196621:WBR196635 WLN196621:WLN196635 WVJ196621:WVJ196635 B262157:B262171 IX262157:IX262171 ST262157:ST262171 ACP262157:ACP262171 AML262157:AML262171 AWH262157:AWH262171 BGD262157:BGD262171 BPZ262157:BPZ262171 BZV262157:BZV262171 CJR262157:CJR262171 CTN262157:CTN262171 DDJ262157:DDJ262171 DNF262157:DNF262171 DXB262157:DXB262171 EGX262157:EGX262171 EQT262157:EQT262171 FAP262157:FAP262171 FKL262157:FKL262171 FUH262157:FUH262171 GED262157:GED262171 GNZ262157:GNZ262171 GXV262157:GXV262171 HHR262157:HHR262171 HRN262157:HRN262171 IBJ262157:IBJ262171 ILF262157:ILF262171 IVB262157:IVB262171 JEX262157:JEX262171 JOT262157:JOT262171 JYP262157:JYP262171 KIL262157:KIL262171 KSH262157:KSH262171 LCD262157:LCD262171 LLZ262157:LLZ262171 LVV262157:LVV262171 MFR262157:MFR262171 MPN262157:MPN262171 MZJ262157:MZJ262171 NJF262157:NJF262171 NTB262157:NTB262171 OCX262157:OCX262171 OMT262157:OMT262171 OWP262157:OWP262171 PGL262157:PGL262171 PQH262157:PQH262171 QAD262157:QAD262171 QJZ262157:QJZ262171 QTV262157:QTV262171 RDR262157:RDR262171 RNN262157:RNN262171 RXJ262157:RXJ262171 SHF262157:SHF262171 SRB262157:SRB262171 TAX262157:TAX262171 TKT262157:TKT262171 TUP262157:TUP262171 UEL262157:UEL262171 UOH262157:UOH262171 UYD262157:UYD262171 VHZ262157:VHZ262171 VRV262157:VRV262171 WBR262157:WBR262171 WLN262157:WLN262171 WVJ262157:WVJ262171 B327693:B327707 IX327693:IX327707 ST327693:ST327707 ACP327693:ACP327707 AML327693:AML327707 AWH327693:AWH327707 BGD327693:BGD327707 BPZ327693:BPZ327707 BZV327693:BZV327707 CJR327693:CJR327707 CTN327693:CTN327707 DDJ327693:DDJ327707 DNF327693:DNF327707 DXB327693:DXB327707 EGX327693:EGX327707 EQT327693:EQT327707 FAP327693:FAP327707 FKL327693:FKL327707 FUH327693:FUH327707 GED327693:GED327707 GNZ327693:GNZ327707 GXV327693:GXV327707 HHR327693:HHR327707 HRN327693:HRN327707 IBJ327693:IBJ327707 ILF327693:ILF327707 IVB327693:IVB327707 JEX327693:JEX327707 JOT327693:JOT327707 JYP327693:JYP327707 KIL327693:KIL327707 KSH327693:KSH327707 LCD327693:LCD327707 LLZ327693:LLZ327707 LVV327693:LVV327707 MFR327693:MFR327707 MPN327693:MPN327707 MZJ327693:MZJ327707 NJF327693:NJF327707 NTB327693:NTB327707 OCX327693:OCX327707 OMT327693:OMT327707 OWP327693:OWP327707 PGL327693:PGL327707 PQH327693:PQH327707 QAD327693:QAD327707 QJZ327693:QJZ327707 QTV327693:QTV327707 RDR327693:RDR327707 RNN327693:RNN327707 RXJ327693:RXJ327707 SHF327693:SHF327707 SRB327693:SRB327707 TAX327693:TAX327707 TKT327693:TKT327707 TUP327693:TUP327707 UEL327693:UEL327707 UOH327693:UOH327707 UYD327693:UYD327707 VHZ327693:VHZ327707 VRV327693:VRV327707 WBR327693:WBR327707 WLN327693:WLN327707 WVJ327693:WVJ327707 B393229:B393243 IX393229:IX393243 ST393229:ST393243 ACP393229:ACP393243 AML393229:AML393243 AWH393229:AWH393243 BGD393229:BGD393243 BPZ393229:BPZ393243 BZV393229:BZV393243 CJR393229:CJR393243 CTN393229:CTN393243 DDJ393229:DDJ393243 DNF393229:DNF393243 DXB393229:DXB393243 EGX393229:EGX393243 EQT393229:EQT393243 FAP393229:FAP393243 FKL393229:FKL393243 FUH393229:FUH393243 GED393229:GED393243 GNZ393229:GNZ393243 GXV393229:GXV393243 HHR393229:HHR393243 HRN393229:HRN393243 IBJ393229:IBJ393243 ILF393229:ILF393243 IVB393229:IVB393243 JEX393229:JEX393243 JOT393229:JOT393243 JYP393229:JYP393243 KIL393229:KIL393243 KSH393229:KSH393243 LCD393229:LCD393243 LLZ393229:LLZ393243 LVV393229:LVV393243 MFR393229:MFR393243 MPN393229:MPN393243 MZJ393229:MZJ393243 NJF393229:NJF393243 NTB393229:NTB393243 OCX393229:OCX393243 OMT393229:OMT393243 OWP393229:OWP393243 PGL393229:PGL393243 PQH393229:PQH393243 QAD393229:QAD393243 QJZ393229:QJZ393243 QTV393229:QTV393243 RDR393229:RDR393243 RNN393229:RNN393243 RXJ393229:RXJ393243 SHF393229:SHF393243 SRB393229:SRB393243 TAX393229:TAX393243 TKT393229:TKT393243 TUP393229:TUP393243 UEL393229:UEL393243 UOH393229:UOH393243 UYD393229:UYD393243 VHZ393229:VHZ393243 VRV393229:VRV393243 WBR393229:WBR393243 WLN393229:WLN393243 WVJ393229:WVJ393243 B458765:B458779 IX458765:IX458779 ST458765:ST458779 ACP458765:ACP458779 AML458765:AML458779 AWH458765:AWH458779 BGD458765:BGD458779 BPZ458765:BPZ458779 BZV458765:BZV458779 CJR458765:CJR458779 CTN458765:CTN458779 DDJ458765:DDJ458779 DNF458765:DNF458779 DXB458765:DXB458779 EGX458765:EGX458779 EQT458765:EQT458779 FAP458765:FAP458779 FKL458765:FKL458779 FUH458765:FUH458779 GED458765:GED458779 GNZ458765:GNZ458779 GXV458765:GXV458779 HHR458765:HHR458779 HRN458765:HRN458779 IBJ458765:IBJ458779 ILF458765:ILF458779 IVB458765:IVB458779 JEX458765:JEX458779 JOT458765:JOT458779 JYP458765:JYP458779 KIL458765:KIL458779 KSH458765:KSH458779 LCD458765:LCD458779 LLZ458765:LLZ458779 LVV458765:LVV458779 MFR458765:MFR458779 MPN458765:MPN458779 MZJ458765:MZJ458779 NJF458765:NJF458779 NTB458765:NTB458779 OCX458765:OCX458779 OMT458765:OMT458779 OWP458765:OWP458779 PGL458765:PGL458779 PQH458765:PQH458779 QAD458765:QAD458779 QJZ458765:QJZ458779 QTV458765:QTV458779 RDR458765:RDR458779 RNN458765:RNN458779 RXJ458765:RXJ458779 SHF458765:SHF458779 SRB458765:SRB458779 TAX458765:TAX458779 TKT458765:TKT458779 TUP458765:TUP458779 UEL458765:UEL458779 UOH458765:UOH458779 UYD458765:UYD458779 VHZ458765:VHZ458779 VRV458765:VRV458779 WBR458765:WBR458779 WLN458765:WLN458779 WVJ458765:WVJ458779 B524301:B524315 IX524301:IX524315 ST524301:ST524315 ACP524301:ACP524315 AML524301:AML524315 AWH524301:AWH524315 BGD524301:BGD524315 BPZ524301:BPZ524315 BZV524301:BZV524315 CJR524301:CJR524315 CTN524301:CTN524315 DDJ524301:DDJ524315 DNF524301:DNF524315 DXB524301:DXB524315 EGX524301:EGX524315 EQT524301:EQT524315 FAP524301:FAP524315 FKL524301:FKL524315 FUH524301:FUH524315 GED524301:GED524315 GNZ524301:GNZ524315 GXV524301:GXV524315 HHR524301:HHR524315 HRN524301:HRN524315 IBJ524301:IBJ524315 ILF524301:ILF524315 IVB524301:IVB524315 JEX524301:JEX524315 JOT524301:JOT524315 JYP524301:JYP524315 KIL524301:KIL524315 KSH524301:KSH524315 LCD524301:LCD524315 LLZ524301:LLZ524315 LVV524301:LVV524315 MFR524301:MFR524315 MPN524301:MPN524315 MZJ524301:MZJ524315 NJF524301:NJF524315 NTB524301:NTB524315 OCX524301:OCX524315 OMT524301:OMT524315 OWP524301:OWP524315 PGL524301:PGL524315 PQH524301:PQH524315 QAD524301:QAD524315 QJZ524301:QJZ524315 QTV524301:QTV524315 RDR524301:RDR524315 RNN524301:RNN524315 RXJ524301:RXJ524315 SHF524301:SHF524315 SRB524301:SRB524315 TAX524301:TAX524315 TKT524301:TKT524315 TUP524301:TUP524315 UEL524301:UEL524315 UOH524301:UOH524315 UYD524301:UYD524315 VHZ524301:VHZ524315 VRV524301:VRV524315 WBR524301:WBR524315 WLN524301:WLN524315 WVJ524301:WVJ524315 B589837:B589851 IX589837:IX589851 ST589837:ST589851 ACP589837:ACP589851 AML589837:AML589851 AWH589837:AWH589851 BGD589837:BGD589851 BPZ589837:BPZ589851 BZV589837:BZV589851 CJR589837:CJR589851 CTN589837:CTN589851 DDJ589837:DDJ589851 DNF589837:DNF589851 DXB589837:DXB589851 EGX589837:EGX589851 EQT589837:EQT589851 FAP589837:FAP589851 FKL589837:FKL589851 FUH589837:FUH589851 GED589837:GED589851 GNZ589837:GNZ589851 GXV589837:GXV589851 HHR589837:HHR589851 HRN589837:HRN589851 IBJ589837:IBJ589851 ILF589837:ILF589851 IVB589837:IVB589851 JEX589837:JEX589851 JOT589837:JOT589851 JYP589837:JYP589851 KIL589837:KIL589851 KSH589837:KSH589851 LCD589837:LCD589851 LLZ589837:LLZ589851 LVV589837:LVV589851 MFR589837:MFR589851 MPN589837:MPN589851 MZJ589837:MZJ589851 NJF589837:NJF589851 NTB589837:NTB589851 OCX589837:OCX589851 OMT589837:OMT589851 OWP589837:OWP589851 PGL589837:PGL589851 PQH589837:PQH589851 QAD589837:QAD589851 QJZ589837:QJZ589851 QTV589837:QTV589851 RDR589837:RDR589851 RNN589837:RNN589851 RXJ589837:RXJ589851 SHF589837:SHF589851 SRB589837:SRB589851 TAX589837:TAX589851 TKT589837:TKT589851 TUP589837:TUP589851 UEL589837:UEL589851 UOH589837:UOH589851 UYD589837:UYD589851 VHZ589837:VHZ589851 VRV589837:VRV589851 WBR589837:WBR589851 WLN589837:WLN589851 WVJ589837:WVJ589851 B655373:B655387 IX655373:IX655387 ST655373:ST655387 ACP655373:ACP655387 AML655373:AML655387 AWH655373:AWH655387 BGD655373:BGD655387 BPZ655373:BPZ655387 BZV655373:BZV655387 CJR655373:CJR655387 CTN655373:CTN655387 DDJ655373:DDJ655387 DNF655373:DNF655387 DXB655373:DXB655387 EGX655373:EGX655387 EQT655373:EQT655387 FAP655373:FAP655387 FKL655373:FKL655387 FUH655373:FUH655387 GED655373:GED655387 GNZ655373:GNZ655387 GXV655373:GXV655387 HHR655373:HHR655387 HRN655373:HRN655387 IBJ655373:IBJ655387 ILF655373:ILF655387 IVB655373:IVB655387 JEX655373:JEX655387 JOT655373:JOT655387 JYP655373:JYP655387 KIL655373:KIL655387 KSH655373:KSH655387 LCD655373:LCD655387 LLZ655373:LLZ655387 LVV655373:LVV655387 MFR655373:MFR655387 MPN655373:MPN655387 MZJ655373:MZJ655387 NJF655373:NJF655387 NTB655373:NTB655387 OCX655373:OCX655387 OMT655373:OMT655387 OWP655373:OWP655387 PGL655373:PGL655387 PQH655373:PQH655387 QAD655373:QAD655387 QJZ655373:QJZ655387 QTV655373:QTV655387 RDR655373:RDR655387 RNN655373:RNN655387 RXJ655373:RXJ655387 SHF655373:SHF655387 SRB655373:SRB655387 TAX655373:TAX655387 TKT655373:TKT655387 TUP655373:TUP655387 UEL655373:UEL655387 UOH655373:UOH655387 UYD655373:UYD655387 VHZ655373:VHZ655387 VRV655373:VRV655387 WBR655373:WBR655387 WLN655373:WLN655387 WVJ655373:WVJ655387 B720909:B720923 IX720909:IX720923 ST720909:ST720923 ACP720909:ACP720923 AML720909:AML720923 AWH720909:AWH720923 BGD720909:BGD720923 BPZ720909:BPZ720923 BZV720909:BZV720923 CJR720909:CJR720923 CTN720909:CTN720923 DDJ720909:DDJ720923 DNF720909:DNF720923 DXB720909:DXB720923 EGX720909:EGX720923 EQT720909:EQT720923 FAP720909:FAP720923 FKL720909:FKL720923 FUH720909:FUH720923 GED720909:GED720923 GNZ720909:GNZ720923 GXV720909:GXV720923 HHR720909:HHR720923 HRN720909:HRN720923 IBJ720909:IBJ720923 ILF720909:ILF720923 IVB720909:IVB720923 JEX720909:JEX720923 JOT720909:JOT720923 JYP720909:JYP720923 KIL720909:KIL720923 KSH720909:KSH720923 LCD720909:LCD720923 LLZ720909:LLZ720923 LVV720909:LVV720923 MFR720909:MFR720923 MPN720909:MPN720923 MZJ720909:MZJ720923 NJF720909:NJF720923 NTB720909:NTB720923 OCX720909:OCX720923 OMT720909:OMT720923 OWP720909:OWP720923 PGL720909:PGL720923 PQH720909:PQH720923 QAD720909:QAD720923 QJZ720909:QJZ720923 QTV720909:QTV720923 RDR720909:RDR720923 RNN720909:RNN720923 RXJ720909:RXJ720923 SHF720909:SHF720923 SRB720909:SRB720923 TAX720909:TAX720923 TKT720909:TKT720923 TUP720909:TUP720923 UEL720909:UEL720923 UOH720909:UOH720923 UYD720909:UYD720923 VHZ720909:VHZ720923 VRV720909:VRV720923 WBR720909:WBR720923 WLN720909:WLN720923 WVJ720909:WVJ720923 B786445:B786459 IX786445:IX786459 ST786445:ST786459 ACP786445:ACP786459 AML786445:AML786459 AWH786445:AWH786459 BGD786445:BGD786459 BPZ786445:BPZ786459 BZV786445:BZV786459 CJR786445:CJR786459 CTN786445:CTN786459 DDJ786445:DDJ786459 DNF786445:DNF786459 DXB786445:DXB786459 EGX786445:EGX786459 EQT786445:EQT786459 FAP786445:FAP786459 FKL786445:FKL786459 FUH786445:FUH786459 GED786445:GED786459 GNZ786445:GNZ786459 GXV786445:GXV786459 HHR786445:HHR786459 HRN786445:HRN786459 IBJ786445:IBJ786459 ILF786445:ILF786459 IVB786445:IVB786459 JEX786445:JEX786459 JOT786445:JOT786459 JYP786445:JYP786459 KIL786445:KIL786459 KSH786445:KSH786459 LCD786445:LCD786459 LLZ786445:LLZ786459 LVV786445:LVV786459 MFR786445:MFR786459 MPN786445:MPN786459 MZJ786445:MZJ786459 NJF786445:NJF786459 NTB786445:NTB786459 OCX786445:OCX786459 OMT786445:OMT786459 OWP786445:OWP786459 PGL786445:PGL786459 PQH786445:PQH786459 QAD786445:QAD786459 QJZ786445:QJZ786459 QTV786445:QTV786459 RDR786445:RDR786459 RNN786445:RNN786459 RXJ786445:RXJ786459 SHF786445:SHF786459 SRB786445:SRB786459 TAX786445:TAX786459 TKT786445:TKT786459 TUP786445:TUP786459 UEL786445:UEL786459 UOH786445:UOH786459 UYD786445:UYD786459 VHZ786445:VHZ786459 VRV786445:VRV786459 WBR786445:WBR786459 WLN786445:WLN786459 WVJ786445:WVJ786459 B851981:B851995 IX851981:IX851995 ST851981:ST851995 ACP851981:ACP851995 AML851981:AML851995 AWH851981:AWH851995 BGD851981:BGD851995 BPZ851981:BPZ851995 BZV851981:BZV851995 CJR851981:CJR851995 CTN851981:CTN851995 DDJ851981:DDJ851995 DNF851981:DNF851995 DXB851981:DXB851995 EGX851981:EGX851995 EQT851981:EQT851995 FAP851981:FAP851995 FKL851981:FKL851995 FUH851981:FUH851995 GED851981:GED851995 GNZ851981:GNZ851995 GXV851981:GXV851995 HHR851981:HHR851995 HRN851981:HRN851995 IBJ851981:IBJ851995 ILF851981:ILF851995 IVB851981:IVB851995 JEX851981:JEX851995 JOT851981:JOT851995 JYP851981:JYP851995 KIL851981:KIL851995 KSH851981:KSH851995 LCD851981:LCD851995 LLZ851981:LLZ851995 LVV851981:LVV851995 MFR851981:MFR851995 MPN851981:MPN851995 MZJ851981:MZJ851995 NJF851981:NJF851995 NTB851981:NTB851995 OCX851981:OCX851995 OMT851981:OMT851995 OWP851981:OWP851995 PGL851981:PGL851995 PQH851981:PQH851995 QAD851981:QAD851995 QJZ851981:QJZ851995 QTV851981:QTV851995 RDR851981:RDR851995 RNN851981:RNN851995 RXJ851981:RXJ851995 SHF851981:SHF851995 SRB851981:SRB851995 TAX851981:TAX851995 TKT851981:TKT851995 TUP851981:TUP851995 UEL851981:UEL851995 UOH851981:UOH851995 UYD851981:UYD851995 VHZ851981:VHZ851995 VRV851981:VRV851995 WBR851981:WBR851995 WLN851981:WLN851995 WVJ851981:WVJ851995 B917517:B917531 IX917517:IX917531 ST917517:ST917531 ACP917517:ACP917531 AML917517:AML917531 AWH917517:AWH917531 BGD917517:BGD917531 BPZ917517:BPZ917531 BZV917517:BZV917531 CJR917517:CJR917531 CTN917517:CTN917531 DDJ917517:DDJ917531 DNF917517:DNF917531 DXB917517:DXB917531 EGX917517:EGX917531 EQT917517:EQT917531 FAP917517:FAP917531 FKL917517:FKL917531 FUH917517:FUH917531 GED917517:GED917531 GNZ917517:GNZ917531 GXV917517:GXV917531 HHR917517:HHR917531 HRN917517:HRN917531 IBJ917517:IBJ917531 ILF917517:ILF917531 IVB917517:IVB917531 JEX917517:JEX917531 JOT917517:JOT917531 JYP917517:JYP917531 KIL917517:KIL917531 KSH917517:KSH917531 LCD917517:LCD917531 LLZ917517:LLZ917531 LVV917517:LVV917531 MFR917517:MFR917531 MPN917517:MPN917531 MZJ917517:MZJ917531 NJF917517:NJF917531 NTB917517:NTB917531 OCX917517:OCX917531 OMT917517:OMT917531 OWP917517:OWP917531 PGL917517:PGL917531 PQH917517:PQH917531 QAD917517:QAD917531 QJZ917517:QJZ917531 QTV917517:QTV917531 RDR917517:RDR917531 RNN917517:RNN917531 RXJ917517:RXJ917531 SHF917517:SHF917531 SRB917517:SRB917531 TAX917517:TAX917531 TKT917517:TKT917531 TUP917517:TUP917531 UEL917517:UEL917531 UOH917517:UOH917531 UYD917517:UYD917531 VHZ917517:VHZ917531 VRV917517:VRV917531 WBR917517:WBR917531 WLN917517:WLN917531 WVJ917517:WVJ917531 B983053:B983067 IX983053:IX983067 ST983053:ST983067 ACP983053:ACP983067 AML983053:AML983067 AWH983053:AWH983067 BGD983053:BGD983067 BPZ983053:BPZ983067 BZV983053:BZV983067 CJR983053:CJR983067 CTN983053:CTN983067 DDJ983053:DDJ983067 DNF983053:DNF983067 DXB983053:DXB983067 EGX983053:EGX983067 EQT983053:EQT983067 FAP983053:FAP983067 FKL983053:FKL983067 FUH983053:FUH983067 GED983053:GED983067 GNZ983053:GNZ983067 GXV983053:GXV983067 HHR983053:HHR983067 HRN983053:HRN983067 IBJ983053:IBJ983067 ILF983053:ILF983067 IVB983053:IVB983067 JEX983053:JEX983067 JOT983053:JOT983067 JYP983053:JYP983067 KIL983053:KIL983067 KSH983053:KSH983067 LCD983053:LCD983067 LLZ983053:LLZ983067 LVV983053:LVV983067 MFR983053:MFR983067 MPN983053:MPN983067 MZJ983053:MZJ983067 NJF983053:NJF983067 NTB983053:NTB983067 OCX983053:OCX983067 OMT983053:OMT983067 OWP983053:OWP983067 PGL983053:PGL983067 PQH983053:PQH983067 QAD983053:QAD983067 QJZ983053:QJZ983067 QTV983053:QTV983067 RDR983053:RDR983067 RNN983053:RNN983067 RXJ983053:RXJ983067 SHF983053:SHF983067 SRB983053:SRB983067 TAX983053:TAX983067 TKT983053:TKT983067 TUP983053:TUP983067 UEL983053:UEL983067 UOH983053:UOH983067 UYD983053:UYD983067 VHZ983053:VHZ983067 VRV983053:VRV983067 WBR983053:WBR983067 WLN983053:WLN983067 WVJ983053:WVJ983067 WVR983053:WVR983067 JF13:JF27 TB13:TB27 ACX13:ACX27 AMT13:AMT27 AWP13:AWP27 BGL13:BGL27 BQH13:BQH27 CAD13:CAD27 CJZ13:CJZ27 CTV13:CTV27 DDR13:DDR27 DNN13:DNN27 DXJ13:DXJ27 EHF13:EHF27 ERB13:ERB27 FAX13:FAX27 FKT13:FKT27 FUP13:FUP27 GEL13:GEL27 GOH13:GOH27 GYD13:GYD27 HHZ13:HHZ27 HRV13:HRV27 IBR13:IBR27 ILN13:ILN27 IVJ13:IVJ27 JFF13:JFF27 JPB13:JPB27 JYX13:JYX27 KIT13:KIT27 KSP13:KSP27 LCL13:LCL27 LMH13:LMH27 LWD13:LWD27 MFZ13:MFZ27 MPV13:MPV27 MZR13:MZR27 NJN13:NJN27 NTJ13:NTJ27 ODF13:ODF27 ONB13:ONB27 OWX13:OWX27 PGT13:PGT27 PQP13:PQP27 QAL13:QAL27 QKH13:QKH27 QUD13:QUD27 RDZ13:RDZ27 RNV13:RNV27 RXR13:RXR27 SHN13:SHN27 SRJ13:SRJ27 TBF13:TBF27 TLB13:TLB27 TUX13:TUX27 UET13:UET27 UOP13:UOP27 UYL13:UYL27 VIH13:VIH27 VSD13:VSD27 WBZ13:WBZ27 WLV13:WLV27 WVR13:WVR27 J65549:J65563 JF65549:JF65563 TB65549:TB65563 ACX65549:ACX65563 AMT65549:AMT65563 AWP65549:AWP65563 BGL65549:BGL65563 BQH65549:BQH65563 CAD65549:CAD65563 CJZ65549:CJZ65563 CTV65549:CTV65563 DDR65549:DDR65563 DNN65549:DNN65563 DXJ65549:DXJ65563 EHF65549:EHF65563 ERB65549:ERB65563 FAX65549:FAX65563 FKT65549:FKT65563 FUP65549:FUP65563 GEL65549:GEL65563 GOH65549:GOH65563 GYD65549:GYD65563 HHZ65549:HHZ65563 HRV65549:HRV65563 IBR65549:IBR65563 ILN65549:ILN65563 IVJ65549:IVJ65563 JFF65549:JFF65563 JPB65549:JPB65563 JYX65549:JYX65563 KIT65549:KIT65563 KSP65549:KSP65563 LCL65549:LCL65563 LMH65549:LMH65563 LWD65549:LWD65563 MFZ65549:MFZ65563 MPV65549:MPV65563 MZR65549:MZR65563 NJN65549:NJN65563 NTJ65549:NTJ65563 ODF65549:ODF65563 ONB65549:ONB65563 OWX65549:OWX65563 PGT65549:PGT65563 PQP65549:PQP65563 QAL65549:QAL65563 QKH65549:QKH65563 QUD65549:QUD65563 RDZ65549:RDZ65563 RNV65549:RNV65563 RXR65549:RXR65563 SHN65549:SHN65563 SRJ65549:SRJ65563 TBF65549:TBF65563 TLB65549:TLB65563 TUX65549:TUX65563 UET65549:UET65563 UOP65549:UOP65563 UYL65549:UYL65563 VIH65549:VIH65563 VSD65549:VSD65563 WBZ65549:WBZ65563 WLV65549:WLV65563 WVR65549:WVR65563 J131085:J131099 JF131085:JF131099 TB131085:TB131099 ACX131085:ACX131099 AMT131085:AMT131099 AWP131085:AWP131099 BGL131085:BGL131099 BQH131085:BQH131099 CAD131085:CAD131099 CJZ131085:CJZ131099 CTV131085:CTV131099 DDR131085:DDR131099 DNN131085:DNN131099 DXJ131085:DXJ131099 EHF131085:EHF131099 ERB131085:ERB131099 FAX131085:FAX131099 FKT131085:FKT131099 FUP131085:FUP131099 GEL131085:GEL131099 GOH131085:GOH131099 GYD131085:GYD131099 HHZ131085:HHZ131099 HRV131085:HRV131099 IBR131085:IBR131099 ILN131085:ILN131099 IVJ131085:IVJ131099 JFF131085:JFF131099 JPB131085:JPB131099 JYX131085:JYX131099 KIT131085:KIT131099 KSP131085:KSP131099 LCL131085:LCL131099 LMH131085:LMH131099 LWD131085:LWD131099 MFZ131085:MFZ131099 MPV131085:MPV131099 MZR131085:MZR131099 NJN131085:NJN131099 NTJ131085:NTJ131099 ODF131085:ODF131099 ONB131085:ONB131099 OWX131085:OWX131099 PGT131085:PGT131099 PQP131085:PQP131099 QAL131085:QAL131099 QKH131085:QKH131099 QUD131085:QUD131099 RDZ131085:RDZ131099 RNV131085:RNV131099 RXR131085:RXR131099 SHN131085:SHN131099 SRJ131085:SRJ131099 TBF131085:TBF131099 TLB131085:TLB131099 TUX131085:TUX131099 UET131085:UET131099 UOP131085:UOP131099 UYL131085:UYL131099 VIH131085:VIH131099 VSD131085:VSD131099 WBZ131085:WBZ131099 WLV131085:WLV131099 WVR131085:WVR131099 J196621:J196635 JF196621:JF196635 TB196621:TB196635 ACX196621:ACX196635 AMT196621:AMT196635 AWP196621:AWP196635 BGL196621:BGL196635 BQH196621:BQH196635 CAD196621:CAD196635 CJZ196621:CJZ196635 CTV196621:CTV196635 DDR196621:DDR196635 DNN196621:DNN196635 DXJ196621:DXJ196635 EHF196621:EHF196635 ERB196621:ERB196635 FAX196621:FAX196635 FKT196621:FKT196635 FUP196621:FUP196635 GEL196621:GEL196635 GOH196621:GOH196635 GYD196621:GYD196635 HHZ196621:HHZ196635 HRV196621:HRV196635 IBR196621:IBR196635 ILN196621:ILN196635 IVJ196621:IVJ196635 JFF196621:JFF196635 JPB196621:JPB196635 JYX196621:JYX196635 KIT196621:KIT196635 KSP196621:KSP196635 LCL196621:LCL196635 LMH196621:LMH196635 LWD196621:LWD196635 MFZ196621:MFZ196635 MPV196621:MPV196635 MZR196621:MZR196635 NJN196621:NJN196635 NTJ196621:NTJ196635 ODF196621:ODF196635 ONB196621:ONB196635 OWX196621:OWX196635 PGT196621:PGT196635 PQP196621:PQP196635 QAL196621:QAL196635 QKH196621:QKH196635 QUD196621:QUD196635 RDZ196621:RDZ196635 RNV196621:RNV196635 RXR196621:RXR196635 SHN196621:SHN196635 SRJ196621:SRJ196635 TBF196621:TBF196635 TLB196621:TLB196635 TUX196621:TUX196635 UET196621:UET196635 UOP196621:UOP196635 UYL196621:UYL196635 VIH196621:VIH196635 VSD196621:VSD196635 WBZ196621:WBZ196635 WLV196621:WLV196635 WVR196621:WVR196635 J262157:J262171 JF262157:JF262171 TB262157:TB262171 ACX262157:ACX262171 AMT262157:AMT262171 AWP262157:AWP262171 BGL262157:BGL262171 BQH262157:BQH262171 CAD262157:CAD262171 CJZ262157:CJZ262171 CTV262157:CTV262171 DDR262157:DDR262171 DNN262157:DNN262171 DXJ262157:DXJ262171 EHF262157:EHF262171 ERB262157:ERB262171 FAX262157:FAX262171 FKT262157:FKT262171 FUP262157:FUP262171 GEL262157:GEL262171 GOH262157:GOH262171 GYD262157:GYD262171 HHZ262157:HHZ262171 HRV262157:HRV262171 IBR262157:IBR262171 ILN262157:ILN262171 IVJ262157:IVJ262171 JFF262157:JFF262171 JPB262157:JPB262171 JYX262157:JYX262171 KIT262157:KIT262171 KSP262157:KSP262171 LCL262157:LCL262171 LMH262157:LMH262171 LWD262157:LWD262171 MFZ262157:MFZ262171 MPV262157:MPV262171 MZR262157:MZR262171 NJN262157:NJN262171 NTJ262157:NTJ262171 ODF262157:ODF262171 ONB262157:ONB262171 OWX262157:OWX262171 PGT262157:PGT262171 PQP262157:PQP262171 QAL262157:QAL262171 QKH262157:QKH262171 QUD262157:QUD262171 RDZ262157:RDZ262171 RNV262157:RNV262171 RXR262157:RXR262171 SHN262157:SHN262171 SRJ262157:SRJ262171 TBF262157:TBF262171 TLB262157:TLB262171 TUX262157:TUX262171 UET262157:UET262171 UOP262157:UOP262171 UYL262157:UYL262171 VIH262157:VIH262171 VSD262157:VSD262171 WBZ262157:WBZ262171 WLV262157:WLV262171 WVR262157:WVR262171 J327693:J327707 JF327693:JF327707 TB327693:TB327707 ACX327693:ACX327707 AMT327693:AMT327707 AWP327693:AWP327707 BGL327693:BGL327707 BQH327693:BQH327707 CAD327693:CAD327707 CJZ327693:CJZ327707 CTV327693:CTV327707 DDR327693:DDR327707 DNN327693:DNN327707 DXJ327693:DXJ327707 EHF327693:EHF327707 ERB327693:ERB327707 FAX327693:FAX327707 FKT327693:FKT327707 FUP327693:FUP327707 GEL327693:GEL327707 GOH327693:GOH327707 GYD327693:GYD327707 HHZ327693:HHZ327707 HRV327693:HRV327707 IBR327693:IBR327707 ILN327693:ILN327707 IVJ327693:IVJ327707 JFF327693:JFF327707 JPB327693:JPB327707 JYX327693:JYX327707 KIT327693:KIT327707 KSP327693:KSP327707 LCL327693:LCL327707 LMH327693:LMH327707 LWD327693:LWD327707 MFZ327693:MFZ327707 MPV327693:MPV327707 MZR327693:MZR327707 NJN327693:NJN327707 NTJ327693:NTJ327707 ODF327693:ODF327707 ONB327693:ONB327707 OWX327693:OWX327707 PGT327693:PGT327707 PQP327693:PQP327707 QAL327693:QAL327707 QKH327693:QKH327707 QUD327693:QUD327707 RDZ327693:RDZ327707 RNV327693:RNV327707 RXR327693:RXR327707 SHN327693:SHN327707 SRJ327693:SRJ327707 TBF327693:TBF327707 TLB327693:TLB327707 TUX327693:TUX327707 UET327693:UET327707 UOP327693:UOP327707 UYL327693:UYL327707 VIH327693:VIH327707 VSD327693:VSD327707 WBZ327693:WBZ327707 WLV327693:WLV327707 WVR327693:WVR327707 J393229:J393243 JF393229:JF393243 TB393229:TB393243 ACX393229:ACX393243 AMT393229:AMT393243 AWP393229:AWP393243 BGL393229:BGL393243 BQH393229:BQH393243 CAD393229:CAD393243 CJZ393229:CJZ393243 CTV393229:CTV393243 DDR393229:DDR393243 DNN393229:DNN393243 DXJ393229:DXJ393243 EHF393229:EHF393243 ERB393229:ERB393243 FAX393229:FAX393243 FKT393229:FKT393243 FUP393229:FUP393243 GEL393229:GEL393243 GOH393229:GOH393243 GYD393229:GYD393243 HHZ393229:HHZ393243 HRV393229:HRV393243 IBR393229:IBR393243 ILN393229:ILN393243 IVJ393229:IVJ393243 JFF393229:JFF393243 JPB393229:JPB393243 JYX393229:JYX393243 KIT393229:KIT393243 KSP393229:KSP393243 LCL393229:LCL393243 LMH393229:LMH393243 LWD393229:LWD393243 MFZ393229:MFZ393243 MPV393229:MPV393243 MZR393229:MZR393243 NJN393229:NJN393243 NTJ393229:NTJ393243 ODF393229:ODF393243 ONB393229:ONB393243 OWX393229:OWX393243 PGT393229:PGT393243 PQP393229:PQP393243 QAL393229:QAL393243 QKH393229:QKH393243 QUD393229:QUD393243 RDZ393229:RDZ393243 RNV393229:RNV393243 RXR393229:RXR393243 SHN393229:SHN393243 SRJ393229:SRJ393243 TBF393229:TBF393243 TLB393229:TLB393243 TUX393229:TUX393243 UET393229:UET393243 UOP393229:UOP393243 UYL393229:UYL393243 VIH393229:VIH393243 VSD393229:VSD393243 WBZ393229:WBZ393243 WLV393229:WLV393243 WVR393229:WVR393243 J458765:J458779 JF458765:JF458779 TB458765:TB458779 ACX458765:ACX458779 AMT458765:AMT458779 AWP458765:AWP458779 BGL458765:BGL458779 BQH458765:BQH458779 CAD458765:CAD458779 CJZ458765:CJZ458779 CTV458765:CTV458779 DDR458765:DDR458779 DNN458765:DNN458779 DXJ458765:DXJ458779 EHF458765:EHF458779 ERB458765:ERB458779 FAX458765:FAX458779 FKT458765:FKT458779 FUP458765:FUP458779 GEL458765:GEL458779 GOH458765:GOH458779 GYD458765:GYD458779 HHZ458765:HHZ458779 HRV458765:HRV458779 IBR458765:IBR458779 ILN458765:ILN458779 IVJ458765:IVJ458779 JFF458765:JFF458779 JPB458765:JPB458779 JYX458765:JYX458779 KIT458765:KIT458779 KSP458765:KSP458779 LCL458765:LCL458779 LMH458765:LMH458779 LWD458765:LWD458779 MFZ458765:MFZ458779 MPV458765:MPV458779 MZR458765:MZR458779 NJN458765:NJN458779 NTJ458765:NTJ458779 ODF458765:ODF458779 ONB458765:ONB458779 OWX458765:OWX458779 PGT458765:PGT458779 PQP458765:PQP458779 QAL458765:QAL458779 QKH458765:QKH458779 QUD458765:QUD458779 RDZ458765:RDZ458779 RNV458765:RNV458779 RXR458765:RXR458779 SHN458765:SHN458779 SRJ458765:SRJ458779 TBF458765:TBF458779 TLB458765:TLB458779 TUX458765:TUX458779 UET458765:UET458779 UOP458765:UOP458779 UYL458765:UYL458779 VIH458765:VIH458779 VSD458765:VSD458779 WBZ458765:WBZ458779 WLV458765:WLV458779 WVR458765:WVR458779 J524301:J524315 JF524301:JF524315 TB524301:TB524315 ACX524301:ACX524315 AMT524301:AMT524315 AWP524301:AWP524315 BGL524301:BGL524315 BQH524301:BQH524315 CAD524301:CAD524315 CJZ524301:CJZ524315 CTV524301:CTV524315 DDR524301:DDR524315 DNN524301:DNN524315 DXJ524301:DXJ524315 EHF524301:EHF524315 ERB524301:ERB524315 FAX524301:FAX524315 FKT524301:FKT524315 FUP524301:FUP524315 GEL524301:GEL524315 GOH524301:GOH524315 GYD524301:GYD524315 HHZ524301:HHZ524315 HRV524301:HRV524315 IBR524301:IBR524315 ILN524301:ILN524315 IVJ524301:IVJ524315 JFF524301:JFF524315 JPB524301:JPB524315 JYX524301:JYX524315 KIT524301:KIT524315 KSP524301:KSP524315 LCL524301:LCL524315 LMH524301:LMH524315 LWD524301:LWD524315 MFZ524301:MFZ524315 MPV524301:MPV524315 MZR524301:MZR524315 NJN524301:NJN524315 NTJ524301:NTJ524315 ODF524301:ODF524315 ONB524301:ONB524315 OWX524301:OWX524315 PGT524301:PGT524315 PQP524301:PQP524315 QAL524301:QAL524315 QKH524301:QKH524315 QUD524301:QUD524315 RDZ524301:RDZ524315 RNV524301:RNV524315 RXR524301:RXR524315 SHN524301:SHN524315 SRJ524301:SRJ524315 TBF524301:TBF524315 TLB524301:TLB524315 TUX524301:TUX524315 UET524301:UET524315 UOP524301:UOP524315 UYL524301:UYL524315 VIH524301:VIH524315 VSD524301:VSD524315 WBZ524301:WBZ524315 WLV524301:WLV524315 WVR524301:WVR524315 J589837:J589851 JF589837:JF589851 TB589837:TB589851 ACX589837:ACX589851 AMT589837:AMT589851 AWP589837:AWP589851 BGL589837:BGL589851 BQH589837:BQH589851 CAD589837:CAD589851 CJZ589837:CJZ589851 CTV589837:CTV589851 DDR589837:DDR589851 DNN589837:DNN589851 DXJ589837:DXJ589851 EHF589837:EHF589851 ERB589837:ERB589851 FAX589837:FAX589851 FKT589837:FKT589851 FUP589837:FUP589851 GEL589837:GEL589851 GOH589837:GOH589851 GYD589837:GYD589851 HHZ589837:HHZ589851 HRV589837:HRV589851 IBR589837:IBR589851 ILN589837:ILN589851 IVJ589837:IVJ589851 JFF589837:JFF589851 JPB589837:JPB589851 JYX589837:JYX589851 KIT589837:KIT589851 KSP589837:KSP589851 LCL589837:LCL589851 LMH589837:LMH589851 LWD589837:LWD589851 MFZ589837:MFZ589851 MPV589837:MPV589851 MZR589837:MZR589851 NJN589837:NJN589851 NTJ589837:NTJ589851 ODF589837:ODF589851 ONB589837:ONB589851 OWX589837:OWX589851 PGT589837:PGT589851 PQP589837:PQP589851 QAL589837:QAL589851 QKH589837:QKH589851 QUD589837:QUD589851 RDZ589837:RDZ589851 RNV589837:RNV589851 RXR589837:RXR589851 SHN589837:SHN589851 SRJ589837:SRJ589851 TBF589837:TBF589851 TLB589837:TLB589851 TUX589837:TUX589851 UET589837:UET589851 UOP589837:UOP589851 UYL589837:UYL589851 VIH589837:VIH589851 VSD589837:VSD589851 WBZ589837:WBZ589851 WLV589837:WLV589851 WVR589837:WVR589851 J655373:J655387 JF655373:JF655387 TB655373:TB655387 ACX655373:ACX655387 AMT655373:AMT655387 AWP655373:AWP655387 BGL655373:BGL655387 BQH655373:BQH655387 CAD655373:CAD655387 CJZ655373:CJZ655387 CTV655373:CTV655387 DDR655373:DDR655387 DNN655373:DNN655387 DXJ655373:DXJ655387 EHF655373:EHF655387 ERB655373:ERB655387 FAX655373:FAX655387 FKT655373:FKT655387 FUP655373:FUP655387 GEL655373:GEL655387 GOH655373:GOH655387 GYD655373:GYD655387 HHZ655373:HHZ655387 HRV655373:HRV655387 IBR655373:IBR655387 ILN655373:ILN655387 IVJ655373:IVJ655387 JFF655373:JFF655387 JPB655373:JPB655387 JYX655373:JYX655387 KIT655373:KIT655387 KSP655373:KSP655387 LCL655373:LCL655387 LMH655373:LMH655387 LWD655373:LWD655387 MFZ655373:MFZ655387 MPV655373:MPV655387 MZR655373:MZR655387 NJN655373:NJN655387 NTJ655373:NTJ655387 ODF655373:ODF655387 ONB655373:ONB655387 OWX655373:OWX655387 PGT655373:PGT655387 PQP655373:PQP655387 QAL655373:QAL655387 QKH655373:QKH655387 QUD655373:QUD655387 RDZ655373:RDZ655387 RNV655373:RNV655387 RXR655373:RXR655387 SHN655373:SHN655387 SRJ655373:SRJ655387 TBF655373:TBF655387 TLB655373:TLB655387 TUX655373:TUX655387 UET655373:UET655387 UOP655373:UOP655387 UYL655373:UYL655387 VIH655373:VIH655387 VSD655373:VSD655387 WBZ655373:WBZ655387 WLV655373:WLV655387 WVR655373:WVR655387 J720909:J720923 JF720909:JF720923 TB720909:TB720923 ACX720909:ACX720923 AMT720909:AMT720923 AWP720909:AWP720923 BGL720909:BGL720923 BQH720909:BQH720923 CAD720909:CAD720923 CJZ720909:CJZ720923 CTV720909:CTV720923 DDR720909:DDR720923 DNN720909:DNN720923 DXJ720909:DXJ720923 EHF720909:EHF720923 ERB720909:ERB720923 FAX720909:FAX720923 FKT720909:FKT720923 FUP720909:FUP720923 GEL720909:GEL720923 GOH720909:GOH720923 GYD720909:GYD720923 HHZ720909:HHZ720923 HRV720909:HRV720923 IBR720909:IBR720923 ILN720909:ILN720923 IVJ720909:IVJ720923 JFF720909:JFF720923 JPB720909:JPB720923 JYX720909:JYX720923 KIT720909:KIT720923 KSP720909:KSP720923 LCL720909:LCL720923 LMH720909:LMH720923 LWD720909:LWD720923 MFZ720909:MFZ720923 MPV720909:MPV720923 MZR720909:MZR720923 NJN720909:NJN720923 NTJ720909:NTJ720923 ODF720909:ODF720923 ONB720909:ONB720923 OWX720909:OWX720923 PGT720909:PGT720923 PQP720909:PQP720923 QAL720909:QAL720923 QKH720909:QKH720923 QUD720909:QUD720923 RDZ720909:RDZ720923 RNV720909:RNV720923 RXR720909:RXR720923 SHN720909:SHN720923 SRJ720909:SRJ720923 TBF720909:TBF720923 TLB720909:TLB720923 TUX720909:TUX720923 UET720909:UET720923 UOP720909:UOP720923 UYL720909:UYL720923 VIH720909:VIH720923 VSD720909:VSD720923 WBZ720909:WBZ720923 WLV720909:WLV720923 WVR720909:WVR720923 J786445:J786459 JF786445:JF786459 TB786445:TB786459 ACX786445:ACX786459 AMT786445:AMT786459 AWP786445:AWP786459 BGL786445:BGL786459 BQH786445:BQH786459 CAD786445:CAD786459 CJZ786445:CJZ786459 CTV786445:CTV786459 DDR786445:DDR786459 DNN786445:DNN786459 DXJ786445:DXJ786459 EHF786445:EHF786459 ERB786445:ERB786459 FAX786445:FAX786459 FKT786445:FKT786459 FUP786445:FUP786459 GEL786445:GEL786459 GOH786445:GOH786459 GYD786445:GYD786459 HHZ786445:HHZ786459 HRV786445:HRV786459 IBR786445:IBR786459 ILN786445:ILN786459 IVJ786445:IVJ786459 JFF786445:JFF786459 JPB786445:JPB786459 JYX786445:JYX786459 KIT786445:KIT786459 KSP786445:KSP786459 LCL786445:LCL786459 LMH786445:LMH786459 LWD786445:LWD786459 MFZ786445:MFZ786459 MPV786445:MPV786459 MZR786445:MZR786459 NJN786445:NJN786459 NTJ786445:NTJ786459 ODF786445:ODF786459 ONB786445:ONB786459 OWX786445:OWX786459 PGT786445:PGT786459 PQP786445:PQP786459 QAL786445:QAL786459 QKH786445:QKH786459 QUD786445:QUD786459 RDZ786445:RDZ786459 RNV786445:RNV786459 RXR786445:RXR786459 SHN786445:SHN786459 SRJ786445:SRJ786459 TBF786445:TBF786459 TLB786445:TLB786459 TUX786445:TUX786459 UET786445:UET786459 UOP786445:UOP786459 UYL786445:UYL786459 VIH786445:VIH786459 VSD786445:VSD786459 WBZ786445:WBZ786459 WLV786445:WLV786459 WVR786445:WVR786459 J851981:J851995 JF851981:JF851995 TB851981:TB851995 ACX851981:ACX851995 AMT851981:AMT851995 AWP851981:AWP851995 BGL851981:BGL851995 BQH851981:BQH851995 CAD851981:CAD851995 CJZ851981:CJZ851995 CTV851981:CTV851995 DDR851981:DDR851995 DNN851981:DNN851995 DXJ851981:DXJ851995 EHF851981:EHF851995 ERB851981:ERB851995 FAX851981:FAX851995 FKT851981:FKT851995 FUP851981:FUP851995 GEL851981:GEL851995 GOH851981:GOH851995 GYD851981:GYD851995 HHZ851981:HHZ851995 HRV851981:HRV851995 IBR851981:IBR851995 ILN851981:ILN851995 IVJ851981:IVJ851995 JFF851981:JFF851995 JPB851981:JPB851995 JYX851981:JYX851995 KIT851981:KIT851995 KSP851981:KSP851995 LCL851981:LCL851995 LMH851981:LMH851995 LWD851981:LWD851995 MFZ851981:MFZ851995 MPV851981:MPV851995 MZR851981:MZR851995 NJN851981:NJN851995 NTJ851981:NTJ851995 ODF851981:ODF851995 ONB851981:ONB851995 OWX851981:OWX851995 PGT851981:PGT851995 PQP851981:PQP851995 QAL851981:QAL851995 QKH851981:QKH851995 QUD851981:QUD851995 RDZ851981:RDZ851995 RNV851981:RNV851995 RXR851981:RXR851995 SHN851981:SHN851995 SRJ851981:SRJ851995 TBF851981:TBF851995 TLB851981:TLB851995 TUX851981:TUX851995 UET851981:UET851995 UOP851981:UOP851995 UYL851981:UYL851995 VIH851981:VIH851995 VSD851981:VSD851995 WBZ851981:WBZ851995 WLV851981:WLV851995 WVR851981:WVR851995 J917517:J917531 JF917517:JF917531 TB917517:TB917531 ACX917517:ACX917531 AMT917517:AMT917531 AWP917517:AWP917531 BGL917517:BGL917531 BQH917517:BQH917531 CAD917517:CAD917531 CJZ917517:CJZ917531 CTV917517:CTV917531 DDR917517:DDR917531 DNN917517:DNN917531 DXJ917517:DXJ917531 EHF917517:EHF917531 ERB917517:ERB917531 FAX917517:FAX917531 FKT917517:FKT917531 FUP917517:FUP917531 GEL917517:GEL917531 GOH917517:GOH917531 GYD917517:GYD917531 HHZ917517:HHZ917531 HRV917517:HRV917531 IBR917517:IBR917531 ILN917517:ILN917531 IVJ917517:IVJ917531 JFF917517:JFF917531 JPB917517:JPB917531 JYX917517:JYX917531 KIT917517:KIT917531 KSP917517:KSP917531 LCL917517:LCL917531 LMH917517:LMH917531 LWD917517:LWD917531 MFZ917517:MFZ917531 MPV917517:MPV917531 MZR917517:MZR917531 NJN917517:NJN917531 NTJ917517:NTJ917531 ODF917517:ODF917531 ONB917517:ONB917531 OWX917517:OWX917531 PGT917517:PGT917531 PQP917517:PQP917531 QAL917517:QAL917531 QKH917517:QKH917531 QUD917517:QUD917531 RDZ917517:RDZ917531 RNV917517:RNV917531 RXR917517:RXR917531 SHN917517:SHN917531 SRJ917517:SRJ917531 TBF917517:TBF917531 TLB917517:TLB917531 TUX917517:TUX917531 UET917517:UET917531 UOP917517:UOP917531 UYL917517:UYL917531 VIH917517:VIH917531 VSD917517:VSD917531 WBZ917517:WBZ917531 WLV917517:WLV917531 WVR917517:WVR917531 J983053:J983067 JF983053:JF983067 TB983053:TB983067 ACX983053:ACX983067 AMT983053:AMT983067 AWP983053:AWP983067 BGL983053:BGL983067 BQH983053:BQH983067 CAD983053:CAD983067 CJZ983053:CJZ983067 CTV983053:CTV983067 DDR983053:DDR983067 DNN983053:DNN983067 DXJ983053:DXJ983067 EHF983053:EHF983067 ERB983053:ERB983067 FAX983053:FAX983067 FKT983053:FKT983067 FUP983053:FUP983067 GEL983053:GEL983067 GOH983053:GOH983067 GYD983053:GYD983067 HHZ983053:HHZ983067 HRV983053:HRV983067 IBR983053:IBR983067 ILN983053:ILN983067 IVJ983053:IVJ983067 JFF983053:JFF983067 JPB983053:JPB983067 JYX983053:JYX983067 KIT983053:KIT983067 KSP983053:KSP983067 LCL983053:LCL983067 LMH983053:LMH983067 LWD983053:LWD983067 MFZ983053:MFZ983067 MPV983053:MPV983067 MZR983053:MZR983067 NJN983053:NJN983067 NTJ983053:NTJ983067 ODF983053:ODF983067 ONB983053:ONB983067 OWX983053:OWX983067 PGT983053:PGT983067 PQP983053:PQP983067 QAL983053:QAL983067 QKH983053:QKH983067 QUD983053:QUD983067 RDZ983053:RDZ983067 RNV983053:RNV983067 RXR983053:RXR983067 SHN983053:SHN983067 SRJ983053:SRJ983067 TBF983053:TBF983067 TLB983053:TLB983067 TUX983053:TUX983067 UET983053:UET983067 UOP983053:UOP983067 UYL983053:UYL983067 VIH983053:VIH983067 VSD983053:VSD983067 WBZ983053:WBZ983067 WLV983053:WLV983067 J13:J27 B13:B27" xr:uid="{00000000-0002-0000-2E00-000000000000}">
      <formula1>4</formula1>
    </dataValidation>
    <dataValidation type="textLength" operator="equal" allowBlank="1" showInputMessage="1" showErrorMessage="1" errorTitle="Invalid data!" error="GASB number must be 4 digits." sqref="IZ13:IZ27 SV13:SV27 ACR13:ACR27 AMN13:AMN27 AWJ13:AWJ27 BGF13:BGF27 BQB13:BQB27 BZX13:BZX27 CJT13:CJT27 CTP13:CTP27 DDL13:DDL27 DNH13:DNH27 DXD13:DXD27 EGZ13:EGZ27 EQV13:EQV27 FAR13:FAR27 FKN13:FKN27 FUJ13:FUJ27 GEF13:GEF27 GOB13:GOB27 GXX13:GXX27 HHT13:HHT27 HRP13:HRP27 IBL13:IBL27 ILH13:ILH27 IVD13:IVD27 JEZ13:JEZ27 JOV13:JOV27 JYR13:JYR27 KIN13:KIN27 KSJ13:KSJ27 LCF13:LCF27 LMB13:LMB27 LVX13:LVX27 MFT13:MFT27 MPP13:MPP27 MZL13:MZL27 NJH13:NJH27 NTD13:NTD27 OCZ13:OCZ27 OMV13:OMV27 OWR13:OWR27 PGN13:PGN27 PQJ13:PQJ27 QAF13:QAF27 QKB13:QKB27 QTX13:QTX27 RDT13:RDT27 RNP13:RNP27 RXL13:RXL27 SHH13:SHH27 SRD13:SRD27 TAZ13:TAZ27 TKV13:TKV27 TUR13:TUR27 UEN13:UEN27 UOJ13:UOJ27 UYF13:UYF27 VIB13:VIB27 VRX13:VRX27 WBT13:WBT27 WLP13:WLP27 WVL13:WVL27 D65549:D65563 IZ65549:IZ65563 SV65549:SV65563 ACR65549:ACR65563 AMN65549:AMN65563 AWJ65549:AWJ65563 BGF65549:BGF65563 BQB65549:BQB65563 BZX65549:BZX65563 CJT65549:CJT65563 CTP65549:CTP65563 DDL65549:DDL65563 DNH65549:DNH65563 DXD65549:DXD65563 EGZ65549:EGZ65563 EQV65549:EQV65563 FAR65549:FAR65563 FKN65549:FKN65563 FUJ65549:FUJ65563 GEF65549:GEF65563 GOB65549:GOB65563 GXX65549:GXX65563 HHT65549:HHT65563 HRP65549:HRP65563 IBL65549:IBL65563 ILH65549:ILH65563 IVD65549:IVD65563 JEZ65549:JEZ65563 JOV65549:JOV65563 JYR65549:JYR65563 KIN65549:KIN65563 KSJ65549:KSJ65563 LCF65549:LCF65563 LMB65549:LMB65563 LVX65549:LVX65563 MFT65549:MFT65563 MPP65549:MPP65563 MZL65549:MZL65563 NJH65549:NJH65563 NTD65549:NTD65563 OCZ65549:OCZ65563 OMV65549:OMV65563 OWR65549:OWR65563 PGN65549:PGN65563 PQJ65549:PQJ65563 QAF65549:QAF65563 QKB65549:QKB65563 QTX65549:QTX65563 RDT65549:RDT65563 RNP65549:RNP65563 RXL65549:RXL65563 SHH65549:SHH65563 SRD65549:SRD65563 TAZ65549:TAZ65563 TKV65549:TKV65563 TUR65549:TUR65563 UEN65549:UEN65563 UOJ65549:UOJ65563 UYF65549:UYF65563 VIB65549:VIB65563 VRX65549:VRX65563 WBT65549:WBT65563 WLP65549:WLP65563 WVL65549:WVL65563 D131085:D131099 IZ131085:IZ131099 SV131085:SV131099 ACR131085:ACR131099 AMN131085:AMN131099 AWJ131085:AWJ131099 BGF131085:BGF131099 BQB131085:BQB131099 BZX131085:BZX131099 CJT131085:CJT131099 CTP131085:CTP131099 DDL131085:DDL131099 DNH131085:DNH131099 DXD131085:DXD131099 EGZ131085:EGZ131099 EQV131085:EQV131099 FAR131085:FAR131099 FKN131085:FKN131099 FUJ131085:FUJ131099 GEF131085:GEF131099 GOB131085:GOB131099 GXX131085:GXX131099 HHT131085:HHT131099 HRP131085:HRP131099 IBL131085:IBL131099 ILH131085:ILH131099 IVD131085:IVD131099 JEZ131085:JEZ131099 JOV131085:JOV131099 JYR131085:JYR131099 KIN131085:KIN131099 KSJ131085:KSJ131099 LCF131085:LCF131099 LMB131085:LMB131099 LVX131085:LVX131099 MFT131085:MFT131099 MPP131085:MPP131099 MZL131085:MZL131099 NJH131085:NJH131099 NTD131085:NTD131099 OCZ131085:OCZ131099 OMV131085:OMV131099 OWR131085:OWR131099 PGN131085:PGN131099 PQJ131085:PQJ131099 QAF131085:QAF131099 QKB131085:QKB131099 QTX131085:QTX131099 RDT131085:RDT131099 RNP131085:RNP131099 RXL131085:RXL131099 SHH131085:SHH131099 SRD131085:SRD131099 TAZ131085:TAZ131099 TKV131085:TKV131099 TUR131085:TUR131099 UEN131085:UEN131099 UOJ131085:UOJ131099 UYF131085:UYF131099 VIB131085:VIB131099 VRX131085:VRX131099 WBT131085:WBT131099 WLP131085:WLP131099 WVL131085:WVL131099 D196621:D196635 IZ196621:IZ196635 SV196621:SV196635 ACR196621:ACR196635 AMN196621:AMN196635 AWJ196621:AWJ196635 BGF196621:BGF196635 BQB196621:BQB196635 BZX196621:BZX196635 CJT196621:CJT196635 CTP196621:CTP196635 DDL196621:DDL196635 DNH196621:DNH196635 DXD196621:DXD196635 EGZ196621:EGZ196635 EQV196621:EQV196635 FAR196621:FAR196635 FKN196621:FKN196635 FUJ196621:FUJ196635 GEF196621:GEF196635 GOB196621:GOB196635 GXX196621:GXX196635 HHT196621:HHT196635 HRP196621:HRP196635 IBL196621:IBL196635 ILH196621:ILH196635 IVD196621:IVD196635 JEZ196621:JEZ196635 JOV196621:JOV196635 JYR196621:JYR196635 KIN196621:KIN196635 KSJ196621:KSJ196635 LCF196621:LCF196635 LMB196621:LMB196635 LVX196621:LVX196635 MFT196621:MFT196635 MPP196621:MPP196635 MZL196621:MZL196635 NJH196621:NJH196635 NTD196621:NTD196635 OCZ196621:OCZ196635 OMV196621:OMV196635 OWR196621:OWR196635 PGN196621:PGN196635 PQJ196621:PQJ196635 QAF196621:QAF196635 QKB196621:QKB196635 QTX196621:QTX196635 RDT196621:RDT196635 RNP196621:RNP196635 RXL196621:RXL196635 SHH196621:SHH196635 SRD196621:SRD196635 TAZ196621:TAZ196635 TKV196621:TKV196635 TUR196621:TUR196635 UEN196621:UEN196635 UOJ196621:UOJ196635 UYF196621:UYF196635 VIB196621:VIB196635 VRX196621:VRX196635 WBT196621:WBT196635 WLP196621:WLP196635 WVL196621:WVL196635 D262157:D262171 IZ262157:IZ262171 SV262157:SV262171 ACR262157:ACR262171 AMN262157:AMN262171 AWJ262157:AWJ262171 BGF262157:BGF262171 BQB262157:BQB262171 BZX262157:BZX262171 CJT262157:CJT262171 CTP262157:CTP262171 DDL262157:DDL262171 DNH262157:DNH262171 DXD262157:DXD262171 EGZ262157:EGZ262171 EQV262157:EQV262171 FAR262157:FAR262171 FKN262157:FKN262171 FUJ262157:FUJ262171 GEF262157:GEF262171 GOB262157:GOB262171 GXX262157:GXX262171 HHT262157:HHT262171 HRP262157:HRP262171 IBL262157:IBL262171 ILH262157:ILH262171 IVD262157:IVD262171 JEZ262157:JEZ262171 JOV262157:JOV262171 JYR262157:JYR262171 KIN262157:KIN262171 KSJ262157:KSJ262171 LCF262157:LCF262171 LMB262157:LMB262171 LVX262157:LVX262171 MFT262157:MFT262171 MPP262157:MPP262171 MZL262157:MZL262171 NJH262157:NJH262171 NTD262157:NTD262171 OCZ262157:OCZ262171 OMV262157:OMV262171 OWR262157:OWR262171 PGN262157:PGN262171 PQJ262157:PQJ262171 QAF262157:QAF262171 QKB262157:QKB262171 QTX262157:QTX262171 RDT262157:RDT262171 RNP262157:RNP262171 RXL262157:RXL262171 SHH262157:SHH262171 SRD262157:SRD262171 TAZ262157:TAZ262171 TKV262157:TKV262171 TUR262157:TUR262171 UEN262157:UEN262171 UOJ262157:UOJ262171 UYF262157:UYF262171 VIB262157:VIB262171 VRX262157:VRX262171 WBT262157:WBT262171 WLP262157:WLP262171 WVL262157:WVL262171 D327693:D327707 IZ327693:IZ327707 SV327693:SV327707 ACR327693:ACR327707 AMN327693:AMN327707 AWJ327693:AWJ327707 BGF327693:BGF327707 BQB327693:BQB327707 BZX327693:BZX327707 CJT327693:CJT327707 CTP327693:CTP327707 DDL327693:DDL327707 DNH327693:DNH327707 DXD327693:DXD327707 EGZ327693:EGZ327707 EQV327693:EQV327707 FAR327693:FAR327707 FKN327693:FKN327707 FUJ327693:FUJ327707 GEF327693:GEF327707 GOB327693:GOB327707 GXX327693:GXX327707 HHT327693:HHT327707 HRP327693:HRP327707 IBL327693:IBL327707 ILH327693:ILH327707 IVD327693:IVD327707 JEZ327693:JEZ327707 JOV327693:JOV327707 JYR327693:JYR327707 KIN327693:KIN327707 KSJ327693:KSJ327707 LCF327693:LCF327707 LMB327693:LMB327707 LVX327693:LVX327707 MFT327693:MFT327707 MPP327693:MPP327707 MZL327693:MZL327707 NJH327693:NJH327707 NTD327693:NTD327707 OCZ327693:OCZ327707 OMV327693:OMV327707 OWR327693:OWR327707 PGN327693:PGN327707 PQJ327693:PQJ327707 QAF327693:QAF327707 QKB327693:QKB327707 QTX327693:QTX327707 RDT327693:RDT327707 RNP327693:RNP327707 RXL327693:RXL327707 SHH327693:SHH327707 SRD327693:SRD327707 TAZ327693:TAZ327707 TKV327693:TKV327707 TUR327693:TUR327707 UEN327693:UEN327707 UOJ327693:UOJ327707 UYF327693:UYF327707 VIB327693:VIB327707 VRX327693:VRX327707 WBT327693:WBT327707 WLP327693:WLP327707 WVL327693:WVL327707 D393229:D393243 IZ393229:IZ393243 SV393229:SV393243 ACR393229:ACR393243 AMN393229:AMN393243 AWJ393229:AWJ393243 BGF393229:BGF393243 BQB393229:BQB393243 BZX393229:BZX393243 CJT393229:CJT393243 CTP393229:CTP393243 DDL393229:DDL393243 DNH393229:DNH393243 DXD393229:DXD393243 EGZ393229:EGZ393243 EQV393229:EQV393243 FAR393229:FAR393243 FKN393229:FKN393243 FUJ393229:FUJ393243 GEF393229:GEF393243 GOB393229:GOB393243 GXX393229:GXX393243 HHT393229:HHT393243 HRP393229:HRP393243 IBL393229:IBL393243 ILH393229:ILH393243 IVD393229:IVD393243 JEZ393229:JEZ393243 JOV393229:JOV393243 JYR393229:JYR393243 KIN393229:KIN393243 KSJ393229:KSJ393243 LCF393229:LCF393243 LMB393229:LMB393243 LVX393229:LVX393243 MFT393229:MFT393243 MPP393229:MPP393243 MZL393229:MZL393243 NJH393229:NJH393243 NTD393229:NTD393243 OCZ393229:OCZ393243 OMV393229:OMV393243 OWR393229:OWR393243 PGN393229:PGN393243 PQJ393229:PQJ393243 QAF393229:QAF393243 QKB393229:QKB393243 QTX393229:QTX393243 RDT393229:RDT393243 RNP393229:RNP393243 RXL393229:RXL393243 SHH393229:SHH393243 SRD393229:SRD393243 TAZ393229:TAZ393243 TKV393229:TKV393243 TUR393229:TUR393243 UEN393229:UEN393243 UOJ393229:UOJ393243 UYF393229:UYF393243 VIB393229:VIB393243 VRX393229:VRX393243 WBT393229:WBT393243 WLP393229:WLP393243 WVL393229:WVL393243 D458765:D458779 IZ458765:IZ458779 SV458765:SV458779 ACR458765:ACR458779 AMN458765:AMN458779 AWJ458765:AWJ458779 BGF458765:BGF458779 BQB458765:BQB458779 BZX458765:BZX458779 CJT458765:CJT458779 CTP458765:CTP458779 DDL458765:DDL458779 DNH458765:DNH458779 DXD458765:DXD458779 EGZ458765:EGZ458779 EQV458765:EQV458779 FAR458765:FAR458779 FKN458765:FKN458779 FUJ458765:FUJ458779 GEF458765:GEF458779 GOB458765:GOB458779 GXX458765:GXX458779 HHT458765:HHT458779 HRP458765:HRP458779 IBL458765:IBL458779 ILH458765:ILH458779 IVD458765:IVD458779 JEZ458765:JEZ458779 JOV458765:JOV458779 JYR458765:JYR458779 KIN458765:KIN458779 KSJ458765:KSJ458779 LCF458765:LCF458779 LMB458765:LMB458779 LVX458765:LVX458779 MFT458765:MFT458779 MPP458765:MPP458779 MZL458765:MZL458779 NJH458765:NJH458779 NTD458765:NTD458779 OCZ458765:OCZ458779 OMV458765:OMV458779 OWR458765:OWR458779 PGN458765:PGN458779 PQJ458765:PQJ458779 QAF458765:QAF458779 QKB458765:QKB458779 QTX458765:QTX458779 RDT458765:RDT458779 RNP458765:RNP458779 RXL458765:RXL458779 SHH458765:SHH458779 SRD458765:SRD458779 TAZ458765:TAZ458779 TKV458765:TKV458779 TUR458765:TUR458779 UEN458765:UEN458779 UOJ458765:UOJ458779 UYF458765:UYF458779 VIB458765:VIB458779 VRX458765:VRX458779 WBT458765:WBT458779 WLP458765:WLP458779 WVL458765:WVL458779 D524301:D524315 IZ524301:IZ524315 SV524301:SV524315 ACR524301:ACR524315 AMN524301:AMN524315 AWJ524301:AWJ524315 BGF524301:BGF524315 BQB524301:BQB524315 BZX524301:BZX524315 CJT524301:CJT524315 CTP524301:CTP524315 DDL524301:DDL524315 DNH524301:DNH524315 DXD524301:DXD524315 EGZ524301:EGZ524315 EQV524301:EQV524315 FAR524301:FAR524315 FKN524301:FKN524315 FUJ524301:FUJ524315 GEF524301:GEF524315 GOB524301:GOB524315 GXX524301:GXX524315 HHT524301:HHT524315 HRP524301:HRP524315 IBL524301:IBL524315 ILH524301:ILH524315 IVD524301:IVD524315 JEZ524301:JEZ524315 JOV524301:JOV524315 JYR524301:JYR524315 KIN524301:KIN524315 KSJ524301:KSJ524315 LCF524301:LCF524315 LMB524301:LMB524315 LVX524301:LVX524315 MFT524301:MFT524315 MPP524301:MPP524315 MZL524301:MZL524315 NJH524301:NJH524315 NTD524301:NTD524315 OCZ524301:OCZ524315 OMV524301:OMV524315 OWR524301:OWR524315 PGN524301:PGN524315 PQJ524301:PQJ524315 QAF524301:QAF524315 QKB524301:QKB524315 QTX524301:QTX524315 RDT524301:RDT524315 RNP524301:RNP524315 RXL524301:RXL524315 SHH524301:SHH524315 SRD524301:SRD524315 TAZ524301:TAZ524315 TKV524301:TKV524315 TUR524301:TUR524315 UEN524301:UEN524315 UOJ524301:UOJ524315 UYF524301:UYF524315 VIB524301:VIB524315 VRX524301:VRX524315 WBT524301:WBT524315 WLP524301:WLP524315 WVL524301:WVL524315 D589837:D589851 IZ589837:IZ589851 SV589837:SV589851 ACR589837:ACR589851 AMN589837:AMN589851 AWJ589837:AWJ589851 BGF589837:BGF589851 BQB589837:BQB589851 BZX589837:BZX589851 CJT589837:CJT589851 CTP589837:CTP589851 DDL589837:DDL589851 DNH589837:DNH589851 DXD589837:DXD589851 EGZ589837:EGZ589851 EQV589837:EQV589851 FAR589837:FAR589851 FKN589837:FKN589851 FUJ589837:FUJ589851 GEF589837:GEF589851 GOB589837:GOB589851 GXX589837:GXX589851 HHT589837:HHT589851 HRP589837:HRP589851 IBL589837:IBL589851 ILH589837:ILH589851 IVD589837:IVD589851 JEZ589837:JEZ589851 JOV589837:JOV589851 JYR589837:JYR589851 KIN589837:KIN589851 KSJ589837:KSJ589851 LCF589837:LCF589851 LMB589837:LMB589851 LVX589837:LVX589851 MFT589837:MFT589851 MPP589837:MPP589851 MZL589837:MZL589851 NJH589837:NJH589851 NTD589837:NTD589851 OCZ589837:OCZ589851 OMV589837:OMV589851 OWR589837:OWR589851 PGN589837:PGN589851 PQJ589837:PQJ589851 QAF589837:QAF589851 QKB589837:QKB589851 QTX589837:QTX589851 RDT589837:RDT589851 RNP589837:RNP589851 RXL589837:RXL589851 SHH589837:SHH589851 SRD589837:SRD589851 TAZ589837:TAZ589851 TKV589837:TKV589851 TUR589837:TUR589851 UEN589837:UEN589851 UOJ589837:UOJ589851 UYF589837:UYF589851 VIB589837:VIB589851 VRX589837:VRX589851 WBT589837:WBT589851 WLP589837:WLP589851 WVL589837:WVL589851 D655373:D655387 IZ655373:IZ655387 SV655373:SV655387 ACR655373:ACR655387 AMN655373:AMN655387 AWJ655373:AWJ655387 BGF655373:BGF655387 BQB655373:BQB655387 BZX655373:BZX655387 CJT655373:CJT655387 CTP655373:CTP655387 DDL655373:DDL655387 DNH655373:DNH655387 DXD655373:DXD655387 EGZ655373:EGZ655387 EQV655373:EQV655387 FAR655373:FAR655387 FKN655373:FKN655387 FUJ655373:FUJ655387 GEF655373:GEF655387 GOB655373:GOB655387 GXX655373:GXX655387 HHT655373:HHT655387 HRP655373:HRP655387 IBL655373:IBL655387 ILH655373:ILH655387 IVD655373:IVD655387 JEZ655373:JEZ655387 JOV655373:JOV655387 JYR655373:JYR655387 KIN655373:KIN655387 KSJ655373:KSJ655387 LCF655373:LCF655387 LMB655373:LMB655387 LVX655373:LVX655387 MFT655373:MFT655387 MPP655373:MPP655387 MZL655373:MZL655387 NJH655373:NJH655387 NTD655373:NTD655387 OCZ655373:OCZ655387 OMV655373:OMV655387 OWR655373:OWR655387 PGN655373:PGN655387 PQJ655373:PQJ655387 QAF655373:QAF655387 QKB655373:QKB655387 QTX655373:QTX655387 RDT655373:RDT655387 RNP655373:RNP655387 RXL655373:RXL655387 SHH655373:SHH655387 SRD655373:SRD655387 TAZ655373:TAZ655387 TKV655373:TKV655387 TUR655373:TUR655387 UEN655373:UEN655387 UOJ655373:UOJ655387 UYF655373:UYF655387 VIB655373:VIB655387 VRX655373:VRX655387 WBT655373:WBT655387 WLP655373:WLP655387 WVL655373:WVL655387 D720909:D720923 IZ720909:IZ720923 SV720909:SV720923 ACR720909:ACR720923 AMN720909:AMN720923 AWJ720909:AWJ720923 BGF720909:BGF720923 BQB720909:BQB720923 BZX720909:BZX720923 CJT720909:CJT720923 CTP720909:CTP720923 DDL720909:DDL720923 DNH720909:DNH720923 DXD720909:DXD720923 EGZ720909:EGZ720923 EQV720909:EQV720923 FAR720909:FAR720923 FKN720909:FKN720923 FUJ720909:FUJ720923 GEF720909:GEF720923 GOB720909:GOB720923 GXX720909:GXX720923 HHT720909:HHT720923 HRP720909:HRP720923 IBL720909:IBL720923 ILH720909:ILH720923 IVD720909:IVD720923 JEZ720909:JEZ720923 JOV720909:JOV720923 JYR720909:JYR720923 KIN720909:KIN720923 KSJ720909:KSJ720923 LCF720909:LCF720923 LMB720909:LMB720923 LVX720909:LVX720923 MFT720909:MFT720923 MPP720909:MPP720923 MZL720909:MZL720923 NJH720909:NJH720923 NTD720909:NTD720923 OCZ720909:OCZ720923 OMV720909:OMV720923 OWR720909:OWR720923 PGN720909:PGN720923 PQJ720909:PQJ720923 QAF720909:QAF720923 QKB720909:QKB720923 QTX720909:QTX720923 RDT720909:RDT720923 RNP720909:RNP720923 RXL720909:RXL720923 SHH720909:SHH720923 SRD720909:SRD720923 TAZ720909:TAZ720923 TKV720909:TKV720923 TUR720909:TUR720923 UEN720909:UEN720923 UOJ720909:UOJ720923 UYF720909:UYF720923 VIB720909:VIB720923 VRX720909:VRX720923 WBT720909:WBT720923 WLP720909:WLP720923 WVL720909:WVL720923 D786445:D786459 IZ786445:IZ786459 SV786445:SV786459 ACR786445:ACR786459 AMN786445:AMN786459 AWJ786445:AWJ786459 BGF786445:BGF786459 BQB786445:BQB786459 BZX786445:BZX786459 CJT786445:CJT786459 CTP786445:CTP786459 DDL786445:DDL786459 DNH786445:DNH786459 DXD786445:DXD786459 EGZ786445:EGZ786459 EQV786445:EQV786459 FAR786445:FAR786459 FKN786445:FKN786459 FUJ786445:FUJ786459 GEF786445:GEF786459 GOB786445:GOB786459 GXX786445:GXX786459 HHT786445:HHT786459 HRP786445:HRP786459 IBL786445:IBL786459 ILH786445:ILH786459 IVD786445:IVD786459 JEZ786445:JEZ786459 JOV786445:JOV786459 JYR786445:JYR786459 KIN786445:KIN786459 KSJ786445:KSJ786459 LCF786445:LCF786459 LMB786445:LMB786459 LVX786445:LVX786459 MFT786445:MFT786459 MPP786445:MPP786459 MZL786445:MZL786459 NJH786445:NJH786459 NTD786445:NTD786459 OCZ786445:OCZ786459 OMV786445:OMV786459 OWR786445:OWR786459 PGN786445:PGN786459 PQJ786445:PQJ786459 QAF786445:QAF786459 QKB786445:QKB786459 QTX786445:QTX786459 RDT786445:RDT786459 RNP786445:RNP786459 RXL786445:RXL786459 SHH786445:SHH786459 SRD786445:SRD786459 TAZ786445:TAZ786459 TKV786445:TKV786459 TUR786445:TUR786459 UEN786445:UEN786459 UOJ786445:UOJ786459 UYF786445:UYF786459 VIB786445:VIB786459 VRX786445:VRX786459 WBT786445:WBT786459 WLP786445:WLP786459 WVL786445:WVL786459 D851981:D851995 IZ851981:IZ851995 SV851981:SV851995 ACR851981:ACR851995 AMN851981:AMN851995 AWJ851981:AWJ851995 BGF851981:BGF851995 BQB851981:BQB851995 BZX851981:BZX851995 CJT851981:CJT851995 CTP851981:CTP851995 DDL851981:DDL851995 DNH851981:DNH851995 DXD851981:DXD851995 EGZ851981:EGZ851995 EQV851981:EQV851995 FAR851981:FAR851995 FKN851981:FKN851995 FUJ851981:FUJ851995 GEF851981:GEF851995 GOB851981:GOB851995 GXX851981:GXX851995 HHT851981:HHT851995 HRP851981:HRP851995 IBL851981:IBL851995 ILH851981:ILH851995 IVD851981:IVD851995 JEZ851981:JEZ851995 JOV851981:JOV851995 JYR851981:JYR851995 KIN851981:KIN851995 KSJ851981:KSJ851995 LCF851981:LCF851995 LMB851981:LMB851995 LVX851981:LVX851995 MFT851981:MFT851995 MPP851981:MPP851995 MZL851981:MZL851995 NJH851981:NJH851995 NTD851981:NTD851995 OCZ851981:OCZ851995 OMV851981:OMV851995 OWR851981:OWR851995 PGN851981:PGN851995 PQJ851981:PQJ851995 QAF851981:QAF851995 QKB851981:QKB851995 QTX851981:QTX851995 RDT851981:RDT851995 RNP851981:RNP851995 RXL851981:RXL851995 SHH851981:SHH851995 SRD851981:SRD851995 TAZ851981:TAZ851995 TKV851981:TKV851995 TUR851981:TUR851995 UEN851981:UEN851995 UOJ851981:UOJ851995 UYF851981:UYF851995 VIB851981:VIB851995 VRX851981:VRX851995 WBT851981:WBT851995 WLP851981:WLP851995 WVL851981:WVL851995 D917517:D917531 IZ917517:IZ917531 SV917517:SV917531 ACR917517:ACR917531 AMN917517:AMN917531 AWJ917517:AWJ917531 BGF917517:BGF917531 BQB917517:BQB917531 BZX917517:BZX917531 CJT917517:CJT917531 CTP917517:CTP917531 DDL917517:DDL917531 DNH917517:DNH917531 DXD917517:DXD917531 EGZ917517:EGZ917531 EQV917517:EQV917531 FAR917517:FAR917531 FKN917517:FKN917531 FUJ917517:FUJ917531 GEF917517:GEF917531 GOB917517:GOB917531 GXX917517:GXX917531 HHT917517:HHT917531 HRP917517:HRP917531 IBL917517:IBL917531 ILH917517:ILH917531 IVD917517:IVD917531 JEZ917517:JEZ917531 JOV917517:JOV917531 JYR917517:JYR917531 KIN917517:KIN917531 KSJ917517:KSJ917531 LCF917517:LCF917531 LMB917517:LMB917531 LVX917517:LVX917531 MFT917517:MFT917531 MPP917517:MPP917531 MZL917517:MZL917531 NJH917517:NJH917531 NTD917517:NTD917531 OCZ917517:OCZ917531 OMV917517:OMV917531 OWR917517:OWR917531 PGN917517:PGN917531 PQJ917517:PQJ917531 QAF917517:QAF917531 QKB917517:QKB917531 QTX917517:QTX917531 RDT917517:RDT917531 RNP917517:RNP917531 RXL917517:RXL917531 SHH917517:SHH917531 SRD917517:SRD917531 TAZ917517:TAZ917531 TKV917517:TKV917531 TUR917517:TUR917531 UEN917517:UEN917531 UOJ917517:UOJ917531 UYF917517:UYF917531 VIB917517:VIB917531 VRX917517:VRX917531 WBT917517:WBT917531 WLP917517:WLP917531 WVL917517:WVL917531 D983053:D983067 IZ983053:IZ983067 SV983053:SV983067 ACR983053:ACR983067 AMN983053:AMN983067 AWJ983053:AWJ983067 BGF983053:BGF983067 BQB983053:BQB983067 BZX983053:BZX983067 CJT983053:CJT983067 CTP983053:CTP983067 DDL983053:DDL983067 DNH983053:DNH983067 DXD983053:DXD983067 EGZ983053:EGZ983067 EQV983053:EQV983067 FAR983053:FAR983067 FKN983053:FKN983067 FUJ983053:FUJ983067 GEF983053:GEF983067 GOB983053:GOB983067 GXX983053:GXX983067 HHT983053:HHT983067 HRP983053:HRP983067 IBL983053:IBL983067 ILH983053:ILH983067 IVD983053:IVD983067 JEZ983053:JEZ983067 JOV983053:JOV983067 JYR983053:JYR983067 KIN983053:KIN983067 KSJ983053:KSJ983067 LCF983053:LCF983067 LMB983053:LMB983067 LVX983053:LVX983067 MFT983053:MFT983067 MPP983053:MPP983067 MZL983053:MZL983067 NJH983053:NJH983067 NTD983053:NTD983067 OCZ983053:OCZ983067 OMV983053:OMV983067 OWR983053:OWR983067 PGN983053:PGN983067 PQJ983053:PQJ983067 QAF983053:QAF983067 QKB983053:QKB983067 QTX983053:QTX983067 RDT983053:RDT983067 RNP983053:RNP983067 RXL983053:RXL983067 SHH983053:SHH983067 SRD983053:SRD983067 TAZ983053:TAZ983067 TKV983053:TKV983067 TUR983053:TUR983067 UEN983053:UEN983067 UOJ983053:UOJ983067 UYF983053:UYF983067 VIB983053:VIB983067 VRX983053:VRX983067 WBT983053:WBT983067 WLP983053:WLP983067 WVL983053:WVL983067 WVS983053:WVT983067 JG13:JH27 TC13:TD27 ACY13:ACZ27 AMU13:AMV27 AWQ13:AWR27 BGM13:BGN27 BQI13:BQJ27 CAE13:CAF27 CKA13:CKB27 CTW13:CTX27 DDS13:DDT27 DNO13:DNP27 DXK13:DXL27 EHG13:EHH27 ERC13:ERD27 FAY13:FAZ27 FKU13:FKV27 FUQ13:FUR27 GEM13:GEN27 GOI13:GOJ27 GYE13:GYF27 HIA13:HIB27 HRW13:HRX27 IBS13:IBT27 ILO13:ILP27 IVK13:IVL27 JFG13:JFH27 JPC13:JPD27 JYY13:JYZ27 KIU13:KIV27 KSQ13:KSR27 LCM13:LCN27 LMI13:LMJ27 LWE13:LWF27 MGA13:MGB27 MPW13:MPX27 MZS13:MZT27 NJO13:NJP27 NTK13:NTL27 ODG13:ODH27 ONC13:OND27 OWY13:OWZ27 PGU13:PGV27 PQQ13:PQR27 QAM13:QAN27 QKI13:QKJ27 QUE13:QUF27 REA13:REB27 RNW13:RNX27 RXS13:RXT27 SHO13:SHP27 SRK13:SRL27 TBG13:TBH27 TLC13:TLD27 TUY13:TUZ27 UEU13:UEV27 UOQ13:UOR27 UYM13:UYN27 VII13:VIJ27 VSE13:VSF27 WCA13:WCB27 WLW13:WLX27 WVS13:WVT27 K65549:L65563 JG65549:JH65563 TC65549:TD65563 ACY65549:ACZ65563 AMU65549:AMV65563 AWQ65549:AWR65563 BGM65549:BGN65563 BQI65549:BQJ65563 CAE65549:CAF65563 CKA65549:CKB65563 CTW65549:CTX65563 DDS65549:DDT65563 DNO65549:DNP65563 DXK65549:DXL65563 EHG65549:EHH65563 ERC65549:ERD65563 FAY65549:FAZ65563 FKU65549:FKV65563 FUQ65549:FUR65563 GEM65549:GEN65563 GOI65549:GOJ65563 GYE65549:GYF65563 HIA65549:HIB65563 HRW65549:HRX65563 IBS65549:IBT65563 ILO65549:ILP65563 IVK65549:IVL65563 JFG65549:JFH65563 JPC65549:JPD65563 JYY65549:JYZ65563 KIU65549:KIV65563 KSQ65549:KSR65563 LCM65549:LCN65563 LMI65549:LMJ65563 LWE65549:LWF65563 MGA65549:MGB65563 MPW65549:MPX65563 MZS65549:MZT65563 NJO65549:NJP65563 NTK65549:NTL65563 ODG65549:ODH65563 ONC65549:OND65563 OWY65549:OWZ65563 PGU65549:PGV65563 PQQ65549:PQR65563 QAM65549:QAN65563 QKI65549:QKJ65563 QUE65549:QUF65563 REA65549:REB65563 RNW65549:RNX65563 RXS65549:RXT65563 SHO65549:SHP65563 SRK65549:SRL65563 TBG65549:TBH65563 TLC65549:TLD65563 TUY65549:TUZ65563 UEU65549:UEV65563 UOQ65549:UOR65563 UYM65549:UYN65563 VII65549:VIJ65563 VSE65549:VSF65563 WCA65549:WCB65563 WLW65549:WLX65563 WVS65549:WVT65563 K131085:L131099 JG131085:JH131099 TC131085:TD131099 ACY131085:ACZ131099 AMU131085:AMV131099 AWQ131085:AWR131099 BGM131085:BGN131099 BQI131085:BQJ131099 CAE131085:CAF131099 CKA131085:CKB131099 CTW131085:CTX131099 DDS131085:DDT131099 DNO131085:DNP131099 DXK131085:DXL131099 EHG131085:EHH131099 ERC131085:ERD131099 FAY131085:FAZ131099 FKU131085:FKV131099 FUQ131085:FUR131099 GEM131085:GEN131099 GOI131085:GOJ131099 GYE131085:GYF131099 HIA131085:HIB131099 HRW131085:HRX131099 IBS131085:IBT131099 ILO131085:ILP131099 IVK131085:IVL131099 JFG131085:JFH131099 JPC131085:JPD131099 JYY131085:JYZ131099 KIU131085:KIV131099 KSQ131085:KSR131099 LCM131085:LCN131099 LMI131085:LMJ131099 LWE131085:LWF131099 MGA131085:MGB131099 MPW131085:MPX131099 MZS131085:MZT131099 NJO131085:NJP131099 NTK131085:NTL131099 ODG131085:ODH131099 ONC131085:OND131099 OWY131085:OWZ131099 PGU131085:PGV131099 PQQ131085:PQR131099 QAM131085:QAN131099 QKI131085:QKJ131099 QUE131085:QUF131099 REA131085:REB131099 RNW131085:RNX131099 RXS131085:RXT131099 SHO131085:SHP131099 SRK131085:SRL131099 TBG131085:TBH131099 TLC131085:TLD131099 TUY131085:TUZ131099 UEU131085:UEV131099 UOQ131085:UOR131099 UYM131085:UYN131099 VII131085:VIJ131099 VSE131085:VSF131099 WCA131085:WCB131099 WLW131085:WLX131099 WVS131085:WVT131099 K196621:L196635 JG196621:JH196635 TC196621:TD196635 ACY196621:ACZ196635 AMU196621:AMV196635 AWQ196621:AWR196635 BGM196621:BGN196635 BQI196621:BQJ196635 CAE196621:CAF196635 CKA196621:CKB196635 CTW196621:CTX196635 DDS196621:DDT196635 DNO196621:DNP196635 DXK196621:DXL196635 EHG196621:EHH196635 ERC196621:ERD196635 FAY196621:FAZ196635 FKU196621:FKV196635 FUQ196621:FUR196635 GEM196621:GEN196635 GOI196621:GOJ196635 GYE196621:GYF196635 HIA196621:HIB196635 HRW196621:HRX196635 IBS196621:IBT196635 ILO196621:ILP196635 IVK196621:IVL196635 JFG196621:JFH196635 JPC196621:JPD196635 JYY196621:JYZ196635 KIU196621:KIV196635 KSQ196621:KSR196635 LCM196621:LCN196635 LMI196621:LMJ196635 LWE196621:LWF196635 MGA196621:MGB196635 MPW196621:MPX196635 MZS196621:MZT196635 NJO196621:NJP196635 NTK196621:NTL196635 ODG196621:ODH196635 ONC196621:OND196635 OWY196621:OWZ196635 PGU196621:PGV196635 PQQ196621:PQR196635 QAM196621:QAN196635 QKI196621:QKJ196635 QUE196621:QUF196635 REA196621:REB196635 RNW196621:RNX196635 RXS196621:RXT196635 SHO196621:SHP196635 SRK196621:SRL196635 TBG196621:TBH196635 TLC196621:TLD196635 TUY196621:TUZ196635 UEU196621:UEV196635 UOQ196621:UOR196635 UYM196621:UYN196635 VII196621:VIJ196635 VSE196621:VSF196635 WCA196621:WCB196635 WLW196621:WLX196635 WVS196621:WVT196635 K262157:L262171 JG262157:JH262171 TC262157:TD262171 ACY262157:ACZ262171 AMU262157:AMV262171 AWQ262157:AWR262171 BGM262157:BGN262171 BQI262157:BQJ262171 CAE262157:CAF262171 CKA262157:CKB262171 CTW262157:CTX262171 DDS262157:DDT262171 DNO262157:DNP262171 DXK262157:DXL262171 EHG262157:EHH262171 ERC262157:ERD262171 FAY262157:FAZ262171 FKU262157:FKV262171 FUQ262157:FUR262171 GEM262157:GEN262171 GOI262157:GOJ262171 GYE262157:GYF262171 HIA262157:HIB262171 HRW262157:HRX262171 IBS262157:IBT262171 ILO262157:ILP262171 IVK262157:IVL262171 JFG262157:JFH262171 JPC262157:JPD262171 JYY262157:JYZ262171 KIU262157:KIV262171 KSQ262157:KSR262171 LCM262157:LCN262171 LMI262157:LMJ262171 LWE262157:LWF262171 MGA262157:MGB262171 MPW262157:MPX262171 MZS262157:MZT262171 NJO262157:NJP262171 NTK262157:NTL262171 ODG262157:ODH262171 ONC262157:OND262171 OWY262157:OWZ262171 PGU262157:PGV262171 PQQ262157:PQR262171 QAM262157:QAN262171 QKI262157:QKJ262171 QUE262157:QUF262171 REA262157:REB262171 RNW262157:RNX262171 RXS262157:RXT262171 SHO262157:SHP262171 SRK262157:SRL262171 TBG262157:TBH262171 TLC262157:TLD262171 TUY262157:TUZ262171 UEU262157:UEV262171 UOQ262157:UOR262171 UYM262157:UYN262171 VII262157:VIJ262171 VSE262157:VSF262171 WCA262157:WCB262171 WLW262157:WLX262171 WVS262157:WVT262171 K327693:L327707 JG327693:JH327707 TC327693:TD327707 ACY327693:ACZ327707 AMU327693:AMV327707 AWQ327693:AWR327707 BGM327693:BGN327707 BQI327693:BQJ327707 CAE327693:CAF327707 CKA327693:CKB327707 CTW327693:CTX327707 DDS327693:DDT327707 DNO327693:DNP327707 DXK327693:DXL327707 EHG327693:EHH327707 ERC327693:ERD327707 FAY327693:FAZ327707 FKU327693:FKV327707 FUQ327693:FUR327707 GEM327693:GEN327707 GOI327693:GOJ327707 GYE327693:GYF327707 HIA327693:HIB327707 HRW327693:HRX327707 IBS327693:IBT327707 ILO327693:ILP327707 IVK327693:IVL327707 JFG327693:JFH327707 JPC327693:JPD327707 JYY327693:JYZ327707 KIU327693:KIV327707 KSQ327693:KSR327707 LCM327693:LCN327707 LMI327693:LMJ327707 LWE327693:LWF327707 MGA327693:MGB327707 MPW327693:MPX327707 MZS327693:MZT327707 NJO327693:NJP327707 NTK327693:NTL327707 ODG327693:ODH327707 ONC327693:OND327707 OWY327693:OWZ327707 PGU327693:PGV327707 PQQ327693:PQR327707 QAM327693:QAN327707 QKI327693:QKJ327707 QUE327693:QUF327707 REA327693:REB327707 RNW327693:RNX327707 RXS327693:RXT327707 SHO327693:SHP327707 SRK327693:SRL327707 TBG327693:TBH327707 TLC327693:TLD327707 TUY327693:TUZ327707 UEU327693:UEV327707 UOQ327693:UOR327707 UYM327693:UYN327707 VII327693:VIJ327707 VSE327693:VSF327707 WCA327693:WCB327707 WLW327693:WLX327707 WVS327693:WVT327707 K393229:L393243 JG393229:JH393243 TC393229:TD393243 ACY393229:ACZ393243 AMU393229:AMV393243 AWQ393229:AWR393243 BGM393229:BGN393243 BQI393229:BQJ393243 CAE393229:CAF393243 CKA393229:CKB393243 CTW393229:CTX393243 DDS393229:DDT393243 DNO393229:DNP393243 DXK393229:DXL393243 EHG393229:EHH393243 ERC393229:ERD393243 FAY393229:FAZ393243 FKU393229:FKV393243 FUQ393229:FUR393243 GEM393229:GEN393243 GOI393229:GOJ393243 GYE393229:GYF393243 HIA393229:HIB393243 HRW393229:HRX393243 IBS393229:IBT393243 ILO393229:ILP393243 IVK393229:IVL393243 JFG393229:JFH393243 JPC393229:JPD393243 JYY393229:JYZ393243 KIU393229:KIV393243 KSQ393229:KSR393243 LCM393229:LCN393243 LMI393229:LMJ393243 LWE393229:LWF393243 MGA393229:MGB393243 MPW393229:MPX393243 MZS393229:MZT393243 NJO393229:NJP393243 NTK393229:NTL393243 ODG393229:ODH393243 ONC393229:OND393243 OWY393229:OWZ393243 PGU393229:PGV393243 PQQ393229:PQR393243 QAM393229:QAN393243 QKI393229:QKJ393243 QUE393229:QUF393243 REA393229:REB393243 RNW393229:RNX393243 RXS393229:RXT393243 SHO393229:SHP393243 SRK393229:SRL393243 TBG393229:TBH393243 TLC393229:TLD393243 TUY393229:TUZ393243 UEU393229:UEV393243 UOQ393229:UOR393243 UYM393229:UYN393243 VII393229:VIJ393243 VSE393229:VSF393243 WCA393229:WCB393243 WLW393229:WLX393243 WVS393229:WVT393243 K458765:L458779 JG458765:JH458779 TC458765:TD458779 ACY458765:ACZ458779 AMU458765:AMV458779 AWQ458765:AWR458779 BGM458765:BGN458779 BQI458765:BQJ458779 CAE458765:CAF458779 CKA458765:CKB458779 CTW458765:CTX458779 DDS458765:DDT458779 DNO458765:DNP458779 DXK458765:DXL458779 EHG458765:EHH458779 ERC458765:ERD458779 FAY458765:FAZ458779 FKU458765:FKV458779 FUQ458765:FUR458779 GEM458765:GEN458779 GOI458765:GOJ458779 GYE458765:GYF458779 HIA458765:HIB458779 HRW458765:HRX458779 IBS458765:IBT458779 ILO458765:ILP458779 IVK458765:IVL458779 JFG458765:JFH458779 JPC458765:JPD458779 JYY458765:JYZ458779 KIU458765:KIV458779 KSQ458765:KSR458779 LCM458765:LCN458779 LMI458765:LMJ458779 LWE458765:LWF458779 MGA458765:MGB458779 MPW458765:MPX458779 MZS458765:MZT458779 NJO458765:NJP458779 NTK458765:NTL458779 ODG458765:ODH458779 ONC458765:OND458779 OWY458765:OWZ458779 PGU458765:PGV458779 PQQ458765:PQR458779 QAM458765:QAN458779 QKI458765:QKJ458779 QUE458765:QUF458779 REA458765:REB458779 RNW458765:RNX458779 RXS458765:RXT458779 SHO458765:SHP458779 SRK458765:SRL458779 TBG458765:TBH458779 TLC458765:TLD458779 TUY458765:TUZ458779 UEU458765:UEV458779 UOQ458765:UOR458779 UYM458765:UYN458779 VII458765:VIJ458779 VSE458765:VSF458779 WCA458765:WCB458779 WLW458765:WLX458779 WVS458765:WVT458779 K524301:L524315 JG524301:JH524315 TC524301:TD524315 ACY524301:ACZ524315 AMU524301:AMV524315 AWQ524301:AWR524315 BGM524301:BGN524315 BQI524301:BQJ524315 CAE524301:CAF524315 CKA524301:CKB524315 CTW524301:CTX524315 DDS524301:DDT524315 DNO524301:DNP524315 DXK524301:DXL524315 EHG524301:EHH524315 ERC524301:ERD524315 FAY524301:FAZ524315 FKU524301:FKV524315 FUQ524301:FUR524315 GEM524301:GEN524315 GOI524301:GOJ524315 GYE524301:GYF524315 HIA524301:HIB524315 HRW524301:HRX524315 IBS524301:IBT524315 ILO524301:ILP524315 IVK524301:IVL524315 JFG524301:JFH524315 JPC524301:JPD524315 JYY524301:JYZ524315 KIU524301:KIV524315 KSQ524301:KSR524315 LCM524301:LCN524315 LMI524301:LMJ524315 LWE524301:LWF524315 MGA524301:MGB524315 MPW524301:MPX524315 MZS524301:MZT524315 NJO524301:NJP524315 NTK524301:NTL524315 ODG524301:ODH524315 ONC524301:OND524315 OWY524301:OWZ524315 PGU524301:PGV524315 PQQ524301:PQR524315 QAM524301:QAN524315 QKI524301:QKJ524315 QUE524301:QUF524315 REA524301:REB524315 RNW524301:RNX524315 RXS524301:RXT524315 SHO524301:SHP524315 SRK524301:SRL524315 TBG524301:TBH524315 TLC524301:TLD524315 TUY524301:TUZ524315 UEU524301:UEV524315 UOQ524301:UOR524315 UYM524301:UYN524315 VII524301:VIJ524315 VSE524301:VSF524315 WCA524301:WCB524315 WLW524301:WLX524315 WVS524301:WVT524315 K589837:L589851 JG589837:JH589851 TC589837:TD589851 ACY589837:ACZ589851 AMU589837:AMV589851 AWQ589837:AWR589851 BGM589837:BGN589851 BQI589837:BQJ589851 CAE589837:CAF589851 CKA589837:CKB589851 CTW589837:CTX589851 DDS589837:DDT589851 DNO589837:DNP589851 DXK589837:DXL589851 EHG589837:EHH589851 ERC589837:ERD589851 FAY589837:FAZ589851 FKU589837:FKV589851 FUQ589837:FUR589851 GEM589837:GEN589851 GOI589837:GOJ589851 GYE589837:GYF589851 HIA589837:HIB589851 HRW589837:HRX589851 IBS589837:IBT589851 ILO589837:ILP589851 IVK589837:IVL589851 JFG589837:JFH589851 JPC589837:JPD589851 JYY589837:JYZ589851 KIU589837:KIV589851 KSQ589837:KSR589851 LCM589837:LCN589851 LMI589837:LMJ589851 LWE589837:LWF589851 MGA589837:MGB589851 MPW589837:MPX589851 MZS589837:MZT589851 NJO589837:NJP589851 NTK589837:NTL589851 ODG589837:ODH589851 ONC589837:OND589851 OWY589837:OWZ589851 PGU589837:PGV589851 PQQ589837:PQR589851 QAM589837:QAN589851 QKI589837:QKJ589851 QUE589837:QUF589851 REA589837:REB589851 RNW589837:RNX589851 RXS589837:RXT589851 SHO589837:SHP589851 SRK589837:SRL589851 TBG589837:TBH589851 TLC589837:TLD589851 TUY589837:TUZ589851 UEU589837:UEV589851 UOQ589837:UOR589851 UYM589837:UYN589851 VII589837:VIJ589851 VSE589837:VSF589851 WCA589837:WCB589851 WLW589837:WLX589851 WVS589837:WVT589851 K655373:L655387 JG655373:JH655387 TC655373:TD655387 ACY655373:ACZ655387 AMU655373:AMV655387 AWQ655373:AWR655387 BGM655373:BGN655387 BQI655373:BQJ655387 CAE655373:CAF655387 CKA655373:CKB655387 CTW655373:CTX655387 DDS655373:DDT655387 DNO655373:DNP655387 DXK655373:DXL655387 EHG655373:EHH655387 ERC655373:ERD655387 FAY655373:FAZ655387 FKU655373:FKV655387 FUQ655373:FUR655387 GEM655373:GEN655387 GOI655373:GOJ655387 GYE655373:GYF655387 HIA655373:HIB655387 HRW655373:HRX655387 IBS655373:IBT655387 ILO655373:ILP655387 IVK655373:IVL655387 JFG655373:JFH655387 JPC655373:JPD655387 JYY655373:JYZ655387 KIU655373:KIV655387 KSQ655373:KSR655387 LCM655373:LCN655387 LMI655373:LMJ655387 LWE655373:LWF655387 MGA655373:MGB655387 MPW655373:MPX655387 MZS655373:MZT655387 NJO655373:NJP655387 NTK655373:NTL655387 ODG655373:ODH655387 ONC655373:OND655387 OWY655373:OWZ655387 PGU655373:PGV655387 PQQ655373:PQR655387 QAM655373:QAN655387 QKI655373:QKJ655387 QUE655373:QUF655387 REA655373:REB655387 RNW655373:RNX655387 RXS655373:RXT655387 SHO655373:SHP655387 SRK655373:SRL655387 TBG655373:TBH655387 TLC655373:TLD655387 TUY655373:TUZ655387 UEU655373:UEV655387 UOQ655373:UOR655387 UYM655373:UYN655387 VII655373:VIJ655387 VSE655373:VSF655387 WCA655373:WCB655387 WLW655373:WLX655387 WVS655373:WVT655387 K720909:L720923 JG720909:JH720923 TC720909:TD720923 ACY720909:ACZ720923 AMU720909:AMV720923 AWQ720909:AWR720923 BGM720909:BGN720923 BQI720909:BQJ720923 CAE720909:CAF720923 CKA720909:CKB720923 CTW720909:CTX720923 DDS720909:DDT720923 DNO720909:DNP720923 DXK720909:DXL720923 EHG720909:EHH720923 ERC720909:ERD720923 FAY720909:FAZ720923 FKU720909:FKV720923 FUQ720909:FUR720923 GEM720909:GEN720923 GOI720909:GOJ720923 GYE720909:GYF720923 HIA720909:HIB720923 HRW720909:HRX720923 IBS720909:IBT720923 ILO720909:ILP720923 IVK720909:IVL720923 JFG720909:JFH720923 JPC720909:JPD720923 JYY720909:JYZ720923 KIU720909:KIV720923 KSQ720909:KSR720923 LCM720909:LCN720923 LMI720909:LMJ720923 LWE720909:LWF720923 MGA720909:MGB720923 MPW720909:MPX720923 MZS720909:MZT720923 NJO720909:NJP720923 NTK720909:NTL720923 ODG720909:ODH720923 ONC720909:OND720923 OWY720909:OWZ720923 PGU720909:PGV720923 PQQ720909:PQR720923 QAM720909:QAN720923 QKI720909:QKJ720923 QUE720909:QUF720923 REA720909:REB720923 RNW720909:RNX720923 RXS720909:RXT720923 SHO720909:SHP720923 SRK720909:SRL720923 TBG720909:TBH720923 TLC720909:TLD720923 TUY720909:TUZ720923 UEU720909:UEV720923 UOQ720909:UOR720923 UYM720909:UYN720923 VII720909:VIJ720923 VSE720909:VSF720923 WCA720909:WCB720923 WLW720909:WLX720923 WVS720909:WVT720923 K786445:L786459 JG786445:JH786459 TC786445:TD786459 ACY786445:ACZ786459 AMU786445:AMV786459 AWQ786445:AWR786459 BGM786445:BGN786459 BQI786445:BQJ786459 CAE786445:CAF786459 CKA786445:CKB786459 CTW786445:CTX786459 DDS786445:DDT786459 DNO786445:DNP786459 DXK786445:DXL786459 EHG786445:EHH786459 ERC786445:ERD786459 FAY786445:FAZ786459 FKU786445:FKV786459 FUQ786445:FUR786459 GEM786445:GEN786459 GOI786445:GOJ786459 GYE786445:GYF786459 HIA786445:HIB786459 HRW786445:HRX786459 IBS786445:IBT786459 ILO786445:ILP786459 IVK786445:IVL786459 JFG786445:JFH786459 JPC786445:JPD786459 JYY786445:JYZ786459 KIU786445:KIV786459 KSQ786445:KSR786459 LCM786445:LCN786459 LMI786445:LMJ786459 LWE786445:LWF786459 MGA786445:MGB786459 MPW786445:MPX786459 MZS786445:MZT786459 NJO786445:NJP786459 NTK786445:NTL786459 ODG786445:ODH786459 ONC786445:OND786459 OWY786445:OWZ786459 PGU786445:PGV786459 PQQ786445:PQR786459 QAM786445:QAN786459 QKI786445:QKJ786459 QUE786445:QUF786459 REA786445:REB786459 RNW786445:RNX786459 RXS786445:RXT786459 SHO786445:SHP786459 SRK786445:SRL786459 TBG786445:TBH786459 TLC786445:TLD786459 TUY786445:TUZ786459 UEU786445:UEV786459 UOQ786445:UOR786459 UYM786445:UYN786459 VII786445:VIJ786459 VSE786445:VSF786459 WCA786445:WCB786459 WLW786445:WLX786459 WVS786445:WVT786459 K851981:L851995 JG851981:JH851995 TC851981:TD851995 ACY851981:ACZ851995 AMU851981:AMV851995 AWQ851981:AWR851995 BGM851981:BGN851995 BQI851981:BQJ851995 CAE851981:CAF851995 CKA851981:CKB851995 CTW851981:CTX851995 DDS851981:DDT851995 DNO851981:DNP851995 DXK851981:DXL851995 EHG851981:EHH851995 ERC851981:ERD851995 FAY851981:FAZ851995 FKU851981:FKV851995 FUQ851981:FUR851995 GEM851981:GEN851995 GOI851981:GOJ851995 GYE851981:GYF851995 HIA851981:HIB851995 HRW851981:HRX851995 IBS851981:IBT851995 ILO851981:ILP851995 IVK851981:IVL851995 JFG851981:JFH851995 JPC851981:JPD851995 JYY851981:JYZ851995 KIU851981:KIV851995 KSQ851981:KSR851995 LCM851981:LCN851995 LMI851981:LMJ851995 LWE851981:LWF851995 MGA851981:MGB851995 MPW851981:MPX851995 MZS851981:MZT851995 NJO851981:NJP851995 NTK851981:NTL851995 ODG851981:ODH851995 ONC851981:OND851995 OWY851981:OWZ851995 PGU851981:PGV851995 PQQ851981:PQR851995 QAM851981:QAN851995 QKI851981:QKJ851995 QUE851981:QUF851995 REA851981:REB851995 RNW851981:RNX851995 RXS851981:RXT851995 SHO851981:SHP851995 SRK851981:SRL851995 TBG851981:TBH851995 TLC851981:TLD851995 TUY851981:TUZ851995 UEU851981:UEV851995 UOQ851981:UOR851995 UYM851981:UYN851995 VII851981:VIJ851995 VSE851981:VSF851995 WCA851981:WCB851995 WLW851981:WLX851995 WVS851981:WVT851995 K917517:L917531 JG917517:JH917531 TC917517:TD917531 ACY917517:ACZ917531 AMU917517:AMV917531 AWQ917517:AWR917531 BGM917517:BGN917531 BQI917517:BQJ917531 CAE917517:CAF917531 CKA917517:CKB917531 CTW917517:CTX917531 DDS917517:DDT917531 DNO917517:DNP917531 DXK917517:DXL917531 EHG917517:EHH917531 ERC917517:ERD917531 FAY917517:FAZ917531 FKU917517:FKV917531 FUQ917517:FUR917531 GEM917517:GEN917531 GOI917517:GOJ917531 GYE917517:GYF917531 HIA917517:HIB917531 HRW917517:HRX917531 IBS917517:IBT917531 ILO917517:ILP917531 IVK917517:IVL917531 JFG917517:JFH917531 JPC917517:JPD917531 JYY917517:JYZ917531 KIU917517:KIV917531 KSQ917517:KSR917531 LCM917517:LCN917531 LMI917517:LMJ917531 LWE917517:LWF917531 MGA917517:MGB917531 MPW917517:MPX917531 MZS917517:MZT917531 NJO917517:NJP917531 NTK917517:NTL917531 ODG917517:ODH917531 ONC917517:OND917531 OWY917517:OWZ917531 PGU917517:PGV917531 PQQ917517:PQR917531 QAM917517:QAN917531 QKI917517:QKJ917531 QUE917517:QUF917531 REA917517:REB917531 RNW917517:RNX917531 RXS917517:RXT917531 SHO917517:SHP917531 SRK917517:SRL917531 TBG917517:TBH917531 TLC917517:TLD917531 TUY917517:TUZ917531 UEU917517:UEV917531 UOQ917517:UOR917531 UYM917517:UYN917531 VII917517:VIJ917531 VSE917517:VSF917531 WCA917517:WCB917531 WLW917517:WLX917531 WVS917517:WVT917531 K983053:L983067 JG983053:JH983067 TC983053:TD983067 ACY983053:ACZ983067 AMU983053:AMV983067 AWQ983053:AWR983067 BGM983053:BGN983067 BQI983053:BQJ983067 CAE983053:CAF983067 CKA983053:CKB983067 CTW983053:CTX983067 DDS983053:DDT983067 DNO983053:DNP983067 DXK983053:DXL983067 EHG983053:EHH983067 ERC983053:ERD983067 FAY983053:FAZ983067 FKU983053:FKV983067 FUQ983053:FUR983067 GEM983053:GEN983067 GOI983053:GOJ983067 GYE983053:GYF983067 HIA983053:HIB983067 HRW983053:HRX983067 IBS983053:IBT983067 ILO983053:ILP983067 IVK983053:IVL983067 JFG983053:JFH983067 JPC983053:JPD983067 JYY983053:JYZ983067 KIU983053:KIV983067 KSQ983053:KSR983067 LCM983053:LCN983067 LMI983053:LMJ983067 LWE983053:LWF983067 MGA983053:MGB983067 MPW983053:MPX983067 MZS983053:MZT983067 NJO983053:NJP983067 NTK983053:NTL983067 ODG983053:ODH983067 ONC983053:OND983067 OWY983053:OWZ983067 PGU983053:PGV983067 PQQ983053:PQR983067 QAM983053:QAN983067 QKI983053:QKJ983067 QUE983053:QUF983067 REA983053:REB983067 RNW983053:RNX983067 RXS983053:RXT983067 SHO983053:SHP983067 SRK983053:SRL983067 TBG983053:TBH983067 TLC983053:TLD983067 TUY983053:TUZ983067 UEU983053:UEV983067 UOQ983053:UOR983067 UYM983053:UYN983067 VII983053:VIJ983067 VSE983053:VSF983067 WCA983053:WCB983067 WLW983053:WLX983067 K13:L27 D13:D27" xr:uid="{00000000-0002-0000-2E00-000001000000}">
      <formula1>4</formula1>
    </dataValidation>
    <dataValidation operator="notEqual" allowBlank="1" showInputMessage="1" showErrorMessage="1" errorTitle="Wrong Account" error="NCAS Accounts 438030 and 538030 are NOT transfer accounts. Please contact your OSC analyst before proceeding." sqref="N14:N27" xr:uid="{A5E0F620-47AC-41F8-A512-1A8D9EC1A449}"/>
    <dataValidation operator="notEqual" allowBlank="1" showInputMessage="1" showErrorMessage="1" errorTitle="Wrong Account" error="NCAS Accounts 438030 and 538030 are NOT transfer accounts. Please contact your OSC analyst before proceeding." sqref="F14:F27" xr:uid="{773A84A4-8831-4070-A3EC-FF55D47A8520}"/>
  </dataValidations>
  <hyperlinks>
    <hyperlink ref="B1:P1" location="Index!A1" display="Index!A1" xr:uid="{00000000-0004-0000-2E00-000000000000}"/>
  </hyperlinks>
  <printOptions horizontalCentered="1"/>
  <pageMargins left="0.5" right="0.5" top="0.75" bottom="0.5" header="0.5" footer="0.5"/>
  <pageSetup scale="96" orientation="landscape" blackAndWhite="1" r:id="rId1"/>
  <headerFooter alignWithMargins="0">
    <oddFooter>&amp;R&amp;A</oddFooter>
  </headerFooter>
  <ignoredErrors>
    <ignoredError sqref="B13 J13" numberStoredAsText="1"/>
    <ignoredError sqref="H28 P28" formulaRange="1"/>
    <ignoredError sqref="L5:P6" unlocked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7"/>
  <dimension ref="A1:AF127"/>
  <sheetViews>
    <sheetView showGridLines="0" topLeftCell="B1" zoomScaleNormal="100" workbookViewId="0">
      <selection activeCell="AI16" sqref="AI16"/>
    </sheetView>
  </sheetViews>
  <sheetFormatPr defaultRowHeight="15.75" x14ac:dyDescent="0.25"/>
  <cols>
    <col min="1" max="1" width="0" style="1768" hidden="1" customWidth="1"/>
    <col min="2" max="2" width="11.5703125" style="1768" customWidth="1"/>
    <col min="3" max="3" width="1.5703125" style="1768" customWidth="1"/>
    <col min="4" max="4" width="7" style="1768" customWidth="1"/>
    <col min="5" max="5" width="1.5703125" style="1768" customWidth="1"/>
    <col min="6" max="6" width="12.5703125" style="1768" customWidth="1"/>
    <col min="7" max="7" width="1.5703125" style="1768" customWidth="1"/>
    <col min="8" max="8" width="19.5703125" style="1768" customWidth="1"/>
    <col min="9" max="9" width="2.5703125" style="1768" customWidth="1"/>
    <col min="10" max="10" width="11.5703125" style="1768" customWidth="1"/>
    <col min="11" max="11" width="1.5703125" style="1768" customWidth="1"/>
    <col min="12" max="12" width="6.42578125" style="1768" customWidth="1"/>
    <col min="13" max="13" width="1.5703125" style="1768" customWidth="1"/>
    <col min="14" max="14" width="12.5703125" style="1768" customWidth="1"/>
    <col min="15" max="15" width="1.5703125" style="1768" customWidth="1"/>
    <col min="16" max="16" width="21.42578125" style="1768" customWidth="1"/>
    <col min="17" max="17" width="3" style="1768" customWidth="1"/>
    <col min="18" max="18" width="5.5703125" style="1768" hidden="1" customWidth="1"/>
    <col min="19" max="19" width="2" style="1768" hidden="1" customWidth="1"/>
    <col min="20" max="24" width="5.5703125" style="1768" hidden="1" customWidth="1"/>
    <col min="25" max="25" width="2" style="1768" hidden="1" customWidth="1"/>
    <col min="26" max="29" width="5.5703125" style="1768" hidden="1" customWidth="1"/>
    <col min="30" max="31" width="6.42578125" style="1768" hidden="1" customWidth="1"/>
    <col min="32" max="256" width="9.42578125" style="1768"/>
    <col min="257" max="257" width="0" style="1768" hidden="1" customWidth="1"/>
    <col min="258" max="258" width="10.42578125" style="1768" customWidth="1"/>
    <col min="259" max="259" width="1.42578125" style="1768" customWidth="1"/>
    <col min="260" max="260" width="6.5703125" style="1768" customWidth="1"/>
    <col min="261" max="261" width="1.5703125" style="1768" customWidth="1"/>
    <col min="262" max="262" width="12.5703125" style="1768" customWidth="1"/>
    <col min="263" max="263" width="1.5703125" style="1768" customWidth="1"/>
    <col min="264" max="264" width="19.5703125" style="1768" customWidth="1"/>
    <col min="265" max="265" width="2.5703125" style="1768" customWidth="1"/>
    <col min="266" max="266" width="10.5703125" style="1768" customWidth="1"/>
    <col min="267" max="267" width="0.5703125" style="1768" customWidth="1"/>
    <col min="268" max="268" width="6.42578125" style="1768" customWidth="1"/>
    <col min="269" max="269" width="1.5703125" style="1768" customWidth="1"/>
    <col min="270" max="270" width="12.5703125" style="1768" customWidth="1"/>
    <col min="271" max="271" width="1.5703125" style="1768" customWidth="1"/>
    <col min="272" max="272" width="21" style="1768" customWidth="1"/>
    <col min="273" max="273" width="4.5703125" style="1768" customWidth="1"/>
    <col min="274" max="287" width="0" style="1768" hidden="1" customWidth="1"/>
    <col min="288" max="512" width="9.42578125" style="1768"/>
    <col min="513" max="513" width="0" style="1768" hidden="1" customWidth="1"/>
    <col min="514" max="514" width="10.42578125" style="1768" customWidth="1"/>
    <col min="515" max="515" width="1.42578125" style="1768" customWidth="1"/>
    <col min="516" max="516" width="6.5703125" style="1768" customWidth="1"/>
    <col min="517" max="517" width="1.5703125" style="1768" customWidth="1"/>
    <col min="518" max="518" width="12.5703125" style="1768" customWidth="1"/>
    <col min="519" max="519" width="1.5703125" style="1768" customWidth="1"/>
    <col min="520" max="520" width="19.5703125" style="1768" customWidth="1"/>
    <col min="521" max="521" width="2.5703125" style="1768" customWidth="1"/>
    <col min="522" max="522" width="10.5703125" style="1768" customWidth="1"/>
    <col min="523" max="523" width="0.5703125" style="1768" customWidth="1"/>
    <col min="524" max="524" width="6.42578125" style="1768" customWidth="1"/>
    <col min="525" max="525" width="1.5703125" style="1768" customWidth="1"/>
    <col min="526" max="526" width="12.5703125" style="1768" customWidth="1"/>
    <col min="527" max="527" width="1.5703125" style="1768" customWidth="1"/>
    <col min="528" max="528" width="21" style="1768" customWidth="1"/>
    <col min="529" max="529" width="4.5703125" style="1768" customWidth="1"/>
    <col min="530" max="543" width="0" style="1768" hidden="1" customWidth="1"/>
    <col min="544" max="768" width="9.42578125" style="1768"/>
    <col min="769" max="769" width="0" style="1768" hidden="1" customWidth="1"/>
    <col min="770" max="770" width="10.42578125" style="1768" customWidth="1"/>
    <col min="771" max="771" width="1.42578125" style="1768" customWidth="1"/>
    <col min="772" max="772" width="6.5703125" style="1768" customWidth="1"/>
    <col min="773" max="773" width="1.5703125" style="1768" customWidth="1"/>
    <col min="774" max="774" width="12.5703125" style="1768" customWidth="1"/>
    <col min="775" max="775" width="1.5703125" style="1768" customWidth="1"/>
    <col min="776" max="776" width="19.5703125" style="1768" customWidth="1"/>
    <col min="777" max="777" width="2.5703125" style="1768" customWidth="1"/>
    <col min="778" max="778" width="10.5703125" style="1768" customWidth="1"/>
    <col min="779" max="779" width="0.5703125" style="1768" customWidth="1"/>
    <col min="780" max="780" width="6.42578125" style="1768" customWidth="1"/>
    <col min="781" max="781" width="1.5703125" style="1768" customWidth="1"/>
    <col min="782" max="782" width="12.5703125" style="1768" customWidth="1"/>
    <col min="783" max="783" width="1.5703125" style="1768" customWidth="1"/>
    <col min="784" max="784" width="21" style="1768" customWidth="1"/>
    <col min="785" max="785" width="4.5703125" style="1768" customWidth="1"/>
    <col min="786" max="799" width="0" style="1768" hidden="1" customWidth="1"/>
    <col min="800" max="1024" width="9.42578125" style="1768"/>
    <col min="1025" max="1025" width="0" style="1768" hidden="1" customWidth="1"/>
    <col min="1026" max="1026" width="10.42578125" style="1768" customWidth="1"/>
    <col min="1027" max="1027" width="1.42578125" style="1768" customWidth="1"/>
    <col min="1028" max="1028" width="6.5703125" style="1768" customWidth="1"/>
    <col min="1029" max="1029" width="1.5703125" style="1768" customWidth="1"/>
    <col min="1030" max="1030" width="12.5703125" style="1768" customWidth="1"/>
    <col min="1031" max="1031" width="1.5703125" style="1768" customWidth="1"/>
    <col min="1032" max="1032" width="19.5703125" style="1768" customWidth="1"/>
    <col min="1033" max="1033" width="2.5703125" style="1768" customWidth="1"/>
    <col min="1034" max="1034" width="10.5703125" style="1768" customWidth="1"/>
    <col min="1035" max="1035" width="0.5703125" style="1768" customWidth="1"/>
    <col min="1036" max="1036" width="6.42578125" style="1768" customWidth="1"/>
    <col min="1037" max="1037" width="1.5703125" style="1768" customWidth="1"/>
    <col min="1038" max="1038" width="12.5703125" style="1768" customWidth="1"/>
    <col min="1039" max="1039" width="1.5703125" style="1768" customWidth="1"/>
    <col min="1040" max="1040" width="21" style="1768" customWidth="1"/>
    <col min="1041" max="1041" width="4.5703125" style="1768" customWidth="1"/>
    <col min="1042" max="1055" width="0" style="1768" hidden="1" customWidth="1"/>
    <col min="1056" max="1280" width="9.42578125" style="1768"/>
    <col min="1281" max="1281" width="0" style="1768" hidden="1" customWidth="1"/>
    <col min="1282" max="1282" width="10.42578125" style="1768" customWidth="1"/>
    <col min="1283" max="1283" width="1.42578125" style="1768" customWidth="1"/>
    <col min="1284" max="1284" width="6.5703125" style="1768" customWidth="1"/>
    <col min="1285" max="1285" width="1.5703125" style="1768" customWidth="1"/>
    <col min="1286" max="1286" width="12.5703125" style="1768" customWidth="1"/>
    <col min="1287" max="1287" width="1.5703125" style="1768" customWidth="1"/>
    <col min="1288" max="1288" width="19.5703125" style="1768" customWidth="1"/>
    <col min="1289" max="1289" width="2.5703125" style="1768" customWidth="1"/>
    <col min="1290" max="1290" width="10.5703125" style="1768" customWidth="1"/>
    <col min="1291" max="1291" width="0.5703125" style="1768" customWidth="1"/>
    <col min="1292" max="1292" width="6.42578125" style="1768" customWidth="1"/>
    <col min="1293" max="1293" width="1.5703125" style="1768" customWidth="1"/>
    <col min="1294" max="1294" width="12.5703125" style="1768" customWidth="1"/>
    <col min="1295" max="1295" width="1.5703125" style="1768" customWidth="1"/>
    <col min="1296" max="1296" width="21" style="1768" customWidth="1"/>
    <col min="1297" max="1297" width="4.5703125" style="1768" customWidth="1"/>
    <col min="1298" max="1311" width="0" style="1768" hidden="1" customWidth="1"/>
    <col min="1312" max="1536" width="9.42578125" style="1768"/>
    <col min="1537" max="1537" width="0" style="1768" hidden="1" customWidth="1"/>
    <col min="1538" max="1538" width="10.42578125" style="1768" customWidth="1"/>
    <col min="1539" max="1539" width="1.42578125" style="1768" customWidth="1"/>
    <col min="1540" max="1540" width="6.5703125" style="1768" customWidth="1"/>
    <col min="1541" max="1541" width="1.5703125" style="1768" customWidth="1"/>
    <col min="1542" max="1542" width="12.5703125" style="1768" customWidth="1"/>
    <col min="1543" max="1543" width="1.5703125" style="1768" customWidth="1"/>
    <col min="1544" max="1544" width="19.5703125" style="1768" customWidth="1"/>
    <col min="1545" max="1545" width="2.5703125" style="1768" customWidth="1"/>
    <col min="1546" max="1546" width="10.5703125" style="1768" customWidth="1"/>
    <col min="1547" max="1547" width="0.5703125" style="1768" customWidth="1"/>
    <col min="1548" max="1548" width="6.42578125" style="1768" customWidth="1"/>
    <col min="1549" max="1549" width="1.5703125" style="1768" customWidth="1"/>
    <col min="1550" max="1550" width="12.5703125" style="1768" customWidth="1"/>
    <col min="1551" max="1551" width="1.5703125" style="1768" customWidth="1"/>
    <col min="1552" max="1552" width="21" style="1768" customWidth="1"/>
    <col min="1553" max="1553" width="4.5703125" style="1768" customWidth="1"/>
    <col min="1554" max="1567" width="0" style="1768" hidden="1" customWidth="1"/>
    <col min="1568" max="1792" width="9.42578125" style="1768"/>
    <col min="1793" max="1793" width="0" style="1768" hidden="1" customWidth="1"/>
    <col min="1794" max="1794" width="10.42578125" style="1768" customWidth="1"/>
    <col min="1795" max="1795" width="1.42578125" style="1768" customWidth="1"/>
    <col min="1796" max="1796" width="6.5703125" style="1768" customWidth="1"/>
    <col min="1797" max="1797" width="1.5703125" style="1768" customWidth="1"/>
    <col min="1798" max="1798" width="12.5703125" style="1768" customWidth="1"/>
    <col min="1799" max="1799" width="1.5703125" style="1768" customWidth="1"/>
    <col min="1800" max="1800" width="19.5703125" style="1768" customWidth="1"/>
    <col min="1801" max="1801" width="2.5703125" style="1768" customWidth="1"/>
    <col min="1802" max="1802" width="10.5703125" style="1768" customWidth="1"/>
    <col min="1803" max="1803" width="0.5703125" style="1768" customWidth="1"/>
    <col min="1804" max="1804" width="6.42578125" style="1768" customWidth="1"/>
    <col min="1805" max="1805" width="1.5703125" style="1768" customWidth="1"/>
    <col min="1806" max="1806" width="12.5703125" style="1768" customWidth="1"/>
    <col min="1807" max="1807" width="1.5703125" style="1768" customWidth="1"/>
    <col min="1808" max="1808" width="21" style="1768" customWidth="1"/>
    <col min="1809" max="1809" width="4.5703125" style="1768" customWidth="1"/>
    <col min="1810" max="1823" width="0" style="1768" hidden="1" customWidth="1"/>
    <col min="1824" max="2048" width="9.42578125" style="1768"/>
    <col min="2049" max="2049" width="0" style="1768" hidden="1" customWidth="1"/>
    <col min="2050" max="2050" width="10.42578125" style="1768" customWidth="1"/>
    <col min="2051" max="2051" width="1.42578125" style="1768" customWidth="1"/>
    <col min="2052" max="2052" width="6.5703125" style="1768" customWidth="1"/>
    <col min="2053" max="2053" width="1.5703125" style="1768" customWidth="1"/>
    <col min="2054" max="2054" width="12.5703125" style="1768" customWidth="1"/>
    <col min="2055" max="2055" width="1.5703125" style="1768" customWidth="1"/>
    <col min="2056" max="2056" width="19.5703125" style="1768" customWidth="1"/>
    <col min="2057" max="2057" width="2.5703125" style="1768" customWidth="1"/>
    <col min="2058" max="2058" width="10.5703125" style="1768" customWidth="1"/>
    <col min="2059" max="2059" width="0.5703125" style="1768" customWidth="1"/>
    <col min="2060" max="2060" width="6.42578125" style="1768" customWidth="1"/>
    <col min="2061" max="2061" width="1.5703125" style="1768" customWidth="1"/>
    <col min="2062" max="2062" width="12.5703125" style="1768" customWidth="1"/>
    <col min="2063" max="2063" width="1.5703125" style="1768" customWidth="1"/>
    <col min="2064" max="2064" width="21" style="1768" customWidth="1"/>
    <col min="2065" max="2065" width="4.5703125" style="1768" customWidth="1"/>
    <col min="2066" max="2079" width="0" style="1768" hidden="1" customWidth="1"/>
    <col min="2080" max="2304" width="9.42578125" style="1768"/>
    <col min="2305" max="2305" width="0" style="1768" hidden="1" customWidth="1"/>
    <col min="2306" max="2306" width="10.42578125" style="1768" customWidth="1"/>
    <col min="2307" max="2307" width="1.42578125" style="1768" customWidth="1"/>
    <col min="2308" max="2308" width="6.5703125" style="1768" customWidth="1"/>
    <col min="2309" max="2309" width="1.5703125" style="1768" customWidth="1"/>
    <col min="2310" max="2310" width="12.5703125" style="1768" customWidth="1"/>
    <col min="2311" max="2311" width="1.5703125" style="1768" customWidth="1"/>
    <col min="2312" max="2312" width="19.5703125" style="1768" customWidth="1"/>
    <col min="2313" max="2313" width="2.5703125" style="1768" customWidth="1"/>
    <col min="2314" max="2314" width="10.5703125" style="1768" customWidth="1"/>
    <col min="2315" max="2315" width="0.5703125" style="1768" customWidth="1"/>
    <col min="2316" max="2316" width="6.42578125" style="1768" customWidth="1"/>
    <col min="2317" max="2317" width="1.5703125" style="1768" customWidth="1"/>
    <col min="2318" max="2318" width="12.5703125" style="1768" customWidth="1"/>
    <col min="2319" max="2319" width="1.5703125" style="1768" customWidth="1"/>
    <col min="2320" max="2320" width="21" style="1768" customWidth="1"/>
    <col min="2321" max="2321" width="4.5703125" style="1768" customWidth="1"/>
    <col min="2322" max="2335" width="0" style="1768" hidden="1" customWidth="1"/>
    <col min="2336" max="2560" width="9.42578125" style="1768"/>
    <col min="2561" max="2561" width="0" style="1768" hidden="1" customWidth="1"/>
    <col min="2562" max="2562" width="10.42578125" style="1768" customWidth="1"/>
    <col min="2563" max="2563" width="1.42578125" style="1768" customWidth="1"/>
    <col min="2564" max="2564" width="6.5703125" style="1768" customWidth="1"/>
    <col min="2565" max="2565" width="1.5703125" style="1768" customWidth="1"/>
    <col min="2566" max="2566" width="12.5703125" style="1768" customWidth="1"/>
    <col min="2567" max="2567" width="1.5703125" style="1768" customWidth="1"/>
    <col min="2568" max="2568" width="19.5703125" style="1768" customWidth="1"/>
    <col min="2569" max="2569" width="2.5703125" style="1768" customWidth="1"/>
    <col min="2570" max="2570" width="10.5703125" style="1768" customWidth="1"/>
    <col min="2571" max="2571" width="0.5703125" style="1768" customWidth="1"/>
    <col min="2572" max="2572" width="6.42578125" style="1768" customWidth="1"/>
    <col min="2573" max="2573" width="1.5703125" style="1768" customWidth="1"/>
    <col min="2574" max="2574" width="12.5703125" style="1768" customWidth="1"/>
    <col min="2575" max="2575" width="1.5703125" style="1768" customWidth="1"/>
    <col min="2576" max="2576" width="21" style="1768" customWidth="1"/>
    <col min="2577" max="2577" width="4.5703125" style="1768" customWidth="1"/>
    <col min="2578" max="2591" width="0" style="1768" hidden="1" customWidth="1"/>
    <col min="2592" max="2816" width="9.42578125" style="1768"/>
    <col min="2817" max="2817" width="0" style="1768" hidden="1" customWidth="1"/>
    <col min="2818" max="2818" width="10.42578125" style="1768" customWidth="1"/>
    <col min="2819" max="2819" width="1.42578125" style="1768" customWidth="1"/>
    <col min="2820" max="2820" width="6.5703125" style="1768" customWidth="1"/>
    <col min="2821" max="2821" width="1.5703125" style="1768" customWidth="1"/>
    <col min="2822" max="2822" width="12.5703125" style="1768" customWidth="1"/>
    <col min="2823" max="2823" width="1.5703125" style="1768" customWidth="1"/>
    <col min="2824" max="2824" width="19.5703125" style="1768" customWidth="1"/>
    <col min="2825" max="2825" width="2.5703125" style="1768" customWidth="1"/>
    <col min="2826" max="2826" width="10.5703125" style="1768" customWidth="1"/>
    <col min="2827" max="2827" width="0.5703125" style="1768" customWidth="1"/>
    <col min="2828" max="2828" width="6.42578125" style="1768" customWidth="1"/>
    <col min="2829" max="2829" width="1.5703125" style="1768" customWidth="1"/>
    <col min="2830" max="2830" width="12.5703125" style="1768" customWidth="1"/>
    <col min="2831" max="2831" width="1.5703125" style="1768" customWidth="1"/>
    <col min="2832" max="2832" width="21" style="1768" customWidth="1"/>
    <col min="2833" max="2833" width="4.5703125" style="1768" customWidth="1"/>
    <col min="2834" max="2847" width="0" style="1768" hidden="1" customWidth="1"/>
    <col min="2848" max="3072" width="9.42578125" style="1768"/>
    <col min="3073" max="3073" width="0" style="1768" hidden="1" customWidth="1"/>
    <col min="3074" max="3074" width="10.42578125" style="1768" customWidth="1"/>
    <col min="3075" max="3075" width="1.42578125" style="1768" customWidth="1"/>
    <col min="3076" max="3076" width="6.5703125" style="1768" customWidth="1"/>
    <col min="3077" max="3077" width="1.5703125" style="1768" customWidth="1"/>
    <col min="3078" max="3078" width="12.5703125" style="1768" customWidth="1"/>
    <col min="3079" max="3079" width="1.5703125" style="1768" customWidth="1"/>
    <col min="3080" max="3080" width="19.5703125" style="1768" customWidth="1"/>
    <col min="3081" max="3081" width="2.5703125" style="1768" customWidth="1"/>
    <col min="3082" max="3082" width="10.5703125" style="1768" customWidth="1"/>
    <col min="3083" max="3083" width="0.5703125" style="1768" customWidth="1"/>
    <col min="3084" max="3084" width="6.42578125" style="1768" customWidth="1"/>
    <col min="3085" max="3085" width="1.5703125" style="1768" customWidth="1"/>
    <col min="3086" max="3086" width="12.5703125" style="1768" customWidth="1"/>
    <col min="3087" max="3087" width="1.5703125" style="1768" customWidth="1"/>
    <col min="3088" max="3088" width="21" style="1768" customWidth="1"/>
    <col min="3089" max="3089" width="4.5703125" style="1768" customWidth="1"/>
    <col min="3090" max="3103" width="0" style="1768" hidden="1" customWidth="1"/>
    <col min="3104" max="3328" width="9.42578125" style="1768"/>
    <col min="3329" max="3329" width="0" style="1768" hidden="1" customWidth="1"/>
    <col min="3330" max="3330" width="10.42578125" style="1768" customWidth="1"/>
    <col min="3331" max="3331" width="1.42578125" style="1768" customWidth="1"/>
    <col min="3332" max="3332" width="6.5703125" style="1768" customWidth="1"/>
    <col min="3333" max="3333" width="1.5703125" style="1768" customWidth="1"/>
    <col min="3334" max="3334" width="12.5703125" style="1768" customWidth="1"/>
    <col min="3335" max="3335" width="1.5703125" style="1768" customWidth="1"/>
    <col min="3336" max="3336" width="19.5703125" style="1768" customWidth="1"/>
    <col min="3337" max="3337" width="2.5703125" style="1768" customWidth="1"/>
    <col min="3338" max="3338" width="10.5703125" style="1768" customWidth="1"/>
    <col min="3339" max="3339" width="0.5703125" style="1768" customWidth="1"/>
    <col min="3340" max="3340" width="6.42578125" style="1768" customWidth="1"/>
    <col min="3341" max="3341" width="1.5703125" style="1768" customWidth="1"/>
    <col min="3342" max="3342" width="12.5703125" style="1768" customWidth="1"/>
    <col min="3343" max="3343" width="1.5703125" style="1768" customWidth="1"/>
    <col min="3344" max="3344" width="21" style="1768" customWidth="1"/>
    <col min="3345" max="3345" width="4.5703125" style="1768" customWidth="1"/>
    <col min="3346" max="3359" width="0" style="1768" hidden="1" customWidth="1"/>
    <col min="3360" max="3584" width="9.42578125" style="1768"/>
    <col min="3585" max="3585" width="0" style="1768" hidden="1" customWidth="1"/>
    <col min="3586" max="3586" width="10.42578125" style="1768" customWidth="1"/>
    <col min="3587" max="3587" width="1.42578125" style="1768" customWidth="1"/>
    <col min="3588" max="3588" width="6.5703125" style="1768" customWidth="1"/>
    <col min="3589" max="3589" width="1.5703125" style="1768" customWidth="1"/>
    <col min="3590" max="3590" width="12.5703125" style="1768" customWidth="1"/>
    <col min="3591" max="3591" width="1.5703125" style="1768" customWidth="1"/>
    <col min="3592" max="3592" width="19.5703125" style="1768" customWidth="1"/>
    <col min="3593" max="3593" width="2.5703125" style="1768" customWidth="1"/>
    <col min="3594" max="3594" width="10.5703125" style="1768" customWidth="1"/>
    <col min="3595" max="3595" width="0.5703125" style="1768" customWidth="1"/>
    <col min="3596" max="3596" width="6.42578125" style="1768" customWidth="1"/>
    <col min="3597" max="3597" width="1.5703125" style="1768" customWidth="1"/>
    <col min="3598" max="3598" width="12.5703125" style="1768" customWidth="1"/>
    <col min="3599" max="3599" width="1.5703125" style="1768" customWidth="1"/>
    <col min="3600" max="3600" width="21" style="1768" customWidth="1"/>
    <col min="3601" max="3601" width="4.5703125" style="1768" customWidth="1"/>
    <col min="3602" max="3615" width="0" style="1768" hidden="1" customWidth="1"/>
    <col min="3616" max="3840" width="9.42578125" style="1768"/>
    <col min="3841" max="3841" width="0" style="1768" hidden="1" customWidth="1"/>
    <col min="3842" max="3842" width="10.42578125" style="1768" customWidth="1"/>
    <col min="3843" max="3843" width="1.42578125" style="1768" customWidth="1"/>
    <col min="3844" max="3844" width="6.5703125" style="1768" customWidth="1"/>
    <col min="3845" max="3845" width="1.5703125" style="1768" customWidth="1"/>
    <col min="3846" max="3846" width="12.5703125" style="1768" customWidth="1"/>
    <col min="3847" max="3847" width="1.5703125" style="1768" customWidth="1"/>
    <col min="3848" max="3848" width="19.5703125" style="1768" customWidth="1"/>
    <col min="3849" max="3849" width="2.5703125" style="1768" customWidth="1"/>
    <col min="3850" max="3850" width="10.5703125" style="1768" customWidth="1"/>
    <col min="3851" max="3851" width="0.5703125" style="1768" customWidth="1"/>
    <col min="3852" max="3852" width="6.42578125" style="1768" customWidth="1"/>
    <col min="3853" max="3853" width="1.5703125" style="1768" customWidth="1"/>
    <col min="3854" max="3854" width="12.5703125" style="1768" customWidth="1"/>
    <col min="3855" max="3855" width="1.5703125" style="1768" customWidth="1"/>
    <col min="3856" max="3856" width="21" style="1768" customWidth="1"/>
    <col min="3857" max="3857" width="4.5703125" style="1768" customWidth="1"/>
    <col min="3858" max="3871" width="0" style="1768" hidden="1" customWidth="1"/>
    <col min="3872" max="4096" width="9.42578125" style="1768"/>
    <col min="4097" max="4097" width="0" style="1768" hidden="1" customWidth="1"/>
    <col min="4098" max="4098" width="10.42578125" style="1768" customWidth="1"/>
    <col min="4099" max="4099" width="1.42578125" style="1768" customWidth="1"/>
    <col min="4100" max="4100" width="6.5703125" style="1768" customWidth="1"/>
    <col min="4101" max="4101" width="1.5703125" style="1768" customWidth="1"/>
    <col min="4102" max="4102" width="12.5703125" style="1768" customWidth="1"/>
    <col min="4103" max="4103" width="1.5703125" style="1768" customWidth="1"/>
    <col min="4104" max="4104" width="19.5703125" style="1768" customWidth="1"/>
    <col min="4105" max="4105" width="2.5703125" style="1768" customWidth="1"/>
    <col min="4106" max="4106" width="10.5703125" style="1768" customWidth="1"/>
    <col min="4107" max="4107" width="0.5703125" style="1768" customWidth="1"/>
    <col min="4108" max="4108" width="6.42578125" style="1768" customWidth="1"/>
    <col min="4109" max="4109" width="1.5703125" style="1768" customWidth="1"/>
    <col min="4110" max="4110" width="12.5703125" style="1768" customWidth="1"/>
    <col min="4111" max="4111" width="1.5703125" style="1768" customWidth="1"/>
    <col min="4112" max="4112" width="21" style="1768" customWidth="1"/>
    <col min="4113" max="4113" width="4.5703125" style="1768" customWidth="1"/>
    <col min="4114" max="4127" width="0" style="1768" hidden="1" customWidth="1"/>
    <col min="4128" max="4352" width="9.42578125" style="1768"/>
    <col min="4353" max="4353" width="0" style="1768" hidden="1" customWidth="1"/>
    <col min="4354" max="4354" width="10.42578125" style="1768" customWidth="1"/>
    <col min="4355" max="4355" width="1.42578125" style="1768" customWidth="1"/>
    <col min="4356" max="4356" width="6.5703125" style="1768" customWidth="1"/>
    <col min="4357" max="4357" width="1.5703125" style="1768" customWidth="1"/>
    <col min="4358" max="4358" width="12.5703125" style="1768" customWidth="1"/>
    <col min="4359" max="4359" width="1.5703125" style="1768" customWidth="1"/>
    <col min="4360" max="4360" width="19.5703125" style="1768" customWidth="1"/>
    <col min="4361" max="4361" width="2.5703125" style="1768" customWidth="1"/>
    <col min="4362" max="4362" width="10.5703125" style="1768" customWidth="1"/>
    <col min="4363" max="4363" width="0.5703125" style="1768" customWidth="1"/>
    <col min="4364" max="4364" width="6.42578125" style="1768" customWidth="1"/>
    <col min="4365" max="4365" width="1.5703125" style="1768" customWidth="1"/>
    <col min="4366" max="4366" width="12.5703125" style="1768" customWidth="1"/>
    <col min="4367" max="4367" width="1.5703125" style="1768" customWidth="1"/>
    <col min="4368" max="4368" width="21" style="1768" customWidth="1"/>
    <col min="4369" max="4369" width="4.5703125" style="1768" customWidth="1"/>
    <col min="4370" max="4383" width="0" style="1768" hidden="1" customWidth="1"/>
    <col min="4384" max="4608" width="9.42578125" style="1768"/>
    <col min="4609" max="4609" width="0" style="1768" hidden="1" customWidth="1"/>
    <col min="4610" max="4610" width="10.42578125" style="1768" customWidth="1"/>
    <col min="4611" max="4611" width="1.42578125" style="1768" customWidth="1"/>
    <col min="4612" max="4612" width="6.5703125" style="1768" customWidth="1"/>
    <col min="4613" max="4613" width="1.5703125" style="1768" customWidth="1"/>
    <col min="4614" max="4614" width="12.5703125" style="1768" customWidth="1"/>
    <col min="4615" max="4615" width="1.5703125" style="1768" customWidth="1"/>
    <col min="4616" max="4616" width="19.5703125" style="1768" customWidth="1"/>
    <col min="4617" max="4617" width="2.5703125" style="1768" customWidth="1"/>
    <col min="4618" max="4618" width="10.5703125" style="1768" customWidth="1"/>
    <col min="4619" max="4619" width="0.5703125" style="1768" customWidth="1"/>
    <col min="4620" max="4620" width="6.42578125" style="1768" customWidth="1"/>
    <col min="4621" max="4621" width="1.5703125" style="1768" customWidth="1"/>
    <col min="4622" max="4622" width="12.5703125" style="1768" customWidth="1"/>
    <col min="4623" max="4623" width="1.5703125" style="1768" customWidth="1"/>
    <col min="4624" max="4624" width="21" style="1768" customWidth="1"/>
    <col min="4625" max="4625" width="4.5703125" style="1768" customWidth="1"/>
    <col min="4626" max="4639" width="0" style="1768" hidden="1" customWidth="1"/>
    <col min="4640" max="4864" width="9.42578125" style="1768"/>
    <col min="4865" max="4865" width="0" style="1768" hidden="1" customWidth="1"/>
    <col min="4866" max="4866" width="10.42578125" style="1768" customWidth="1"/>
    <col min="4867" max="4867" width="1.42578125" style="1768" customWidth="1"/>
    <col min="4868" max="4868" width="6.5703125" style="1768" customWidth="1"/>
    <col min="4869" max="4869" width="1.5703125" style="1768" customWidth="1"/>
    <col min="4870" max="4870" width="12.5703125" style="1768" customWidth="1"/>
    <col min="4871" max="4871" width="1.5703125" style="1768" customWidth="1"/>
    <col min="4872" max="4872" width="19.5703125" style="1768" customWidth="1"/>
    <col min="4873" max="4873" width="2.5703125" style="1768" customWidth="1"/>
    <col min="4874" max="4874" width="10.5703125" style="1768" customWidth="1"/>
    <col min="4875" max="4875" width="0.5703125" style="1768" customWidth="1"/>
    <col min="4876" max="4876" width="6.42578125" style="1768" customWidth="1"/>
    <col min="4877" max="4877" width="1.5703125" style="1768" customWidth="1"/>
    <col min="4878" max="4878" width="12.5703125" style="1768" customWidth="1"/>
    <col min="4879" max="4879" width="1.5703125" style="1768" customWidth="1"/>
    <col min="4880" max="4880" width="21" style="1768" customWidth="1"/>
    <col min="4881" max="4881" width="4.5703125" style="1768" customWidth="1"/>
    <col min="4882" max="4895" width="0" style="1768" hidden="1" customWidth="1"/>
    <col min="4896" max="5120" width="9.42578125" style="1768"/>
    <col min="5121" max="5121" width="0" style="1768" hidden="1" customWidth="1"/>
    <col min="5122" max="5122" width="10.42578125" style="1768" customWidth="1"/>
    <col min="5123" max="5123" width="1.42578125" style="1768" customWidth="1"/>
    <col min="5124" max="5124" width="6.5703125" style="1768" customWidth="1"/>
    <col min="5125" max="5125" width="1.5703125" style="1768" customWidth="1"/>
    <col min="5126" max="5126" width="12.5703125" style="1768" customWidth="1"/>
    <col min="5127" max="5127" width="1.5703125" style="1768" customWidth="1"/>
    <col min="5128" max="5128" width="19.5703125" style="1768" customWidth="1"/>
    <col min="5129" max="5129" width="2.5703125" style="1768" customWidth="1"/>
    <col min="5130" max="5130" width="10.5703125" style="1768" customWidth="1"/>
    <col min="5131" max="5131" width="0.5703125" style="1768" customWidth="1"/>
    <col min="5132" max="5132" width="6.42578125" style="1768" customWidth="1"/>
    <col min="5133" max="5133" width="1.5703125" style="1768" customWidth="1"/>
    <col min="5134" max="5134" width="12.5703125" style="1768" customWidth="1"/>
    <col min="5135" max="5135" width="1.5703125" style="1768" customWidth="1"/>
    <col min="5136" max="5136" width="21" style="1768" customWidth="1"/>
    <col min="5137" max="5137" width="4.5703125" style="1768" customWidth="1"/>
    <col min="5138" max="5151" width="0" style="1768" hidden="1" customWidth="1"/>
    <col min="5152" max="5376" width="9.42578125" style="1768"/>
    <col min="5377" max="5377" width="0" style="1768" hidden="1" customWidth="1"/>
    <col min="5378" max="5378" width="10.42578125" style="1768" customWidth="1"/>
    <col min="5379" max="5379" width="1.42578125" style="1768" customWidth="1"/>
    <col min="5380" max="5380" width="6.5703125" style="1768" customWidth="1"/>
    <col min="5381" max="5381" width="1.5703125" style="1768" customWidth="1"/>
    <col min="5382" max="5382" width="12.5703125" style="1768" customWidth="1"/>
    <col min="5383" max="5383" width="1.5703125" style="1768" customWidth="1"/>
    <col min="5384" max="5384" width="19.5703125" style="1768" customWidth="1"/>
    <col min="5385" max="5385" width="2.5703125" style="1768" customWidth="1"/>
    <col min="5386" max="5386" width="10.5703125" style="1768" customWidth="1"/>
    <col min="5387" max="5387" width="0.5703125" style="1768" customWidth="1"/>
    <col min="5388" max="5388" width="6.42578125" style="1768" customWidth="1"/>
    <col min="5389" max="5389" width="1.5703125" style="1768" customWidth="1"/>
    <col min="5390" max="5390" width="12.5703125" style="1768" customWidth="1"/>
    <col min="5391" max="5391" width="1.5703125" style="1768" customWidth="1"/>
    <col min="5392" max="5392" width="21" style="1768" customWidth="1"/>
    <col min="5393" max="5393" width="4.5703125" style="1768" customWidth="1"/>
    <col min="5394" max="5407" width="0" style="1768" hidden="1" customWidth="1"/>
    <col min="5408" max="5632" width="9.42578125" style="1768"/>
    <col min="5633" max="5633" width="0" style="1768" hidden="1" customWidth="1"/>
    <col min="5634" max="5634" width="10.42578125" style="1768" customWidth="1"/>
    <col min="5635" max="5635" width="1.42578125" style="1768" customWidth="1"/>
    <col min="5636" max="5636" width="6.5703125" style="1768" customWidth="1"/>
    <col min="5637" max="5637" width="1.5703125" style="1768" customWidth="1"/>
    <col min="5638" max="5638" width="12.5703125" style="1768" customWidth="1"/>
    <col min="5639" max="5639" width="1.5703125" style="1768" customWidth="1"/>
    <col min="5640" max="5640" width="19.5703125" style="1768" customWidth="1"/>
    <col min="5641" max="5641" width="2.5703125" style="1768" customWidth="1"/>
    <col min="5642" max="5642" width="10.5703125" style="1768" customWidth="1"/>
    <col min="5643" max="5643" width="0.5703125" style="1768" customWidth="1"/>
    <col min="5644" max="5644" width="6.42578125" style="1768" customWidth="1"/>
    <col min="5645" max="5645" width="1.5703125" style="1768" customWidth="1"/>
    <col min="5646" max="5646" width="12.5703125" style="1768" customWidth="1"/>
    <col min="5647" max="5647" width="1.5703125" style="1768" customWidth="1"/>
    <col min="5648" max="5648" width="21" style="1768" customWidth="1"/>
    <col min="5649" max="5649" width="4.5703125" style="1768" customWidth="1"/>
    <col min="5650" max="5663" width="0" style="1768" hidden="1" customWidth="1"/>
    <col min="5664" max="5888" width="9.42578125" style="1768"/>
    <col min="5889" max="5889" width="0" style="1768" hidden="1" customWidth="1"/>
    <col min="5890" max="5890" width="10.42578125" style="1768" customWidth="1"/>
    <col min="5891" max="5891" width="1.42578125" style="1768" customWidth="1"/>
    <col min="5892" max="5892" width="6.5703125" style="1768" customWidth="1"/>
    <col min="5893" max="5893" width="1.5703125" style="1768" customWidth="1"/>
    <col min="5894" max="5894" width="12.5703125" style="1768" customWidth="1"/>
    <col min="5895" max="5895" width="1.5703125" style="1768" customWidth="1"/>
    <col min="5896" max="5896" width="19.5703125" style="1768" customWidth="1"/>
    <col min="5897" max="5897" width="2.5703125" style="1768" customWidth="1"/>
    <col min="5898" max="5898" width="10.5703125" style="1768" customWidth="1"/>
    <col min="5899" max="5899" width="0.5703125" style="1768" customWidth="1"/>
    <col min="5900" max="5900" width="6.42578125" style="1768" customWidth="1"/>
    <col min="5901" max="5901" width="1.5703125" style="1768" customWidth="1"/>
    <col min="5902" max="5902" width="12.5703125" style="1768" customWidth="1"/>
    <col min="5903" max="5903" width="1.5703125" style="1768" customWidth="1"/>
    <col min="5904" max="5904" width="21" style="1768" customWidth="1"/>
    <col min="5905" max="5905" width="4.5703125" style="1768" customWidth="1"/>
    <col min="5906" max="5919" width="0" style="1768" hidden="1" customWidth="1"/>
    <col min="5920" max="6144" width="9.42578125" style="1768"/>
    <col min="6145" max="6145" width="0" style="1768" hidden="1" customWidth="1"/>
    <col min="6146" max="6146" width="10.42578125" style="1768" customWidth="1"/>
    <col min="6147" max="6147" width="1.42578125" style="1768" customWidth="1"/>
    <col min="6148" max="6148" width="6.5703125" style="1768" customWidth="1"/>
    <col min="6149" max="6149" width="1.5703125" style="1768" customWidth="1"/>
    <col min="6150" max="6150" width="12.5703125" style="1768" customWidth="1"/>
    <col min="6151" max="6151" width="1.5703125" style="1768" customWidth="1"/>
    <col min="6152" max="6152" width="19.5703125" style="1768" customWidth="1"/>
    <col min="6153" max="6153" width="2.5703125" style="1768" customWidth="1"/>
    <col min="6154" max="6154" width="10.5703125" style="1768" customWidth="1"/>
    <col min="6155" max="6155" width="0.5703125" style="1768" customWidth="1"/>
    <col min="6156" max="6156" width="6.42578125" style="1768" customWidth="1"/>
    <col min="6157" max="6157" width="1.5703125" style="1768" customWidth="1"/>
    <col min="6158" max="6158" width="12.5703125" style="1768" customWidth="1"/>
    <col min="6159" max="6159" width="1.5703125" style="1768" customWidth="1"/>
    <col min="6160" max="6160" width="21" style="1768" customWidth="1"/>
    <col min="6161" max="6161" width="4.5703125" style="1768" customWidth="1"/>
    <col min="6162" max="6175" width="0" style="1768" hidden="1" customWidth="1"/>
    <col min="6176" max="6400" width="9.42578125" style="1768"/>
    <col min="6401" max="6401" width="0" style="1768" hidden="1" customWidth="1"/>
    <col min="6402" max="6402" width="10.42578125" style="1768" customWidth="1"/>
    <col min="6403" max="6403" width="1.42578125" style="1768" customWidth="1"/>
    <col min="6404" max="6404" width="6.5703125" style="1768" customWidth="1"/>
    <col min="6405" max="6405" width="1.5703125" style="1768" customWidth="1"/>
    <col min="6406" max="6406" width="12.5703125" style="1768" customWidth="1"/>
    <col min="6407" max="6407" width="1.5703125" style="1768" customWidth="1"/>
    <col min="6408" max="6408" width="19.5703125" style="1768" customWidth="1"/>
    <col min="6409" max="6409" width="2.5703125" style="1768" customWidth="1"/>
    <col min="6410" max="6410" width="10.5703125" style="1768" customWidth="1"/>
    <col min="6411" max="6411" width="0.5703125" style="1768" customWidth="1"/>
    <col min="6412" max="6412" width="6.42578125" style="1768" customWidth="1"/>
    <col min="6413" max="6413" width="1.5703125" style="1768" customWidth="1"/>
    <col min="6414" max="6414" width="12.5703125" style="1768" customWidth="1"/>
    <col min="6415" max="6415" width="1.5703125" style="1768" customWidth="1"/>
    <col min="6416" max="6416" width="21" style="1768" customWidth="1"/>
    <col min="6417" max="6417" width="4.5703125" style="1768" customWidth="1"/>
    <col min="6418" max="6431" width="0" style="1768" hidden="1" customWidth="1"/>
    <col min="6432" max="6656" width="9.42578125" style="1768"/>
    <col min="6657" max="6657" width="0" style="1768" hidden="1" customWidth="1"/>
    <col min="6658" max="6658" width="10.42578125" style="1768" customWidth="1"/>
    <col min="6659" max="6659" width="1.42578125" style="1768" customWidth="1"/>
    <col min="6660" max="6660" width="6.5703125" style="1768" customWidth="1"/>
    <col min="6661" max="6661" width="1.5703125" style="1768" customWidth="1"/>
    <col min="6662" max="6662" width="12.5703125" style="1768" customWidth="1"/>
    <col min="6663" max="6663" width="1.5703125" style="1768" customWidth="1"/>
    <col min="6664" max="6664" width="19.5703125" style="1768" customWidth="1"/>
    <col min="6665" max="6665" width="2.5703125" style="1768" customWidth="1"/>
    <col min="6666" max="6666" width="10.5703125" style="1768" customWidth="1"/>
    <col min="6667" max="6667" width="0.5703125" style="1768" customWidth="1"/>
    <col min="6668" max="6668" width="6.42578125" style="1768" customWidth="1"/>
    <col min="6669" max="6669" width="1.5703125" style="1768" customWidth="1"/>
    <col min="6670" max="6670" width="12.5703125" style="1768" customWidth="1"/>
    <col min="6671" max="6671" width="1.5703125" style="1768" customWidth="1"/>
    <col min="6672" max="6672" width="21" style="1768" customWidth="1"/>
    <col min="6673" max="6673" width="4.5703125" style="1768" customWidth="1"/>
    <col min="6674" max="6687" width="0" style="1768" hidden="1" customWidth="1"/>
    <col min="6688" max="6912" width="9.42578125" style="1768"/>
    <col min="6913" max="6913" width="0" style="1768" hidden="1" customWidth="1"/>
    <col min="6914" max="6914" width="10.42578125" style="1768" customWidth="1"/>
    <col min="6915" max="6915" width="1.42578125" style="1768" customWidth="1"/>
    <col min="6916" max="6916" width="6.5703125" style="1768" customWidth="1"/>
    <col min="6917" max="6917" width="1.5703125" style="1768" customWidth="1"/>
    <col min="6918" max="6918" width="12.5703125" style="1768" customWidth="1"/>
    <col min="6919" max="6919" width="1.5703125" style="1768" customWidth="1"/>
    <col min="6920" max="6920" width="19.5703125" style="1768" customWidth="1"/>
    <col min="6921" max="6921" width="2.5703125" style="1768" customWidth="1"/>
    <col min="6922" max="6922" width="10.5703125" style="1768" customWidth="1"/>
    <col min="6923" max="6923" width="0.5703125" style="1768" customWidth="1"/>
    <col min="6924" max="6924" width="6.42578125" style="1768" customWidth="1"/>
    <col min="6925" max="6925" width="1.5703125" style="1768" customWidth="1"/>
    <col min="6926" max="6926" width="12.5703125" style="1768" customWidth="1"/>
    <col min="6927" max="6927" width="1.5703125" style="1768" customWidth="1"/>
    <col min="6928" max="6928" width="21" style="1768" customWidth="1"/>
    <col min="6929" max="6929" width="4.5703125" style="1768" customWidth="1"/>
    <col min="6930" max="6943" width="0" style="1768" hidden="1" customWidth="1"/>
    <col min="6944" max="7168" width="9.42578125" style="1768"/>
    <col min="7169" max="7169" width="0" style="1768" hidden="1" customWidth="1"/>
    <col min="7170" max="7170" width="10.42578125" style="1768" customWidth="1"/>
    <col min="7171" max="7171" width="1.42578125" style="1768" customWidth="1"/>
    <col min="7172" max="7172" width="6.5703125" style="1768" customWidth="1"/>
    <col min="7173" max="7173" width="1.5703125" style="1768" customWidth="1"/>
    <col min="7174" max="7174" width="12.5703125" style="1768" customWidth="1"/>
    <col min="7175" max="7175" width="1.5703125" style="1768" customWidth="1"/>
    <col min="7176" max="7176" width="19.5703125" style="1768" customWidth="1"/>
    <col min="7177" max="7177" width="2.5703125" style="1768" customWidth="1"/>
    <col min="7178" max="7178" width="10.5703125" style="1768" customWidth="1"/>
    <col min="7179" max="7179" width="0.5703125" style="1768" customWidth="1"/>
    <col min="7180" max="7180" width="6.42578125" style="1768" customWidth="1"/>
    <col min="7181" max="7181" width="1.5703125" style="1768" customWidth="1"/>
    <col min="7182" max="7182" width="12.5703125" style="1768" customWidth="1"/>
    <col min="7183" max="7183" width="1.5703125" style="1768" customWidth="1"/>
    <col min="7184" max="7184" width="21" style="1768" customWidth="1"/>
    <col min="7185" max="7185" width="4.5703125" style="1768" customWidth="1"/>
    <col min="7186" max="7199" width="0" style="1768" hidden="1" customWidth="1"/>
    <col min="7200" max="7424" width="9.42578125" style="1768"/>
    <col min="7425" max="7425" width="0" style="1768" hidden="1" customWidth="1"/>
    <col min="7426" max="7426" width="10.42578125" style="1768" customWidth="1"/>
    <col min="7427" max="7427" width="1.42578125" style="1768" customWidth="1"/>
    <col min="7428" max="7428" width="6.5703125" style="1768" customWidth="1"/>
    <col min="7429" max="7429" width="1.5703125" style="1768" customWidth="1"/>
    <col min="7430" max="7430" width="12.5703125" style="1768" customWidth="1"/>
    <col min="7431" max="7431" width="1.5703125" style="1768" customWidth="1"/>
    <col min="7432" max="7432" width="19.5703125" style="1768" customWidth="1"/>
    <col min="7433" max="7433" width="2.5703125" style="1768" customWidth="1"/>
    <col min="7434" max="7434" width="10.5703125" style="1768" customWidth="1"/>
    <col min="7435" max="7435" width="0.5703125" style="1768" customWidth="1"/>
    <col min="7436" max="7436" width="6.42578125" style="1768" customWidth="1"/>
    <col min="7437" max="7437" width="1.5703125" style="1768" customWidth="1"/>
    <col min="7438" max="7438" width="12.5703125" style="1768" customWidth="1"/>
    <col min="7439" max="7439" width="1.5703125" style="1768" customWidth="1"/>
    <col min="7440" max="7440" width="21" style="1768" customWidth="1"/>
    <col min="7441" max="7441" width="4.5703125" style="1768" customWidth="1"/>
    <col min="7442" max="7455" width="0" style="1768" hidden="1" customWidth="1"/>
    <col min="7456" max="7680" width="9.42578125" style="1768"/>
    <col min="7681" max="7681" width="0" style="1768" hidden="1" customWidth="1"/>
    <col min="7682" max="7682" width="10.42578125" style="1768" customWidth="1"/>
    <col min="7683" max="7683" width="1.42578125" style="1768" customWidth="1"/>
    <col min="7684" max="7684" width="6.5703125" style="1768" customWidth="1"/>
    <col min="7685" max="7685" width="1.5703125" style="1768" customWidth="1"/>
    <col min="7686" max="7686" width="12.5703125" style="1768" customWidth="1"/>
    <col min="7687" max="7687" width="1.5703125" style="1768" customWidth="1"/>
    <col min="7688" max="7688" width="19.5703125" style="1768" customWidth="1"/>
    <col min="7689" max="7689" width="2.5703125" style="1768" customWidth="1"/>
    <col min="7690" max="7690" width="10.5703125" style="1768" customWidth="1"/>
    <col min="7691" max="7691" width="0.5703125" style="1768" customWidth="1"/>
    <col min="7692" max="7692" width="6.42578125" style="1768" customWidth="1"/>
    <col min="7693" max="7693" width="1.5703125" style="1768" customWidth="1"/>
    <col min="7694" max="7694" width="12.5703125" style="1768" customWidth="1"/>
    <col min="7695" max="7695" width="1.5703125" style="1768" customWidth="1"/>
    <col min="7696" max="7696" width="21" style="1768" customWidth="1"/>
    <col min="7697" max="7697" width="4.5703125" style="1768" customWidth="1"/>
    <col min="7698" max="7711" width="0" style="1768" hidden="1" customWidth="1"/>
    <col min="7712" max="7936" width="9.42578125" style="1768"/>
    <col min="7937" max="7937" width="0" style="1768" hidden="1" customWidth="1"/>
    <col min="7938" max="7938" width="10.42578125" style="1768" customWidth="1"/>
    <col min="7939" max="7939" width="1.42578125" style="1768" customWidth="1"/>
    <col min="7940" max="7940" width="6.5703125" style="1768" customWidth="1"/>
    <col min="7941" max="7941" width="1.5703125" style="1768" customWidth="1"/>
    <col min="7942" max="7942" width="12.5703125" style="1768" customWidth="1"/>
    <col min="7943" max="7943" width="1.5703125" style="1768" customWidth="1"/>
    <col min="7944" max="7944" width="19.5703125" style="1768" customWidth="1"/>
    <col min="7945" max="7945" width="2.5703125" style="1768" customWidth="1"/>
    <col min="7946" max="7946" width="10.5703125" style="1768" customWidth="1"/>
    <col min="7947" max="7947" width="0.5703125" style="1768" customWidth="1"/>
    <col min="7948" max="7948" width="6.42578125" style="1768" customWidth="1"/>
    <col min="7949" max="7949" width="1.5703125" style="1768" customWidth="1"/>
    <col min="7950" max="7950" width="12.5703125" style="1768" customWidth="1"/>
    <col min="7951" max="7951" width="1.5703125" style="1768" customWidth="1"/>
    <col min="7952" max="7952" width="21" style="1768" customWidth="1"/>
    <col min="7953" max="7953" width="4.5703125" style="1768" customWidth="1"/>
    <col min="7954" max="7967" width="0" style="1768" hidden="1" customWidth="1"/>
    <col min="7968" max="8192" width="9.42578125" style="1768"/>
    <col min="8193" max="8193" width="0" style="1768" hidden="1" customWidth="1"/>
    <col min="8194" max="8194" width="10.42578125" style="1768" customWidth="1"/>
    <col min="8195" max="8195" width="1.42578125" style="1768" customWidth="1"/>
    <col min="8196" max="8196" width="6.5703125" style="1768" customWidth="1"/>
    <col min="8197" max="8197" width="1.5703125" style="1768" customWidth="1"/>
    <col min="8198" max="8198" width="12.5703125" style="1768" customWidth="1"/>
    <col min="8199" max="8199" width="1.5703125" style="1768" customWidth="1"/>
    <col min="8200" max="8200" width="19.5703125" style="1768" customWidth="1"/>
    <col min="8201" max="8201" width="2.5703125" style="1768" customWidth="1"/>
    <col min="8202" max="8202" width="10.5703125" style="1768" customWidth="1"/>
    <col min="8203" max="8203" width="0.5703125" style="1768" customWidth="1"/>
    <col min="8204" max="8204" width="6.42578125" style="1768" customWidth="1"/>
    <col min="8205" max="8205" width="1.5703125" style="1768" customWidth="1"/>
    <col min="8206" max="8206" width="12.5703125" style="1768" customWidth="1"/>
    <col min="8207" max="8207" width="1.5703125" style="1768" customWidth="1"/>
    <col min="8208" max="8208" width="21" style="1768" customWidth="1"/>
    <col min="8209" max="8209" width="4.5703125" style="1768" customWidth="1"/>
    <col min="8210" max="8223" width="0" style="1768" hidden="1" customWidth="1"/>
    <col min="8224" max="8448" width="9.42578125" style="1768"/>
    <col min="8449" max="8449" width="0" style="1768" hidden="1" customWidth="1"/>
    <col min="8450" max="8450" width="10.42578125" style="1768" customWidth="1"/>
    <col min="8451" max="8451" width="1.42578125" style="1768" customWidth="1"/>
    <col min="8452" max="8452" width="6.5703125" style="1768" customWidth="1"/>
    <col min="8453" max="8453" width="1.5703125" style="1768" customWidth="1"/>
    <col min="8454" max="8454" width="12.5703125" style="1768" customWidth="1"/>
    <col min="8455" max="8455" width="1.5703125" style="1768" customWidth="1"/>
    <col min="8456" max="8456" width="19.5703125" style="1768" customWidth="1"/>
    <col min="8457" max="8457" width="2.5703125" style="1768" customWidth="1"/>
    <col min="8458" max="8458" width="10.5703125" style="1768" customWidth="1"/>
    <col min="8459" max="8459" width="0.5703125" style="1768" customWidth="1"/>
    <col min="8460" max="8460" width="6.42578125" style="1768" customWidth="1"/>
    <col min="8461" max="8461" width="1.5703125" style="1768" customWidth="1"/>
    <col min="8462" max="8462" width="12.5703125" style="1768" customWidth="1"/>
    <col min="8463" max="8463" width="1.5703125" style="1768" customWidth="1"/>
    <col min="8464" max="8464" width="21" style="1768" customWidth="1"/>
    <col min="8465" max="8465" width="4.5703125" style="1768" customWidth="1"/>
    <col min="8466" max="8479" width="0" style="1768" hidden="1" customWidth="1"/>
    <col min="8480" max="8704" width="9.42578125" style="1768"/>
    <col min="8705" max="8705" width="0" style="1768" hidden="1" customWidth="1"/>
    <col min="8706" max="8706" width="10.42578125" style="1768" customWidth="1"/>
    <col min="8707" max="8707" width="1.42578125" style="1768" customWidth="1"/>
    <col min="8708" max="8708" width="6.5703125" style="1768" customWidth="1"/>
    <col min="8709" max="8709" width="1.5703125" style="1768" customWidth="1"/>
    <col min="8710" max="8710" width="12.5703125" style="1768" customWidth="1"/>
    <col min="8711" max="8711" width="1.5703125" style="1768" customWidth="1"/>
    <col min="8712" max="8712" width="19.5703125" style="1768" customWidth="1"/>
    <col min="8713" max="8713" width="2.5703125" style="1768" customWidth="1"/>
    <col min="8714" max="8714" width="10.5703125" style="1768" customWidth="1"/>
    <col min="8715" max="8715" width="0.5703125" style="1768" customWidth="1"/>
    <col min="8716" max="8716" width="6.42578125" style="1768" customWidth="1"/>
    <col min="8717" max="8717" width="1.5703125" style="1768" customWidth="1"/>
    <col min="8718" max="8718" width="12.5703125" style="1768" customWidth="1"/>
    <col min="8719" max="8719" width="1.5703125" style="1768" customWidth="1"/>
    <col min="8720" max="8720" width="21" style="1768" customWidth="1"/>
    <col min="8721" max="8721" width="4.5703125" style="1768" customWidth="1"/>
    <col min="8722" max="8735" width="0" style="1768" hidden="1" customWidth="1"/>
    <col min="8736" max="8960" width="9.42578125" style="1768"/>
    <col min="8961" max="8961" width="0" style="1768" hidden="1" customWidth="1"/>
    <col min="8962" max="8962" width="10.42578125" style="1768" customWidth="1"/>
    <col min="8963" max="8963" width="1.42578125" style="1768" customWidth="1"/>
    <col min="8964" max="8964" width="6.5703125" style="1768" customWidth="1"/>
    <col min="8965" max="8965" width="1.5703125" style="1768" customWidth="1"/>
    <col min="8966" max="8966" width="12.5703125" style="1768" customWidth="1"/>
    <col min="8967" max="8967" width="1.5703125" style="1768" customWidth="1"/>
    <col min="8968" max="8968" width="19.5703125" style="1768" customWidth="1"/>
    <col min="8969" max="8969" width="2.5703125" style="1768" customWidth="1"/>
    <col min="8970" max="8970" width="10.5703125" style="1768" customWidth="1"/>
    <col min="8971" max="8971" width="0.5703125" style="1768" customWidth="1"/>
    <col min="8972" max="8972" width="6.42578125" style="1768" customWidth="1"/>
    <col min="8973" max="8973" width="1.5703125" style="1768" customWidth="1"/>
    <col min="8974" max="8974" width="12.5703125" style="1768" customWidth="1"/>
    <col min="8975" max="8975" width="1.5703125" style="1768" customWidth="1"/>
    <col min="8976" max="8976" width="21" style="1768" customWidth="1"/>
    <col min="8977" max="8977" width="4.5703125" style="1768" customWidth="1"/>
    <col min="8978" max="8991" width="0" style="1768" hidden="1" customWidth="1"/>
    <col min="8992" max="9216" width="9.42578125" style="1768"/>
    <col min="9217" max="9217" width="0" style="1768" hidden="1" customWidth="1"/>
    <col min="9218" max="9218" width="10.42578125" style="1768" customWidth="1"/>
    <col min="9219" max="9219" width="1.42578125" style="1768" customWidth="1"/>
    <col min="9220" max="9220" width="6.5703125" style="1768" customWidth="1"/>
    <col min="9221" max="9221" width="1.5703125" style="1768" customWidth="1"/>
    <col min="9222" max="9222" width="12.5703125" style="1768" customWidth="1"/>
    <col min="9223" max="9223" width="1.5703125" style="1768" customWidth="1"/>
    <col min="9224" max="9224" width="19.5703125" style="1768" customWidth="1"/>
    <col min="9225" max="9225" width="2.5703125" style="1768" customWidth="1"/>
    <col min="9226" max="9226" width="10.5703125" style="1768" customWidth="1"/>
    <col min="9227" max="9227" width="0.5703125" style="1768" customWidth="1"/>
    <col min="9228" max="9228" width="6.42578125" style="1768" customWidth="1"/>
    <col min="9229" max="9229" width="1.5703125" style="1768" customWidth="1"/>
    <col min="9230" max="9230" width="12.5703125" style="1768" customWidth="1"/>
    <col min="9231" max="9231" width="1.5703125" style="1768" customWidth="1"/>
    <col min="9232" max="9232" width="21" style="1768" customWidth="1"/>
    <col min="9233" max="9233" width="4.5703125" style="1768" customWidth="1"/>
    <col min="9234" max="9247" width="0" style="1768" hidden="1" customWidth="1"/>
    <col min="9248" max="9472" width="9.42578125" style="1768"/>
    <col min="9473" max="9473" width="0" style="1768" hidden="1" customWidth="1"/>
    <col min="9474" max="9474" width="10.42578125" style="1768" customWidth="1"/>
    <col min="9475" max="9475" width="1.42578125" style="1768" customWidth="1"/>
    <col min="9476" max="9476" width="6.5703125" style="1768" customWidth="1"/>
    <col min="9477" max="9477" width="1.5703125" style="1768" customWidth="1"/>
    <col min="9478" max="9478" width="12.5703125" style="1768" customWidth="1"/>
    <col min="9479" max="9479" width="1.5703125" style="1768" customWidth="1"/>
    <col min="9480" max="9480" width="19.5703125" style="1768" customWidth="1"/>
    <col min="9481" max="9481" width="2.5703125" style="1768" customWidth="1"/>
    <col min="9482" max="9482" width="10.5703125" style="1768" customWidth="1"/>
    <col min="9483" max="9483" width="0.5703125" style="1768" customWidth="1"/>
    <col min="9484" max="9484" width="6.42578125" style="1768" customWidth="1"/>
    <col min="9485" max="9485" width="1.5703125" style="1768" customWidth="1"/>
    <col min="9486" max="9486" width="12.5703125" style="1768" customWidth="1"/>
    <col min="9487" max="9487" width="1.5703125" style="1768" customWidth="1"/>
    <col min="9488" max="9488" width="21" style="1768" customWidth="1"/>
    <col min="9489" max="9489" width="4.5703125" style="1768" customWidth="1"/>
    <col min="9490" max="9503" width="0" style="1768" hidden="1" customWidth="1"/>
    <col min="9504" max="9728" width="9.42578125" style="1768"/>
    <col min="9729" max="9729" width="0" style="1768" hidden="1" customWidth="1"/>
    <col min="9730" max="9730" width="10.42578125" style="1768" customWidth="1"/>
    <col min="9731" max="9731" width="1.42578125" style="1768" customWidth="1"/>
    <col min="9732" max="9732" width="6.5703125" style="1768" customWidth="1"/>
    <col min="9733" max="9733" width="1.5703125" style="1768" customWidth="1"/>
    <col min="9734" max="9734" width="12.5703125" style="1768" customWidth="1"/>
    <col min="9735" max="9735" width="1.5703125" style="1768" customWidth="1"/>
    <col min="9736" max="9736" width="19.5703125" style="1768" customWidth="1"/>
    <col min="9737" max="9737" width="2.5703125" style="1768" customWidth="1"/>
    <col min="9738" max="9738" width="10.5703125" style="1768" customWidth="1"/>
    <col min="9739" max="9739" width="0.5703125" style="1768" customWidth="1"/>
    <col min="9740" max="9740" width="6.42578125" style="1768" customWidth="1"/>
    <col min="9741" max="9741" width="1.5703125" style="1768" customWidth="1"/>
    <col min="9742" max="9742" width="12.5703125" style="1768" customWidth="1"/>
    <col min="9743" max="9743" width="1.5703125" style="1768" customWidth="1"/>
    <col min="9744" max="9744" width="21" style="1768" customWidth="1"/>
    <col min="9745" max="9745" width="4.5703125" style="1768" customWidth="1"/>
    <col min="9746" max="9759" width="0" style="1768" hidden="1" customWidth="1"/>
    <col min="9760" max="9984" width="9.42578125" style="1768"/>
    <col min="9985" max="9985" width="0" style="1768" hidden="1" customWidth="1"/>
    <col min="9986" max="9986" width="10.42578125" style="1768" customWidth="1"/>
    <col min="9987" max="9987" width="1.42578125" style="1768" customWidth="1"/>
    <col min="9988" max="9988" width="6.5703125" style="1768" customWidth="1"/>
    <col min="9989" max="9989" width="1.5703125" style="1768" customWidth="1"/>
    <col min="9990" max="9990" width="12.5703125" style="1768" customWidth="1"/>
    <col min="9991" max="9991" width="1.5703125" style="1768" customWidth="1"/>
    <col min="9992" max="9992" width="19.5703125" style="1768" customWidth="1"/>
    <col min="9993" max="9993" width="2.5703125" style="1768" customWidth="1"/>
    <col min="9994" max="9994" width="10.5703125" style="1768" customWidth="1"/>
    <col min="9995" max="9995" width="0.5703125" style="1768" customWidth="1"/>
    <col min="9996" max="9996" width="6.42578125" style="1768" customWidth="1"/>
    <col min="9997" max="9997" width="1.5703125" style="1768" customWidth="1"/>
    <col min="9998" max="9998" width="12.5703125" style="1768" customWidth="1"/>
    <col min="9999" max="9999" width="1.5703125" style="1768" customWidth="1"/>
    <col min="10000" max="10000" width="21" style="1768" customWidth="1"/>
    <col min="10001" max="10001" width="4.5703125" style="1768" customWidth="1"/>
    <col min="10002" max="10015" width="0" style="1768" hidden="1" customWidth="1"/>
    <col min="10016" max="10240" width="9.42578125" style="1768"/>
    <col min="10241" max="10241" width="0" style="1768" hidden="1" customWidth="1"/>
    <col min="10242" max="10242" width="10.42578125" style="1768" customWidth="1"/>
    <col min="10243" max="10243" width="1.42578125" style="1768" customWidth="1"/>
    <col min="10244" max="10244" width="6.5703125" style="1768" customWidth="1"/>
    <col min="10245" max="10245" width="1.5703125" style="1768" customWidth="1"/>
    <col min="10246" max="10246" width="12.5703125" style="1768" customWidth="1"/>
    <col min="10247" max="10247" width="1.5703125" style="1768" customWidth="1"/>
    <col min="10248" max="10248" width="19.5703125" style="1768" customWidth="1"/>
    <col min="10249" max="10249" width="2.5703125" style="1768" customWidth="1"/>
    <col min="10250" max="10250" width="10.5703125" style="1768" customWidth="1"/>
    <col min="10251" max="10251" width="0.5703125" style="1768" customWidth="1"/>
    <col min="10252" max="10252" width="6.42578125" style="1768" customWidth="1"/>
    <col min="10253" max="10253" width="1.5703125" style="1768" customWidth="1"/>
    <col min="10254" max="10254" width="12.5703125" style="1768" customWidth="1"/>
    <col min="10255" max="10255" width="1.5703125" style="1768" customWidth="1"/>
    <col min="10256" max="10256" width="21" style="1768" customWidth="1"/>
    <col min="10257" max="10257" width="4.5703125" style="1768" customWidth="1"/>
    <col min="10258" max="10271" width="0" style="1768" hidden="1" customWidth="1"/>
    <col min="10272" max="10496" width="9.42578125" style="1768"/>
    <col min="10497" max="10497" width="0" style="1768" hidden="1" customWidth="1"/>
    <col min="10498" max="10498" width="10.42578125" style="1768" customWidth="1"/>
    <col min="10499" max="10499" width="1.42578125" style="1768" customWidth="1"/>
    <col min="10500" max="10500" width="6.5703125" style="1768" customWidth="1"/>
    <col min="10501" max="10501" width="1.5703125" style="1768" customWidth="1"/>
    <col min="10502" max="10502" width="12.5703125" style="1768" customWidth="1"/>
    <col min="10503" max="10503" width="1.5703125" style="1768" customWidth="1"/>
    <col min="10504" max="10504" width="19.5703125" style="1768" customWidth="1"/>
    <col min="10505" max="10505" width="2.5703125" style="1768" customWidth="1"/>
    <col min="10506" max="10506" width="10.5703125" style="1768" customWidth="1"/>
    <col min="10507" max="10507" width="0.5703125" style="1768" customWidth="1"/>
    <col min="10508" max="10508" width="6.42578125" style="1768" customWidth="1"/>
    <col min="10509" max="10509" width="1.5703125" style="1768" customWidth="1"/>
    <col min="10510" max="10510" width="12.5703125" style="1768" customWidth="1"/>
    <col min="10511" max="10511" width="1.5703125" style="1768" customWidth="1"/>
    <col min="10512" max="10512" width="21" style="1768" customWidth="1"/>
    <col min="10513" max="10513" width="4.5703125" style="1768" customWidth="1"/>
    <col min="10514" max="10527" width="0" style="1768" hidden="1" customWidth="1"/>
    <col min="10528" max="10752" width="9.42578125" style="1768"/>
    <col min="10753" max="10753" width="0" style="1768" hidden="1" customWidth="1"/>
    <col min="10754" max="10754" width="10.42578125" style="1768" customWidth="1"/>
    <col min="10755" max="10755" width="1.42578125" style="1768" customWidth="1"/>
    <col min="10756" max="10756" width="6.5703125" style="1768" customWidth="1"/>
    <col min="10757" max="10757" width="1.5703125" style="1768" customWidth="1"/>
    <col min="10758" max="10758" width="12.5703125" style="1768" customWidth="1"/>
    <col min="10759" max="10759" width="1.5703125" style="1768" customWidth="1"/>
    <col min="10760" max="10760" width="19.5703125" style="1768" customWidth="1"/>
    <col min="10761" max="10761" width="2.5703125" style="1768" customWidth="1"/>
    <col min="10762" max="10762" width="10.5703125" style="1768" customWidth="1"/>
    <col min="10763" max="10763" width="0.5703125" style="1768" customWidth="1"/>
    <col min="10764" max="10764" width="6.42578125" style="1768" customWidth="1"/>
    <col min="10765" max="10765" width="1.5703125" style="1768" customWidth="1"/>
    <col min="10766" max="10766" width="12.5703125" style="1768" customWidth="1"/>
    <col min="10767" max="10767" width="1.5703125" style="1768" customWidth="1"/>
    <col min="10768" max="10768" width="21" style="1768" customWidth="1"/>
    <col min="10769" max="10769" width="4.5703125" style="1768" customWidth="1"/>
    <col min="10770" max="10783" width="0" style="1768" hidden="1" customWidth="1"/>
    <col min="10784" max="11008" width="9.42578125" style="1768"/>
    <col min="11009" max="11009" width="0" style="1768" hidden="1" customWidth="1"/>
    <col min="11010" max="11010" width="10.42578125" style="1768" customWidth="1"/>
    <col min="11011" max="11011" width="1.42578125" style="1768" customWidth="1"/>
    <col min="11012" max="11012" width="6.5703125" style="1768" customWidth="1"/>
    <col min="11013" max="11013" width="1.5703125" style="1768" customWidth="1"/>
    <col min="11014" max="11014" width="12.5703125" style="1768" customWidth="1"/>
    <col min="11015" max="11015" width="1.5703125" style="1768" customWidth="1"/>
    <col min="11016" max="11016" width="19.5703125" style="1768" customWidth="1"/>
    <col min="11017" max="11017" width="2.5703125" style="1768" customWidth="1"/>
    <col min="11018" max="11018" width="10.5703125" style="1768" customWidth="1"/>
    <col min="11019" max="11019" width="0.5703125" style="1768" customWidth="1"/>
    <col min="11020" max="11020" width="6.42578125" style="1768" customWidth="1"/>
    <col min="11021" max="11021" width="1.5703125" style="1768" customWidth="1"/>
    <col min="11022" max="11022" width="12.5703125" style="1768" customWidth="1"/>
    <col min="11023" max="11023" width="1.5703125" style="1768" customWidth="1"/>
    <col min="11024" max="11024" width="21" style="1768" customWidth="1"/>
    <col min="11025" max="11025" width="4.5703125" style="1768" customWidth="1"/>
    <col min="11026" max="11039" width="0" style="1768" hidden="1" customWidth="1"/>
    <col min="11040" max="11264" width="9.42578125" style="1768"/>
    <col min="11265" max="11265" width="0" style="1768" hidden="1" customWidth="1"/>
    <col min="11266" max="11266" width="10.42578125" style="1768" customWidth="1"/>
    <col min="11267" max="11267" width="1.42578125" style="1768" customWidth="1"/>
    <col min="11268" max="11268" width="6.5703125" style="1768" customWidth="1"/>
    <col min="11269" max="11269" width="1.5703125" style="1768" customWidth="1"/>
    <col min="11270" max="11270" width="12.5703125" style="1768" customWidth="1"/>
    <col min="11271" max="11271" width="1.5703125" style="1768" customWidth="1"/>
    <col min="11272" max="11272" width="19.5703125" style="1768" customWidth="1"/>
    <col min="11273" max="11273" width="2.5703125" style="1768" customWidth="1"/>
    <col min="11274" max="11274" width="10.5703125" style="1768" customWidth="1"/>
    <col min="11275" max="11275" width="0.5703125" style="1768" customWidth="1"/>
    <col min="11276" max="11276" width="6.42578125" style="1768" customWidth="1"/>
    <col min="11277" max="11277" width="1.5703125" style="1768" customWidth="1"/>
    <col min="11278" max="11278" width="12.5703125" style="1768" customWidth="1"/>
    <col min="11279" max="11279" width="1.5703125" style="1768" customWidth="1"/>
    <col min="11280" max="11280" width="21" style="1768" customWidth="1"/>
    <col min="11281" max="11281" width="4.5703125" style="1768" customWidth="1"/>
    <col min="11282" max="11295" width="0" style="1768" hidden="1" customWidth="1"/>
    <col min="11296" max="11520" width="9.42578125" style="1768"/>
    <col min="11521" max="11521" width="0" style="1768" hidden="1" customWidth="1"/>
    <col min="11522" max="11522" width="10.42578125" style="1768" customWidth="1"/>
    <col min="11523" max="11523" width="1.42578125" style="1768" customWidth="1"/>
    <col min="11524" max="11524" width="6.5703125" style="1768" customWidth="1"/>
    <col min="11525" max="11525" width="1.5703125" style="1768" customWidth="1"/>
    <col min="11526" max="11526" width="12.5703125" style="1768" customWidth="1"/>
    <col min="11527" max="11527" width="1.5703125" style="1768" customWidth="1"/>
    <col min="11528" max="11528" width="19.5703125" style="1768" customWidth="1"/>
    <col min="11529" max="11529" width="2.5703125" style="1768" customWidth="1"/>
    <col min="11530" max="11530" width="10.5703125" style="1768" customWidth="1"/>
    <col min="11531" max="11531" width="0.5703125" style="1768" customWidth="1"/>
    <col min="11532" max="11532" width="6.42578125" style="1768" customWidth="1"/>
    <col min="11533" max="11533" width="1.5703125" style="1768" customWidth="1"/>
    <col min="11534" max="11534" width="12.5703125" style="1768" customWidth="1"/>
    <col min="11535" max="11535" width="1.5703125" style="1768" customWidth="1"/>
    <col min="11536" max="11536" width="21" style="1768" customWidth="1"/>
    <col min="11537" max="11537" width="4.5703125" style="1768" customWidth="1"/>
    <col min="11538" max="11551" width="0" style="1768" hidden="1" customWidth="1"/>
    <col min="11552" max="11776" width="9.42578125" style="1768"/>
    <col min="11777" max="11777" width="0" style="1768" hidden="1" customWidth="1"/>
    <col min="11778" max="11778" width="10.42578125" style="1768" customWidth="1"/>
    <col min="11779" max="11779" width="1.42578125" style="1768" customWidth="1"/>
    <col min="11780" max="11780" width="6.5703125" style="1768" customWidth="1"/>
    <col min="11781" max="11781" width="1.5703125" style="1768" customWidth="1"/>
    <col min="11782" max="11782" width="12.5703125" style="1768" customWidth="1"/>
    <col min="11783" max="11783" width="1.5703125" style="1768" customWidth="1"/>
    <col min="11784" max="11784" width="19.5703125" style="1768" customWidth="1"/>
    <col min="11785" max="11785" width="2.5703125" style="1768" customWidth="1"/>
    <col min="11786" max="11786" width="10.5703125" style="1768" customWidth="1"/>
    <col min="11787" max="11787" width="0.5703125" style="1768" customWidth="1"/>
    <col min="11788" max="11788" width="6.42578125" style="1768" customWidth="1"/>
    <col min="11789" max="11789" width="1.5703125" style="1768" customWidth="1"/>
    <col min="11790" max="11790" width="12.5703125" style="1768" customWidth="1"/>
    <col min="11791" max="11791" width="1.5703125" style="1768" customWidth="1"/>
    <col min="11792" max="11792" width="21" style="1768" customWidth="1"/>
    <col min="11793" max="11793" width="4.5703125" style="1768" customWidth="1"/>
    <col min="11794" max="11807" width="0" style="1768" hidden="1" customWidth="1"/>
    <col min="11808" max="12032" width="9.42578125" style="1768"/>
    <col min="12033" max="12033" width="0" style="1768" hidden="1" customWidth="1"/>
    <col min="12034" max="12034" width="10.42578125" style="1768" customWidth="1"/>
    <col min="12035" max="12035" width="1.42578125" style="1768" customWidth="1"/>
    <col min="12036" max="12036" width="6.5703125" style="1768" customWidth="1"/>
    <col min="12037" max="12037" width="1.5703125" style="1768" customWidth="1"/>
    <col min="12038" max="12038" width="12.5703125" style="1768" customWidth="1"/>
    <col min="12039" max="12039" width="1.5703125" style="1768" customWidth="1"/>
    <col min="12040" max="12040" width="19.5703125" style="1768" customWidth="1"/>
    <col min="12041" max="12041" width="2.5703125" style="1768" customWidth="1"/>
    <col min="12042" max="12042" width="10.5703125" style="1768" customWidth="1"/>
    <col min="12043" max="12043" width="0.5703125" style="1768" customWidth="1"/>
    <col min="12044" max="12044" width="6.42578125" style="1768" customWidth="1"/>
    <col min="12045" max="12045" width="1.5703125" style="1768" customWidth="1"/>
    <col min="12046" max="12046" width="12.5703125" style="1768" customWidth="1"/>
    <col min="12047" max="12047" width="1.5703125" style="1768" customWidth="1"/>
    <col min="12048" max="12048" width="21" style="1768" customWidth="1"/>
    <col min="12049" max="12049" width="4.5703125" style="1768" customWidth="1"/>
    <col min="12050" max="12063" width="0" style="1768" hidden="1" customWidth="1"/>
    <col min="12064" max="12288" width="9.42578125" style="1768"/>
    <col min="12289" max="12289" width="0" style="1768" hidden="1" customWidth="1"/>
    <col min="12290" max="12290" width="10.42578125" style="1768" customWidth="1"/>
    <col min="12291" max="12291" width="1.42578125" style="1768" customWidth="1"/>
    <col min="12292" max="12292" width="6.5703125" style="1768" customWidth="1"/>
    <col min="12293" max="12293" width="1.5703125" style="1768" customWidth="1"/>
    <col min="12294" max="12294" width="12.5703125" style="1768" customWidth="1"/>
    <col min="12295" max="12295" width="1.5703125" style="1768" customWidth="1"/>
    <col min="12296" max="12296" width="19.5703125" style="1768" customWidth="1"/>
    <col min="12297" max="12297" width="2.5703125" style="1768" customWidth="1"/>
    <col min="12298" max="12298" width="10.5703125" style="1768" customWidth="1"/>
    <col min="12299" max="12299" width="0.5703125" style="1768" customWidth="1"/>
    <col min="12300" max="12300" width="6.42578125" style="1768" customWidth="1"/>
    <col min="12301" max="12301" width="1.5703125" style="1768" customWidth="1"/>
    <col min="12302" max="12302" width="12.5703125" style="1768" customWidth="1"/>
    <col min="12303" max="12303" width="1.5703125" style="1768" customWidth="1"/>
    <col min="12304" max="12304" width="21" style="1768" customWidth="1"/>
    <col min="12305" max="12305" width="4.5703125" style="1768" customWidth="1"/>
    <col min="12306" max="12319" width="0" style="1768" hidden="1" customWidth="1"/>
    <col min="12320" max="12544" width="9.42578125" style="1768"/>
    <col min="12545" max="12545" width="0" style="1768" hidden="1" customWidth="1"/>
    <col min="12546" max="12546" width="10.42578125" style="1768" customWidth="1"/>
    <col min="12547" max="12547" width="1.42578125" style="1768" customWidth="1"/>
    <col min="12548" max="12548" width="6.5703125" style="1768" customWidth="1"/>
    <col min="12549" max="12549" width="1.5703125" style="1768" customWidth="1"/>
    <col min="12550" max="12550" width="12.5703125" style="1768" customWidth="1"/>
    <col min="12551" max="12551" width="1.5703125" style="1768" customWidth="1"/>
    <col min="12552" max="12552" width="19.5703125" style="1768" customWidth="1"/>
    <col min="12553" max="12553" width="2.5703125" style="1768" customWidth="1"/>
    <col min="12554" max="12554" width="10.5703125" style="1768" customWidth="1"/>
    <col min="12555" max="12555" width="0.5703125" style="1768" customWidth="1"/>
    <col min="12556" max="12556" width="6.42578125" style="1768" customWidth="1"/>
    <col min="12557" max="12557" width="1.5703125" style="1768" customWidth="1"/>
    <col min="12558" max="12558" width="12.5703125" style="1768" customWidth="1"/>
    <col min="12559" max="12559" width="1.5703125" style="1768" customWidth="1"/>
    <col min="12560" max="12560" width="21" style="1768" customWidth="1"/>
    <col min="12561" max="12561" width="4.5703125" style="1768" customWidth="1"/>
    <col min="12562" max="12575" width="0" style="1768" hidden="1" customWidth="1"/>
    <col min="12576" max="12800" width="9.42578125" style="1768"/>
    <col min="12801" max="12801" width="0" style="1768" hidden="1" customWidth="1"/>
    <col min="12802" max="12802" width="10.42578125" style="1768" customWidth="1"/>
    <col min="12803" max="12803" width="1.42578125" style="1768" customWidth="1"/>
    <col min="12804" max="12804" width="6.5703125" style="1768" customWidth="1"/>
    <col min="12805" max="12805" width="1.5703125" style="1768" customWidth="1"/>
    <col min="12806" max="12806" width="12.5703125" style="1768" customWidth="1"/>
    <col min="12807" max="12807" width="1.5703125" style="1768" customWidth="1"/>
    <col min="12808" max="12808" width="19.5703125" style="1768" customWidth="1"/>
    <col min="12809" max="12809" width="2.5703125" style="1768" customWidth="1"/>
    <col min="12810" max="12810" width="10.5703125" style="1768" customWidth="1"/>
    <col min="12811" max="12811" width="0.5703125" style="1768" customWidth="1"/>
    <col min="12812" max="12812" width="6.42578125" style="1768" customWidth="1"/>
    <col min="12813" max="12813" width="1.5703125" style="1768" customWidth="1"/>
    <col min="12814" max="12814" width="12.5703125" style="1768" customWidth="1"/>
    <col min="12815" max="12815" width="1.5703125" style="1768" customWidth="1"/>
    <col min="12816" max="12816" width="21" style="1768" customWidth="1"/>
    <col min="12817" max="12817" width="4.5703125" style="1768" customWidth="1"/>
    <col min="12818" max="12831" width="0" style="1768" hidden="1" customWidth="1"/>
    <col min="12832" max="13056" width="9.42578125" style="1768"/>
    <col min="13057" max="13057" width="0" style="1768" hidden="1" customWidth="1"/>
    <col min="13058" max="13058" width="10.42578125" style="1768" customWidth="1"/>
    <col min="13059" max="13059" width="1.42578125" style="1768" customWidth="1"/>
    <col min="13060" max="13060" width="6.5703125" style="1768" customWidth="1"/>
    <col min="13061" max="13061" width="1.5703125" style="1768" customWidth="1"/>
    <col min="13062" max="13062" width="12.5703125" style="1768" customWidth="1"/>
    <col min="13063" max="13063" width="1.5703125" style="1768" customWidth="1"/>
    <col min="13064" max="13064" width="19.5703125" style="1768" customWidth="1"/>
    <col min="13065" max="13065" width="2.5703125" style="1768" customWidth="1"/>
    <col min="13066" max="13066" width="10.5703125" style="1768" customWidth="1"/>
    <col min="13067" max="13067" width="0.5703125" style="1768" customWidth="1"/>
    <col min="13068" max="13068" width="6.42578125" style="1768" customWidth="1"/>
    <col min="13069" max="13069" width="1.5703125" style="1768" customWidth="1"/>
    <col min="13070" max="13070" width="12.5703125" style="1768" customWidth="1"/>
    <col min="13071" max="13071" width="1.5703125" style="1768" customWidth="1"/>
    <col min="13072" max="13072" width="21" style="1768" customWidth="1"/>
    <col min="13073" max="13073" width="4.5703125" style="1768" customWidth="1"/>
    <col min="13074" max="13087" width="0" style="1768" hidden="1" customWidth="1"/>
    <col min="13088" max="13312" width="9.42578125" style="1768"/>
    <col min="13313" max="13313" width="0" style="1768" hidden="1" customWidth="1"/>
    <col min="13314" max="13314" width="10.42578125" style="1768" customWidth="1"/>
    <col min="13315" max="13315" width="1.42578125" style="1768" customWidth="1"/>
    <col min="13316" max="13316" width="6.5703125" style="1768" customWidth="1"/>
    <col min="13317" max="13317" width="1.5703125" style="1768" customWidth="1"/>
    <col min="13318" max="13318" width="12.5703125" style="1768" customWidth="1"/>
    <col min="13319" max="13319" width="1.5703125" style="1768" customWidth="1"/>
    <col min="13320" max="13320" width="19.5703125" style="1768" customWidth="1"/>
    <col min="13321" max="13321" width="2.5703125" style="1768" customWidth="1"/>
    <col min="13322" max="13322" width="10.5703125" style="1768" customWidth="1"/>
    <col min="13323" max="13323" width="0.5703125" style="1768" customWidth="1"/>
    <col min="13324" max="13324" width="6.42578125" style="1768" customWidth="1"/>
    <col min="13325" max="13325" width="1.5703125" style="1768" customWidth="1"/>
    <col min="13326" max="13326" width="12.5703125" style="1768" customWidth="1"/>
    <col min="13327" max="13327" width="1.5703125" style="1768" customWidth="1"/>
    <col min="13328" max="13328" width="21" style="1768" customWidth="1"/>
    <col min="13329" max="13329" width="4.5703125" style="1768" customWidth="1"/>
    <col min="13330" max="13343" width="0" style="1768" hidden="1" customWidth="1"/>
    <col min="13344" max="13568" width="9.42578125" style="1768"/>
    <col min="13569" max="13569" width="0" style="1768" hidden="1" customWidth="1"/>
    <col min="13570" max="13570" width="10.42578125" style="1768" customWidth="1"/>
    <col min="13571" max="13571" width="1.42578125" style="1768" customWidth="1"/>
    <col min="13572" max="13572" width="6.5703125" style="1768" customWidth="1"/>
    <col min="13573" max="13573" width="1.5703125" style="1768" customWidth="1"/>
    <col min="13574" max="13574" width="12.5703125" style="1768" customWidth="1"/>
    <col min="13575" max="13575" width="1.5703125" style="1768" customWidth="1"/>
    <col min="13576" max="13576" width="19.5703125" style="1768" customWidth="1"/>
    <col min="13577" max="13577" width="2.5703125" style="1768" customWidth="1"/>
    <col min="13578" max="13578" width="10.5703125" style="1768" customWidth="1"/>
    <col min="13579" max="13579" width="0.5703125" style="1768" customWidth="1"/>
    <col min="13580" max="13580" width="6.42578125" style="1768" customWidth="1"/>
    <col min="13581" max="13581" width="1.5703125" style="1768" customWidth="1"/>
    <col min="13582" max="13582" width="12.5703125" style="1768" customWidth="1"/>
    <col min="13583" max="13583" width="1.5703125" style="1768" customWidth="1"/>
    <col min="13584" max="13584" width="21" style="1768" customWidth="1"/>
    <col min="13585" max="13585" width="4.5703125" style="1768" customWidth="1"/>
    <col min="13586" max="13599" width="0" style="1768" hidden="1" customWidth="1"/>
    <col min="13600" max="13824" width="9.42578125" style="1768"/>
    <col min="13825" max="13825" width="0" style="1768" hidden="1" customWidth="1"/>
    <col min="13826" max="13826" width="10.42578125" style="1768" customWidth="1"/>
    <col min="13827" max="13827" width="1.42578125" style="1768" customWidth="1"/>
    <col min="13828" max="13828" width="6.5703125" style="1768" customWidth="1"/>
    <col min="13829" max="13829" width="1.5703125" style="1768" customWidth="1"/>
    <col min="13830" max="13830" width="12.5703125" style="1768" customWidth="1"/>
    <col min="13831" max="13831" width="1.5703125" style="1768" customWidth="1"/>
    <col min="13832" max="13832" width="19.5703125" style="1768" customWidth="1"/>
    <col min="13833" max="13833" width="2.5703125" style="1768" customWidth="1"/>
    <col min="13834" max="13834" width="10.5703125" style="1768" customWidth="1"/>
    <col min="13835" max="13835" width="0.5703125" style="1768" customWidth="1"/>
    <col min="13836" max="13836" width="6.42578125" style="1768" customWidth="1"/>
    <col min="13837" max="13837" width="1.5703125" style="1768" customWidth="1"/>
    <col min="13838" max="13838" width="12.5703125" style="1768" customWidth="1"/>
    <col min="13839" max="13839" width="1.5703125" style="1768" customWidth="1"/>
    <col min="13840" max="13840" width="21" style="1768" customWidth="1"/>
    <col min="13841" max="13841" width="4.5703125" style="1768" customWidth="1"/>
    <col min="13842" max="13855" width="0" style="1768" hidden="1" customWidth="1"/>
    <col min="13856" max="14080" width="9.42578125" style="1768"/>
    <col min="14081" max="14081" width="0" style="1768" hidden="1" customWidth="1"/>
    <col min="14082" max="14082" width="10.42578125" style="1768" customWidth="1"/>
    <col min="14083" max="14083" width="1.42578125" style="1768" customWidth="1"/>
    <col min="14084" max="14084" width="6.5703125" style="1768" customWidth="1"/>
    <col min="14085" max="14085" width="1.5703125" style="1768" customWidth="1"/>
    <col min="14086" max="14086" width="12.5703125" style="1768" customWidth="1"/>
    <col min="14087" max="14087" width="1.5703125" style="1768" customWidth="1"/>
    <col min="14088" max="14088" width="19.5703125" style="1768" customWidth="1"/>
    <col min="14089" max="14089" width="2.5703125" style="1768" customWidth="1"/>
    <col min="14090" max="14090" width="10.5703125" style="1768" customWidth="1"/>
    <col min="14091" max="14091" width="0.5703125" style="1768" customWidth="1"/>
    <col min="14092" max="14092" width="6.42578125" style="1768" customWidth="1"/>
    <col min="14093" max="14093" width="1.5703125" style="1768" customWidth="1"/>
    <col min="14094" max="14094" width="12.5703125" style="1768" customWidth="1"/>
    <col min="14095" max="14095" width="1.5703125" style="1768" customWidth="1"/>
    <col min="14096" max="14096" width="21" style="1768" customWidth="1"/>
    <col min="14097" max="14097" width="4.5703125" style="1768" customWidth="1"/>
    <col min="14098" max="14111" width="0" style="1768" hidden="1" customWidth="1"/>
    <col min="14112" max="14336" width="9.42578125" style="1768"/>
    <col min="14337" max="14337" width="0" style="1768" hidden="1" customWidth="1"/>
    <col min="14338" max="14338" width="10.42578125" style="1768" customWidth="1"/>
    <col min="14339" max="14339" width="1.42578125" style="1768" customWidth="1"/>
    <col min="14340" max="14340" width="6.5703125" style="1768" customWidth="1"/>
    <col min="14341" max="14341" width="1.5703125" style="1768" customWidth="1"/>
    <col min="14342" max="14342" width="12.5703125" style="1768" customWidth="1"/>
    <col min="14343" max="14343" width="1.5703125" style="1768" customWidth="1"/>
    <col min="14344" max="14344" width="19.5703125" style="1768" customWidth="1"/>
    <col min="14345" max="14345" width="2.5703125" style="1768" customWidth="1"/>
    <col min="14346" max="14346" width="10.5703125" style="1768" customWidth="1"/>
    <col min="14347" max="14347" width="0.5703125" style="1768" customWidth="1"/>
    <col min="14348" max="14348" width="6.42578125" style="1768" customWidth="1"/>
    <col min="14349" max="14349" width="1.5703125" style="1768" customWidth="1"/>
    <col min="14350" max="14350" width="12.5703125" style="1768" customWidth="1"/>
    <col min="14351" max="14351" width="1.5703125" style="1768" customWidth="1"/>
    <col min="14352" max="14352" width="21" style="1768" customWidth="1"/>
    <col min="14353" max="14353" width="4.5703125" style="1768" customWidth="1"/>
    <col min="14354" max="14367" width="0" style="1768" hidden="1" customWidth="1"/>
    <col min="14368" max="14592" width="9.42578125" style="1768"/>
    <col min="14593" max="14593" width="0" style="1768" hidden="1" customWidth="1"/>
    <col min="14594" max="14594" width="10.42578125" style="1768" customWidth="1"/>
    <col min="14595" max="14595" width="1.42578125" style="1768" customWidth="1"/>
    <col min="14596" max="14596" width="6.5703125" style="1768" customWidth="1"/>
    <col min="14597" max="14597" width="1.5703125" style="1768" customWidth="1"/>
    <col min="14598" max="14598" width="12.5703125" style="1768" customWidth="1"/>
    <col min="14599" max="14599" width="1.5703125" style="1768" customWidth="1"/>
    <col min="14600" max="14600" width="19.5703125" style="1768" customWidth="1"/>
    <col min="14601" max="14601" width="2.5703125" style="1768" customWidth="1"/>
    <col min="14602" max="14602" width="10.5703125" style="1768" customWidth="1"/>
    <col min="14603" max="14603" width="0.5703125" style="1768" customWidth="1"/>
    <col min="14604" max="14604" width="6.42578125" style="1768" customWidth="1"/>
    <col min="14605" max="14605" width="1.5703125" style="1768" customWidth="1"/>
    <col min="14606" max="14606" width="12.5703125" style="1768" customWidth="1"/>
    <col min="14607" max="14607" width="1.5703125" style="1768" customWidth="1"/>
    <col min="14608" max="14608" width="21" style="1768" customWidth="1"/>
    <col min="14609" max="14609" width="4.5703125" style="1768" customWidth="1"/>
    <col min="14610" max="14623" width="0" style="1768" hidden="1" customWidth="1"/>
    <col min="14624" max="14848" width="9.42578125" style="1768"/>
    <col min="14849" max="14849" width="0" style="1768" hidden="1" customWidth="1"/>
    <col min="14850" max="14850" width="10.42578125" style="1768" customWidth="1"/>
    <col min="14851" max="14851" width="1.42578125" style="1768" customWidth="1"/>
    <col min="14852" max="14852" width="6.5703125" style="1768" customWidth="1"/>
    <col min="14853" max="14853" width="1.5703125" style="1768" customWidth="1"/>
    <col min="14854" max="14854" width="12.5703125" style="1768" customWidth="1"/>
    <col min="14855" max="14855" width="1.5703125" style="1768" customWidth="1"/>
    <col min="14856" max="14856" width="19.5703125" style="1768" customWidth="1"/>
    <col min="14857" max="14857" width="2.5703125" style="1768" customWidth="1"/>
    <col min="14858" max="14858" width="10.5703125" style="1768" customWidth="1"/>
    <col min="14859" max="14859" width="0.5703125" style="1768" customWidth="1"/>
    <col min="14860" max="14860" width="6.42578125" style="1768" customWidth="1"/>
    <col min="14861" max="14861" width="1.5703125" style="1768" customWidth="1"/>
    <col min="14862" max="14862" width="12.5703125" style="1768" customWidth="1"/>
    <col min="14863" max="14863" width="1.5703125" style="1768" customWidth="1"/>
    <col min="14864" max="14864" width="21" style="1768" customWidth="1"/>
    <col min="14865" max="14865" width="4.5703125" style="1768" customWidth="1"/>
    <col min="14866" max="14879" width="0" style="1768" hidden="1" customWidth="1"/>
    <col min="14880" max="15104" width="9.42578125" style="1768"/>
    <col min="15105" max="15105" width="0" style="1768" hidden="1" customWidth="1"/>
    <col min="15106" max="15106" width="10.42578125" style="1768" customWidth="1"/>
    <col min="15107" max="15107" width="1.42578125" style="1768" customWidth="1"/>
    <col min="15108" max="15108" width="6.5703125" style="1768" customWidth="1"/>
    <col min="15109" max="15109" width="1.5703125" style="1768" customWidth="1"/>
    <col min="15110" max="15110" width="12.5703125" style="1768" customWidth="1"/>
    <col min="15111" max="15111" width="1.5703125" style="1768" customWidth="1"/>
    <col min="15112" max="15112" width="19.5703125" style="1768" customWidth="1"/>
    <col min="15113" max="15113" width="2.5703125" style="1768" customWidth="1"/>
    <col min="15114" max="15114" width="10.5703125" style="1768" customWidth="1"/>
    <col min="15115" max="15115" width="0.5703125" style="1768" customWidth="1"/>
    <col min="15116" max="15116" width="6.42578125" style="1768" customWidth="1"/>
    <col min="15117" max="15117" width="1.5703125" style="1768" customWidth="1"/>
    <col min="15118" max="15118" width="12.5703125" style="1768" customWidth="1"/>
    <col min="15119" max="15119" width="1.5703125" style="1768" customWidth="1"/>
    <col min="15120" max="15120" width="21" style="1768" customWidth="1"/>
    <col min="15121" max="15121" width="4.5703125" style="1768" customWidth="1"/>
    <col min="15122" max="15135" width="0" style="1768" hidden="1" customWidth="1"/>
    <col min="15136" max="15360" width="9.42578125" style="1768"/>
    <col min="15361" max="15361" width="0" style="1768" hidden="1" customWidth="1"/>
    <col min="15362" max="15362" width="10.42578125" style="1768" customWidth="1"/>
    <col min="15363" max="15363" width="1.42578125" style="1768" customWidth="1"/>
    <col min="15364" max="15364" width="6.5703125" style="1768" customWidth="1"/>
    <col min="15365" max="15365" width="1.5703125" style="1768" customWidth="1"/>
    <col min="15366" max="15366" width="12.5703125" style="1768" customWidth="1"/>
    <col min="15367" max="15367" width="1.5703125" style="1768" customWidth="1"/>
    <col min="15368" max="15368" width="19.5703125" style="1768" customWidth="1"/>
    <col min="15369" max="15369" width="2.5703125" style="1768" customWidth="1"/>
    <col min="15370" max="15370" width="10.5703125" style="1768" customWidth="1"/>
    <col min="15371" max="15371" width="0.5703125" style="1768" customWidth="1"/>
    <col min="15372" max="15372" width="6.42578125" style="1768" customWidth="1"/>
    <col min="15373" max="15373" width="1.5703125" style="1768" customWidth="1"/>
    <col min="15374" max="15374" width="12.5703125" style="1768" customWidth="1"/>
    <col min="15375" max="15375" width="1.5703125" style="1768" customWidth="1"/>
    <col min="15376" max="15376" width="21" style="1768" customWidth="1"/>
    <col min="15377" max="15377" width="4.5703125" style="1768" customWidth="1"/>
    <col min="15378" max="15391" width="0" style="1768" hidden="1" customWidth="1"/>
    <col min="15392" max="15616" width="9.42578125" style="1768"/>
    <col min="15617" max="15617" width="0" style="1768" hidden="1" customWidth="1"/>
    <col min="15618" max="15618" width="10.42578125" style="1768" customWidth="1"/>
    <col min="15619" max="15619" width="1.42578125" style="1768" customWidth="1"/>
    <col min="15620" max="15620" width="6.5703125" style="1768" customWidth="1"/>
    <col min="15621" max="15621" width="1.5703125" style="1768" customWidth="1"/>
    <col min="15622" max="15622" width="12.5703125" style="1768" customWidth="1"/>
    <col min="15623" max="15623" width="1.5703125" style="1768" customWidth="1"/>
    <col min="15624" max="15624" width="19.5703125" style="1768" customWidth="1"/>
    <col min="15625" max="15625" width="2.5703125" style="1768" customWidth="1"/>
    <col min="15626" max="15626" width="10.5703125" style="1768" customWidth="1"/>
    <col min="15627" max="15627" width="0.5703125" style="1768" customWidth="1"/>
    <col min="15628" max="15628" width="6.42578125" style="1768" customWidth="1"/>
    <col min="15629" max="15629" width="1.5703125" style="1768" customWidth="1"/>
    <col min="15630" max="15630" width="12.5703125" style="1768" customWidth="1"/>
    <col min="15631" max="15631" width="1.5703125" style="1768" customWidth="1"/>
    <col min="15632" max="15632" width="21" style="1768" customWidth="1"/>
    <col min="15633" max="15633" width="4.5703125" style="1768" customWidth="1"/>
    <col min="15634" max="15647" width="0" style="1768" hidden="1" customWidth="1"/>
    <col min="15648" max="15872" width="9.42578125" style="1768"/>
    <col min="15873" max="15873" width="0" style="1768" hidden="1" customWidth="1"/>
    <col min="15874" max="15874" width="10.42578125" style="1768" customWidth="1"/>
    <col min="15875" max="15875" width="1.42578125" style="1768" customWidth="1"/>
    <col min="15876" max="15876" width="6.5703125" style="1768" customWidth="1"/>
    <col min="15877" max="15877" width="1.5703125" style="1768" customWidth="1"/>
    <col min="15878" max="15878" width="12.5703125" style="1768" customWidth="1"/>
    <col min="15879" max="15879" width="1.5703125" style="1768" customWidth="1"/>
    <col min="15880" max="15880" width="19.5703125" style="1768" customWidth="1"/>
    <col min="15881" max="15881" width="2.5703125" style="1768" customWidth="1"/>
    <col min="15882" max="15882" width="10.5703125" style="1768" customWidth="1"/>
    <col min="15883" max="15883" width="0.5703125" style="1768" customWidth="1"/>
    <col min="15884" max="15884" width="6.42578125" style="1768" customWidth="1"/>
    <col min="15885" max="15885" width="1.5703125" style="1768" customWidth="1"/>
    <col min="15886" max="15886" width="12.5703125" style="1768" customWidth="1"/>
    <col min="15887" max="15887" width="1.5703125" style="1768" customWidth="1"/>
    <col min="15888" max="15888" width="21" style="1768" customWidth="1"/>
    <col min="15889" max="15889" width="4.5703125" style="1768" customWidth="1"/>
    <col min="15890" max="15903" width="0" style="1768" hidden="1" customWidth="1"/>
    <col min="15904" max="16128" width="9.42578125" style="1768"/>
    <col min="16129" max="16129" width="0" style="1768" hidden="1" customWidth="1"/>
    <col min="16130" max="16130" width="10.42578125" style="1768" customWidth="1"/>
    <col min="16131" max="16131" width="1.42578125" style="1768" customWidth="1"/>
    <col min="16132" max="16132" width="6.5703125" style="1768" customWidth="1"/>
    <col min="16133" max="16133" width="1.5703125" style="1768" customWidth="1"/>
    <col min="16134" max="16134" width="12.5703125" style="1768" customWidth="1"/>
    <col min="16135" max="16135" width="1.5703125" style="1768" customWidth="1"/>
    <col min="16136" max="16136" width="19.5703125" style="1768" customWidth="1"/>
    <col min="16137" max="16137" width="2.5703125" style="1768" customWidth="1"/>
    <col min="16138" max="16138" width="10.5703125" style="1768" customWidth="1"/>
    <col min="16139" max="16139" width="0.5703125" style="1768" customWidth="1"/>
    <col min="16140" max="16140" width="6.42578125" style="1768" customWidth="1"/>
    <col min="16141" max="16141" width="1.5703125" style="1768" customWidth="1"/>
    <col min="16142" max="16142" width="12.5703125" style="1768" customWidth="1"/>
    <col min="16143" max="16143" width="1.5703125" style="1768" customWidth="1"/>
    <col min="16144" max="16144" width="21" style="1768" customWidth="1"/>
    <col min="16145" max="16145" width="4.5703125" style="1768" customWidth="1"/>
    <col min="16146" max="16159" width="0" style="1768" hidden="1" customWidth="1"/>
    <col min="16160" max="16384" width="9.42578125" style="1768"/>
  </cols>
  <sheetData>
    <row r="1" spans="2:32" ht="25.15" customHeight="1" x14ac:dyDescent="0.25">
      <c r="B1" s="2449" t="str">
        <f>Index!A1</f>
        <v xml:space="preserve">                                                               Office of the State Controller                                                                </v>
      </c>
      <c r="C1" s="2449"/>
      <c r="D1" s="2449"/>
      <c r="E1" s="2449"/>
      <c r="F1" s="2449"/>
      <c r="G1" s="2449"/>
      <c r="H1" s="2449"/>
      <c r="I1" s="2449"/>
      <c r="J1" s="2449"/>
      <c r="K1" s="2449"/>
      <c r="L1" s="2449"/>
      <c r="M1" s="2449"/>
      <c r="N1" s="2449"/>
      <c r="O1" s="2449"/>
      <c r="P1" s="2449"/>
      <c r="Q1" s="2510" t="s">
        <v>4119</v>
      </c>
      <c r="AF1" s="182" t="str">
        <f>IF(Index!$B$72="na","NA","")</f>
        <v/>
      </c>
    </row>
    <row r="2" spans="2:32" ht="15" customHeight="1" x14ac:dyDescent="0.25">
      <c r="B2" s="2761" t="str">
        <f>Index!A2</f>
        <v>2022 ACFR Worksheets</v>
      </c>
      <c r="C2" s="2761"/>
      <c r="D2" s="2761"/>
      <c r="E2" s="2761"/>
      <c r="F2" s="2761"/>
      <c r="G2" s="2761"/>
      <c r="H2" s="2761"/>
      <c r="I2" s="2761"/>
      <c r="J2" s="2761"/>
      <c r="K2" s="2761"/>
      <c r="L2" s="2761"/>
      <c r="M2" s="2761"/>
      <c r="N2" s="2761"/>
      <c r="O2" s="2761"/>
      <c r="P2" s="2761"/>
      <c r="Q2" s="2510"/>
      <c r="AF2" s="182"/>
    </row>
    <row r="3" spans="2:32" ht="15" customHeight="1" x14ac:dyDescent="0.25">
      <c r="B3" s="2762" t="s">
        <v>4474</v>
      </c>
      <c r="C3" s="2762"/>
      <c r="D3" s="2762"/>
      <c r="E3" s="2762"/>
      <c r="F3" s="2762"/>
      <c r="G3" s="2762"/>
      <c r="H3" s="2762"/>
      <c r="I3" s="2762"/>
      <c r="J3" s="2762"/>
      <c r="K3" s="2762"/>
      <c r="L3" s="2762"/>
      <c r="M3" s="2762"/>
      <c r="N3" s="2762"/>
      <c r="O3" s="2762"/>
      <c r="P3" s="2762"/>
      <c r="Q3" s="2510"/>
      <c r="AF3" s="182"/>
    </row>
    <row r="4" spans="2:32" ht="15" customHeight="1" x14ac:dyDescent="0.25">
      <c r="B4" s="2762" t="s">
        <v>4895</v>
      </c>
      <c r="C4" s="2762"/>
      <c r="D4" s="2762"/>
      <c r="E4" s="2762"/>
      <c r="F4" s="2762"/>
      <c r="G4" s="2762"/>
      <c r="H4" s="2762"/>
      <c r="I4" s="2762"/>
      <c r="J4" s="2762"/>
      <c r="K4" s="2762"/>
      <c r="L4" s="2762"/>
      <c r="M4" s="2762"/>
      <c r="N4" s="2762"/>
      <c r="O4" s="2762"/>
      <c r="P4" s="2762"/>
      <c r="Q4" s="182"/>
    </row>
    <row r="5" spans="2:32" s="1763" customFormat="1" ht="15" customHeight="1" x14ac:dyDescent="0.25">
      <c r="B5" s="1811"/>
      <c r="C5" s="1811"/>
      <c r="D5" s="1811"/>
      <c r="E5" s="1812"/>
      <c r="F5" s="1812"/>
      <c r="G5" s="1812"/>
      <c r="H5" s="1812"/>
      <c r="I5" s="1774"/>
      <c r="J5" s="1812"/>
      <c r="K5" s="1812"/>
      <c r="L5" s="1812"/>
      <c r="M5" s="1812"/>
      <c r="N5" s="1812"/>
      <c r="O5" s="1812"/>
      <c r="P5" s="237" t="s">
        <v>1091</v>
      </c>
      <c r="Q5" s="1774"/>
    </row>
    <row r="6" spans="2:32" s="1763" customFormat="1" ht="15" customHeight="1" x14ac:dyDescent="0.2">
      <c r="B6" s="1773" t="s">
        <v>327</v>
      </c>
      <c r="C6" s="1774"/>
      <c r="D6" s="2756" t="str">
        <f>Index!E10</f>
        <v>01</v>
      </c>
      <c r="E6" s="2756"/>
      <c r="F6" s="2756"/>
      <c r="G6" s="2756"/>
      <c r="H6" s="2756"/>
      <c r="I6" s="1774"/>
      <c r="J6" s="2766" t="s">
        <v>972</v>
      </c>
      <c r="K6" s="2766"/>
      <c r="L6" s="2766"/>
      <c r="M6" s="2763" t="str">
        <f>CONCATENATE(Index!$E$12," ",Index!$E$14)</f>
        <v xml:space="preserve"> </v>
      </c>
      <c r="N6" s="2763"/>
      <c r="O6" s="2763"/>
      <c r="P6" s="2763"/>
      <c r="Q6" s="1774"/>
    </row>
    <row r="7" spans="2:32" s="1763" customFormat="1" ht="15" customHeight="1" x14ac:dyDescent="0.2">
      <c r="B7" s="1773" t="s">
        <v>1154</v>
      </c>
      <c r="C7" s="1774"/>
      <c r="D7" s="2767" t="str">
        <f>Index!E11</f>
        <v>North Carolina General Assembly</v>
      </c>
      <c r="E7" s="2767"/>
      <c r="F7" s="2767"/>
      <c r="G7" s="2767"/>
      <c r="H7" s="2767"/>
      <c r="I7" s="1774"/>
      <c r="J7" s="2766" t="s">
        <v>348</v>
      </c>
      <c r="K7" s="2766"/>
      <c r="L7" s="2766"/>
      <c r="M7" s="2768">
        <f>Index!E13</f>
        <v>0</v>
      </c>
      <c r="N7" s="2768"/>
      <c r="O7" s="2768"/>
      <c r="P7" s="2768"/>
      <c r="Q7" s="1774"/>
    </row>
    <row r="8" spans="2:32" s="1763" customFormat="1" ht="15" customHeight="1" thickBot="1" x14ac:dyDescent="0.25">
      <c r="B8" s="1779"/>
      <c r="C8" s="1779"/>
      <c r="D8" s="1779"/>
      <c r="E8" s="1779"/>
      <c r="F8" s="1779"/>
      <c r="G8" s="1779"/>
      <c r="H8" s="1779"/>
      <c r="I8" s="1780"/>
      <c r="J8" s="1779"/>
      <c r="K8" s="1779"/>
      <c r="L8" s="1779"/>
      <c r="M8" s="1779"/>
      <c r="N8" s="1779"/>
      <c r="O8" s="1779"/>
      <c r="P8" s="1779"/>
      <c r="Q8" s="1774"/>
    </row>
    <row r="9" spans="2:32" s="1763" customFormat="1" ht="15" customHeight="1" x14ac:dyDescent="0.2">
      <c r="B9" s="1774"/>
      <c r="C9" s="1774"/>
      <c r="D9" s="1774"/>
      <c r="E9" s="1774"/>
      <c r="F9" s="1774"/>
      <c r="G9" s="1774"/>
      <c r="H9" s="1774"/>
      <c r="I9" s="1781"/>
      <c r="J9" s="1774"/>
      <c r="K9" s="1774"/>
      <c r="L9" s="1774"/>
      <c r="M9" s="1774"/>
      <c r="N9" s="1774"/>
      <c r="O9" s="1774"/>
      <c r="P9" s="1774"/>
      <c r="Q9" s="1774"/>
    </row>
    <row r="10" spans="2:32" s="1763" customFormat="1" ht="15" customHeight="1" thickBot="1" x14ac:dyDescent="0.25">
      <c r="B10" s="2758" t="s">
        <v>4316</v>
      </c>
      <c r="C10" s="2758"/>
      <c r="D10" s="2758"/>
      <c r="E10" s="2758"/>
      <c r="F10" s="2758"/>
      <c r="G10" s="2758"/>
      <c r="H10" s="2758"/>
      <c r="I10" s="1781"/>
      <c r="J10" s="2758" t="s">
        <v>4317</v>
      </c>
      <c r="K10" s="2758"/>
      <c r="L10" s="2758"/>
      <c r="M10" s="2758"/>
      <c r="N10" s="2758"/>
      <c r="O10" s="2758"/>
      <c r="P10" s="2758"/>
      <c r="Q10" s="1774"/>
    </row>
    <row r="11" spans="2:32" s="1763" customFormat="1" ht="15" customHeight="1" x14ac:dyDescent="0.2">
      <c r="B11" s="1774"/>
      <c r="C11" s="1774"/>
      <c r="D11" s="1774"/>
      <c r="E11" s="1774"/>
      <c r="F11" s="1782" t="s">
        <v>1155</v>
      </c>
      <c r="G11" s="1774"/>
      <c r="H11" s="1774"/>
      <c r="I11" s="1782"/>
      <c r="J11" s="1774"/>
      <c r="K11" s="1774"/>
      <c r="L11" s="1774"/>
      <c r="M11" s="1774"/>
      <c r="N11" s="1782" t="s">
        <v>1064</v>
      </c>
      <c r="O11" s="1774"/>
      <c r="P11" s="1774"/>
      <c r="Q11" s="1774"/>
    </row>
    <row r="12" spans="2:32" s="1763" customFormat="1" ht="15" customHeight="1" x14ac:dyDescent="0.2">
      <c r="B12" s="1782" t="s">
        <v>4295</v>
      </c>
      <c r="C12" s="1774"/>
      <c r="D12" s="1782" t="s">
        <v>1157</v>
      </c>
      <c r="E12" s="1774"/>
      <c r="F12" s="1782" t="s">
        <v>684</v>
      </c>
      <c r="G12" s="1774"/>
      <c r="H12" s="1774"/>
      <c r="I12" s="1782"/>
      <c r="J12" s="1782" t="s">
        <v>4295</v>
      </c>
      <c r="K12" s="1774"/>
      <c r="L12" s="1782" t="s">
        <v>1157</v>
      </c>
      <c r="M12" s="1774"/>
      <c r="N12" s="1782" t="s">
        <v>684</v>
      </c>
      <c r="O12" s="1774"/>
      <c r="P12" s="1774"/>
      <c r="Q12" s="1774"/>
    </row>
    <row r="13" spans="2:32" s="1763" customFormat="1" ht="15" customHeight="1" thickBot="1" x14ac:dyDescent="0.25">
      <c r="B13" s="1784" t="s">
        <v>685</v>
      </c>
      <c r="C13" s="1782"/>
      <c r="D13" s="1784" t="s">
        <v>685</v>
      </c>
      <c r="E13" s="1782"/>
      <c r="F13" s="1784" t="s">
        <v>4299</v>
      </c>
      <c r="G13" s="1774"/>
      <c r="H13" s="1784" t="s">
        <v>1156</v>
      </c>
      <c r="I13" s="1782"/>
      <c r="J13" s="1784" t="s">
        <v>685</v>
      </c>
      <c r="K13" s="1782"/>
      <c r="L13" s="1784" t="s">
        <v>685</v>
      </c>
      <c r="M13" s="1782"/>
      <c r="N13" s="1784" t="s">
        <v>4302</v>
      </c>
      <c r="O13" s="1774"/>
      <c r="P13" s="1784" t="s">
        <v>1156</v>
      </c>
      <c r="Q13" s="1782" t="s">
        <v>973</v>
      </c>
    </row>
    <row r="14" spans="2:32" s="1763" customFormat="1" ht="15" customHeight="1" x14ac:dyDescent="0.2">
      <c r="B14" s="1881" t="s">
        <v>4453</v>
      </c>
      <c r="C14" s="1882"/>
      <c r="D14" s="1883">
        <v>1100</v>
      </c>
      <c r="E14" s="1882"/>
      <c r="F14" s="1883">
        <v>438101</v>
      </c>
      <c r="G14" s="1884"/>
      <c r="H14" s="1885">
        <v>200000</v>
      </c>
      <c r="I14" s="1886"/>
      <c r="J14" s="1887" t="s">
        <v>4454</v>
      </c>
      <c r="K14" s="1882"/>
      <c r="L14" s="1883">
        <v>1100</v>
      </c>
      <c r="M14" s="1882"/>
      <c r="N14" s="1883">
        <v>538101</v>
      </c>
      <c r="O14" s="1886"/>
      <c r="P14" s="1885">
        <v>200000</v>
      </c>
      <c r="Q14" s="552" t="str">
        <f>IF(AND(R14,X14,AD14,AE14),"","*")</f>
        <v/>
      </c>
      <c r="R14" s="1752" t="b">
        <f>IF(OR(S14=0,S14=4),TRUE, FALSE)</f>
        <v>1</v>
      </c>
      <c r="S14" s="1752">
        <f>COUNTIF(T14:W14,FALSE)</f>
        <v>4</v>
      </c>
      <c r="T14" s="1753" t="b">
        <f>ISBLANK(B14)</f>
        <v>0</v>
      </c>
      <c r="U14" s="1753" t="b">
        <f>ISBLANK(D14)</f>
        <v>0</v>
      </c>
      <c r="V14" s="1753" t="b">
        <f>ISBLANK(F14)</f>
        <v>0</v>
      </c>
      <c r="W14" s="1753" t="b">
        <f>ISBLANK(H14)</f>
        <v>0</v>
      </c>
      <c r="X14" s="1752" t="b">
        <f>IF(OR(Y14=0,Y14=4),TRUE, FALSE)</f>
        <v>1</v>
      </c>
      <c r="Y14" s="1752">
        <f>COUNTIF(Z14:AC14,FALSE)</f>
        <v>4</v>
      </c>
      <c r="Z14" s="1753" t="b">
        <f>ISBLANK(J14)</f>
        <v>0</v>
      </c>
      <c r="AA14" s="1753" t="b">
        <f>ISBLANK(L14)</f>
        <v>0</v>
      </c>
      <c r="AB14" s="1753" t="b">
        <f>ISBLANK(N14)</f>
        <v>0</v>
      </c>
      <c r="AC14" s="1753" t="b">
        <f>ISBLANK(P14)</f>
        <v>0</v>
      </c>
      <c r="AD14" s="1754" t="b">
        <f>IF(ISBLANK(F14),TRUE,VALUE(LEFT(F14,4))=4381)</f>
        <v>1</v>
      </c>
      <c r="AE14" s="1754" t="b">
        <f>IF(ISBLANK(N14),TRUE,VALUE(LEFT(N14,4))=5381)</f>
        <v>1</v>
      </c>
      <c r="AF14" s="1888" t="s">
        <v>4452</v>
      </c>
    </row>
    <row r="15" spans="2:32" s="1763" customFormat="1" ht="15" customHeight="1" x14ac:dyDescent="0.2">
      <c r="B15" s="1786"/>
      <c r="C15" s="1787"/>
      <c r="D15" s="1788"/>
      <c r="E15" s="1787"/>
      <c r="F15" s="1788"/>
      <c r="G15" s="1782"/>
      <c r="H15" s="1789"/>
      <c r="I15" s="1774"/>
      <c r="J15" s="1790"/>
      <c r="K15" s="1787"/>
      <c r="L15" s="1788"/>
      <c r="M15" s="1787"/>
      <c r="N15" s="1788"/>
      <c r="O15" s="1774"/>
      <c r="P15" s="1789"/>
      <c r="Q15" s="552" t="str">
        <f t="shared" ref="Q15:Q28" si="0">IF(AND(R15,X15,AD15,AE15),"","*")</f>
        <v/>
      </c>
      <c r="R15" s="1752" t="b">
        <f t="shared" ref="R15:R32" si="1">IF(OR(S15=0,S15=4),TRUE, FALSE)</f>
        <v>1</v>
      </c>
      <c r="S15" s="1752">
        <f t="shared" ref="S15:S28" si="2">COUNTIF(T15:W15,FALSE)</f>
        <v>0</v>
      </c>
      <c r="T15" s="1753" t="b">
        <f t="shared" ref="T15:T28" si="3">ISBLANK(B15)</f>
        <v>1</v>
      </c>
      <c r="U15" s="1753" t="b">
        <f t="shared" ref="U15:U28" si="4">ISBLANK(D15)</f>
        <v>1</v>
      </c>
      <c r="V15" s="1753" t="b">
        <f t="shared" ref="V15:V28" si="5">ISBLANK(F15)</f>
        <v>1</v>
      </c>
      <c r="W15" s="1753" t="b">
        <f t="shared" ref="W15:W28" si="6">ISBLANK(H15)</f>
        <v>1</v>
      </c>
      <c r="X15" s="1752" t="b">
        <f t="shared" ref="X15:X32" si="7">IF(OR(Y15=0,Y15=4),TRUE, FALSE)</f>
        <v>1</v>
      </c>
      <c r="Y15" s="1752">
        <f t="shared" ref="Y15:Y28" si="8">COUNTIF(Z15:AC15,FALSE)</f>
        <v>0</v>
      </c>
      <c r="Z15" s="1753" t="b">
        <f t="shared" ref="Z15:Z28" si="9">ISBLANK(J15)</f>
        <v>1</v>
      </c>
      <c r="AA15" s="1753" t="b">
        <f t="shared" ref="AA15:AA28" si="10">ISBLANK(L15)</f>
        <v>1</v>
      </c>
      <c r="AB15" s="1753" t="b">
        <f t="shared" ref="AB15:AB28" si="11">ISBLANK(N15)</f>
        <v>1</v>
      </c>
      <c r="AC15" s="1753" t="b">
        <f t="shared" ref="AC15:AC28" si="12">ISBLANK(P15)</f>
        <v>1</v>
      </c>
      <c r="AD15" s="1754" t="b">
        <f t="shared" ref="AD15:AD28" si="13">IF(ISBLANK(F15),TRUE,VALUE(LEFT(F15,4))=4381)</f>
        <v>1</v>
      </c>
      <c r="AE15" s="1754" t="b">
        <f t="shared" ref="AE15:AE28" si="14">IF(ISBLANK(N15),TRUE,VALUE(LEFT(N15,4))=5381)</f>
        <v>1</v>
      </c>
    </row>
    <row r="16" spans="2:32" s="1763" customFormat="1" ht="15" customHeight="1" x14ac:dyDescent="0.2">
      <c r="B16" s="1786"/>
      <c r="C16" s="1787"/>
      <c r="D16" s="1788"/>
      <c r="E16" s="1787"/>
      <c r="F16" s="1788"/>
      <c r="G16" s="1782"/>
      <c r="H16" s="1789"/>
      <c r="I16" s="1774"/>
      <c r="J16" s="1790"/>
      <c r="K16" s="1787"/>
      <c r="L16" s="1788"/>
      <c r="M16" s="1787"/>
      <c r="N16" s="1788"/>
      <c r="O16" s="1774"/>
      <c r="P16" s="1789"/>
      <c r="Q16" s="552" t="str">
        <f t="shared" si="0"/>
        <v/>
      </c>
      <c r="R16" s="1752" t="b">
        <f t="shared" si="1"/>
        <v>1</v>
      </c>
      <c r="S16" s="1752">
        <f t="shared" si="2"/>
        <v>0</v>
      </c>
      <c r="T16" s="1753" t="b">
        <f t="shared" si="3"/>
        <v>1</v>
      </c>
      <c r="U16" s="1753" t="b">
        <f t="shared" si="4"/>
        <v>1</v>
      </c>
      <c r="V16" s="1753" t="b">
        <f t="shared" si="5"/>
        <v>1</v>
      </c>
      <c r="W16" s="1753" t="b">
        <f t="shared" si="6"/>
        <v>1</v>
      </c>
      <c r="X16" s="1752" t="b">
        <f t="shared" si="7"/>
        <v>1</v>
      </c>
      <c r="Y16" s="1752">
        <f t="shared" si="8"/>
        <v>0</v>
      </c>
      <c r="Z16" s="1753" t="b">
        <f t="shared" si="9"/>
        <v>1</v>
      </c>
      <c r="AA16" s="1753" t="b">
        <f t="shared" si="10"/>
        <v>1</v>
      </c>
      <c r="AB16" s="1753" t="b">
        <f t="shared" si="11"/>
        <v>1</v>
      </c>
      <c r="AC16" s="1753" t="b">
        <f t="shared" si="12"/>
        <v>1</v>
      </c>
      <c r="AD16" s="1754" t="b">
        <f t="shared" si="13"/>
        <v>1</v>
      </c>
      <c r="AE16" s="1754" t="b">
        <f t="shared" si="14"/>
        <v>1</v>
      </c>
    </row>
    <row r="17" spans="2:31" s="1763" customFormat="1" ht="15" customHeight="1" x14ac:dyDescent="0.2">
      <c r="B17" s="1786"/>
      <c r="C17" s="1787"/>
      <c r="D17" s="1788"/>
      <c r="E17" s="1787"/>
      <c r="F17" s="1788"/>
      <c r="G17" s="1782"/>
      <c r="H17" s="1789"/>
      <c r="I17" s="1774"/>
      <c r="J17" s="1790"/>
      <c r="K17" s="1787"/>
      <c r="L17" s="1788"/>
      <c r="M17" s="1787"/>
      <c r="N17" s="1788"/>
      <c r="O17" s="1774"/>
      <c r="P17" s="1789"/>
      <c r="Q17" s="552" t="str">
        <f t="shared" si="0"/>
        <v/>
      </c>
      <c r="R17" s="1752" t="b">
        <f t="shared" si="1"/>
        <v>1</v>
      </c>
      <c r="S17" s="1752">
        <f t="shared" si="2"/>
        <v>0</v>
      </c>
      <c r="T17" s="1753" t="b">
        <f t="shared" si="3"/>
        <v>1</v>
      </c>
      <c r="U17" s="1753" t="b">
        <f t="shared" si="4"/>
        <v>1</v>
      </c>
      <c r="V17" s="1753" t="b">
        <f t="shared" si="5"/>
        <v>1</v>
      </c>
      <c r="W17" s="1753" t="b">
        <f t="shared" si="6"/>
        <v>1</v>
      </c>
      <c r="X17" s="1752" t="b">
        <f t="shared" si="7"/>
        <v>1</v>
      </c>
      <c r="Y17" s="1752">
        <f t="shared" si="8"/>
        <v>0</v>
      </c>
      <c r="Z17" s="1753" t="b">
        <f t="shared" si="9"/>
        <v>1</v>
      </c>
      <c r="AA17" s="1753" t="b">
        <f t="shared" si="10"/>
        <v>1</v>
      </c>
      <c r="AB17" s="1753" t="b">
        <f t="shared" si="11"/>
        <v>1</v>
      </c>
      <c r="AC17" s="1753" t="b">
        <f t="shared" si="12"/>
        <v>1</v>
      </c>
      <c r="AD17" s="1754" t="b">
        <f t="shared" si="13"/>
        <v>1</v>
      </c>
      <c r="AE17" s="1754" t="b">
        <f t="shared" si="14"/>
        <v>1</v>
      </c>
    </row>
    <row r="18" spans="2:31" s="1763" customFormat="1" ht="15" customHeight="1" x14ac:dyDescent="0.2">
      <c r="B18" s="1790"/>
      <c r="C18" s="1787"/>
      <c r="D18" s="1788"/>
      <c r="E18" s="1787"/>
      <c r="F18" s="1788"/>
      <c r="G18" s="1782"/>
      <c r="H18" s="1789"/>
      <c r="I18" s="1774"/>
      <c r="J18" s="1790"/>
      <c r="K18" s="1787"/>
      <c r="L18" s="1788"/>
      <c r="M18" s="1787"/>
      <c r="N18" s="1788"/>
      <c r="O18" s="1774"/>
      <c r="P18" s="1789"/>
      <c r="Q18" s="552" t="str">
        <f t="shared" si="0"/>
        <v/>
      </c>
      <c r="R18" s="1752" t="b">
        <f t="shared" si="1"/>
        <v>1</v>
      </c>
      <c r="S18" s="1752">
        <f t="shared" si="2"/>
        <v>0</v>
      </c>
      <c r="T18" s="1753" t="b">
        <f t="shared" si="3"/>
        <v>1</v>
      </c>
      <c r="U18" s="1753" t="b">
        <f t="shared" si="4"/>
        <v>1</v>
      </c>
      <c r="V18" s="1753" t="b">
        <f t="shared" si="5"/>
        <v>1</v>
      </c>
      <c r="W18" s="1753" t="b">
        <f t="shared" si="6"/>
        <v>1</v>
      </c>
      <c r="X18" s="1752" t="b">
        <f t="shared" si="7"/>
        <v>1</v>
      </c>
      <c r="Y18" s="1752">
        <f t="shared" si="8"/>
        <v>0</v>
      </c>
      <c r="Z18" s="1753" t="b">
        <f t="shared" si="9"/>
        <v>1</v>
      </c>
      <c r="AA18" s="1753" t="b">
        <f t="shared" si="10"/>
        <v>1</v>
      </c>
      <c r="AB18" s="1753" t="b">
        <f t="shared" si="11"/>
        <v>1</v>
      </c>
      <c r="AC18" s="1753" t="b">
        <f t="shared" si="12"/>
        <v>1</v>
      </c>
      <c r="AD18" s="1754" t="b">
        <f t="shared" si="13"/>
        <v>1</v>
      </c>
      <c r="AE18" s="1754" t="b">
        <f t="shared" si="14"/>
        <v>1</v>
      </c>
    </row>
    <row r="19" spans="2:31" s="1763" customFormat="1" ht="15" customHeight="1" x14ac:dyDescent="0.2">
      <c r="B19" s="1786"/>
      <c r="C19" s="1787"/>
      <c r="D19" s="1788"/>
      <c r="E19" s="1787"/>
      <c r="F19" s="1788"/>
      <c r="G19" s="1782"/>
      <c r="H19" s="1789"/>
      <c r="I19" s="1774"/>
      <c r="J19" s="1790"/>
      <c r="K19" s="1787"/>
      <c r="L19" s="1788"/>
      <c r="M19" s="1787"/>
      <c r="N19" s="1788"/>
      <c r="O19" s="1774"/>
      <c r="P19" s="1789"/>
      <c r="Q19" s="552" t="str">
        <f t="shared" si="0"/>
        <v/>
      </c>
      <c r="R19" s="1752" t="b">
        <f t="shared" si="1"/>
        <v>1</v>
      </c>
      <c r="S19" s="1752">
        <f t="shared" si="2"/>
        <v>0</v>
      </c>
      <c r="T19" s="1753" t="b">
        <f t="shared" si="3"/>
        <v>1</v>
      </c>
      <c r="U19" s="1753" t="b">
        <f t="shared" si="4"/>
        <v>1</v>
      </c>
      <c r="V19" s="1753" t="b">
        <f t="shared" si="5"/>
        <v>1</v>
      </c>
      <c r="W19" s="1753" t="b">
        <f t="shared" si="6"/>
        <v>1</v>
      </c>
      <c r="X19" s="1752" t="b">
        <f t="shared" si="7"/>
        <v>1</v>
      </c>
      <c r="Y19" s="1752">
        <f t="shared" si="8"/>
        <v>0</v>
      </c>
      <c r="Z19" s="1753" t="b">
        <f t="shared" si="9"/>
        <v>1</v>
      </c>
      <c r="AA19" s="1753" t="b">
        <f t="shared" si="10"/>
        <v>1</v>
      </c>
      <c r="AB19" s="1753" t="b">
        <f t="shared" si="11"/>
        <v>1</v>
      </c>
      <c r="AC19" s="1753" t="b">
        <f t="shared" si="12"/>
        <v>1</v>
      </c>
      <c r="AD19" s="1754" t="b">
        <f t="shared" si="13"/>
        <v>1</v>
      </c>
      <c r="AE19" s="1754" t="b">
        <f t="shared" si="14"/>
        <v>1</v>
      </c>
    </row>
    <row r="20" spans="2:31" s="1763" customFormat="1" ht="15" customHeight="1" x14ac:dyDescent="0.2">
      <c r="B20" s="1786"/>
      <c r="C20" s="1787"/>
      <c r="D20" s="1788"/>
      <c r="E20" s="1787"/>
      <c r="F20" s="1788"/>
      <c r="G20" s="1782"/>
      <c r="H20" s="1789"/>
      <c r="I20" s="1774"/>
      <c r="J20" s="1790"/>
      <c r="K20" s="1787"/>
      <c r="L20" s="1788"/>
      <c r="M20" s="1787"/>
      <c r="N20" s="1788"/>
      <c r="O20" s="1774"/>
      <c r="P20" s="1789"/>
      <c r="Q20" s="552" t="str">
        <f t="shared" si="0"/>
        <v/>
      </c>
      <c r="R20" s="1752" t="b">
        <f t="shared" si="1"/>
        <v>1</v>
      </c>
      <c r="S20" s="1752">
        <f t="shared" si="2"/>
        <v>0</v>
      </c>
      <c r="T20" s="1753" t="b">
        <f t="shared" si="3"/>
        <v>1</v>
      </c>
      <c r="U20" s="1753" t="b">
        <f t="shared" si="4"/>
        <v>1</v>
      </c>
      <c r="V20" s="1753" t="b">
        <f t="shared" si="5"/>
        <v>1</v>
      </c>
      <c r="W20" s="1753" t="b">
        <f t="shared" si="6"/>
        <v>1</v>
      </c>
      <c r="X20" s="1752" t="b">
        <f t="shared" si="7"/>
        <v>1</v>
      </c>
      <c r="Y20" s="1752">
        <f t="shared" si="8"/>
        <v>0</v>
      </c>
      <c r="Z20" s="1753" t="b">
        <f t="shared" si="9"/>
        <v>1</v>
      </c>
      <c r="AA20" s="1753" t="b">
        <f t="shared" si="10"/>
        <v>1</v>
      </c>
      <c r="AB20" s="1753" t="b">
        <f t="shared" si="11"/>
        <v>1</v>
      </c>
      <c r="AC20" s="1753" t="b">
        <f t="shared" si="12"/>
        <v>1</v>
      </c>
      <c r="AD20" s="1754" t="b">
        <f t="shared" si="13"/>
        <v>1</v>
      </c>
      <c r="AE20" s="1754" t="b">
        <f t="shared" si="14"/>
        <v>1</v>
      </c>
    </row>
    <row r="21" spans="2:31" s="1763" customFormat="1" ht="15" customHeight="1" x14ac:dyDescent="0.2">
      <c r="B21" s="1786"/>
      <c r="C21" s="1787"/>
      <c r="D21" s="1788"/>
      <c r="E21" s="1787"/>
      <c r="F21" s="1788"/>
      <c r="G21" s="1782"/>
      <c r="H21" s="1789"/>
      <c r="I21" s="1774"/>
      <c r="J21" s="1790"/>
      <c r="K21" s="1787"/>
      <c r="L21" s="1788"/>
      <c r="M21" s="1787"/>
      <c r="N21" s="1788"/>
      <c r="O21" s="1774"/>
      <c r="P21" s="1789"/>
      <c r="Q21" s="552" t="str">
        <f t="shared" si="0"/>
        <v/>
      </c>
      <c r="R21" s="1752" t="b">
        <f t="shared" si="1"/>
        <v>1</v>
      </c>
      <c r="S21" s="1752">
        <f t="shared" si="2"/>
        <v>0</v>
      </c>
      <c r="T21" s="1753" t="b">
        <f t="shared" si="3"/>
        <v>1</v>
      </c>
      <c r="U21" s="1753" t="b">
        <f t="shared" si="4"/>
        <v>1</v>
      </c>
      <c r="V21" s="1753" t="b">
        <f t="shared" si="5"/>
        <v>1</v>
      </c>
      <c r="W21" s="1753" t="b">
        <f t="shared" si="6"/>
        <v>1</v>
      </c>
      <c r="X21" s="1752" t="b">
        <f t="shared" si="7"/>
        <v>1</v>
      </c>
      <c r="Y21" s="1752">
        <f t="shared" si="8"/>
        <v>0</v>
      </c>
      <c r="Z21" s="1753" t="b">
        <f t="shared" si="9"/>
        <v>1</v>
      </c>
      <c r="AA21" s="1753" t="b">
        <f t="shared" si="10"/>
        <v>1</v>
      </c>
      <c r="AB21" s="1753" t="b">
        <f t="shared" si="11"/>
        <v>1</v>
      </c>
      <c r="AC21" s="1753" t="b">
        <f t="shared" si="12"/>
        <v>1</v>
      </c>
      <c r="AD21" s="1754" t="b">
        <f t="shared" si="13"/>
        <v>1</v>
      </c>
      <c r="AE21" s="1754" t="b">
        <f t="shared" si="14"/>
        <v>1</v>
      </c>
    </row>
    <row r="22" spans="2:31" s="1763" customFormat="1" ht="15" customHeight="1" x14ac:dyDescent="0.2">
      <c r="B22" s="1786"/>
      <c r="C22" s="1787"/>
      <c r="D22" s="1788"/>
      <c r="E22" s="1787"/>
      <c r="F22" s="1788"/>
      <c r="G22" s="1782"/>
      <c r="H22" s="1789"/>
      <c r="I22" s="1774"/>
      <c r="J22" s="1790"/>
      <c r="K22" s="1787"/>
      <c r="L22" s="1788"/>
      <c r="M22" s="1787"/>
      <c r="N22" s="1788"/>
      <c r="O22" s="1774"/>
      <c r="P22" s="1789"/>
      <c r="Q22" s="552" t="str">
        <f t="shared" si="0"/>
        <v/>
      </c>
      <c r="R22" s="1752" t="b">
        <f t="shared" si="1"/>
        <v>1</v>
      </c>
      <c r="S22" s="1752">
        <f t="shared" si="2"/>
        <v>0</v>
      </c>
      <c r="T22" s="1753" t="b">
        <f t="shared" si="3"/>
        <v>1</v>
      </c>
      <c r="U22" s="1753" t="b">
        <f t="shared" si="4"/>
        <v>1</v>
      </c>
      <c r="V22" s="1753" t="b">
        <f t="shared" si="5"/>
        <v>1</v>
      </c>
      <c r="W22" s="1753" t="b">
        <f t="shared" si="6"/>
        <v>1</v>
      </c>
      <c r="X22" s="1752" t="b">
        <f t="shared" si="7"/>
        <v>1</v>
      </c>
      <c r="Y22" s="1752">
        <f t="shared" si="8"/>
        <v>0</v>
      </c>
      <c r="Z22" s="1753" t="b">
        <f t="shared" si="9"/>
        <v>1</v>
      </c>
      <c r="AA22" s="1753" t="b">
        <f t="shared" si="10"/>
        <v>1</v>
      </c>
      <c r="AB22" s="1753" t="b">
        <f t="shared" si="11"/>
        <v>1</v>
      </c>
      <c r="AC22" s="1753" t="b">
        <f t="shared" si="12"/>
        <v>1</v>
      </c>
      <c r="AD22" s="1754" t="b">
        <f t="shared" si="13"/>
        <v>1</v>
      </c>
      <c r="AE22" s="1754" t="b">
        <f t="shared" si="14"/>
        <v>1</v>
      </c>
    </row>
    <row r="23" spans="2:31" s="1763" customFormat="1" ht="15" customHeight="1" x14ac:dyDescent="0.2">
      <c r="B23" s="1786"/>
      <c r="C23" s="1787"/>
      <c r="D23" s="1788"/>
      <c r="E23" s="1787"/>
      <c r="F23" s="1788"/>
      <c r="G23" s="1782"/>
      <c r="H23" s="1789"/>
      <c r="I23" s="1774"/>
      <c r="J23" s="1790"/>
      <c r="K23" s="1787"/>
      <c r="L23" s="1788"/>
      <c r="M23" s="1787"/>
      <c r="N23" s="1788"/>
      <c r="O23" s="1774"/>
      <c r="P23" s="1789"/>
      <c r="Q23" s="552" t="str">
        <f t="shared" si="0"/>
        <v/>
      </c>
      <c r="R23" s="1752" t="b">
        <f t="shared" si="1"/>
        <v>1</v>
      </c>
      <c r="S23" s="1752">
        <f t="shared" si="2"/>
        <v>0</v>
      </c>
      <c r="T23" s="1753" t="b">
        <f t="shared" si="3"/>
        <v>1</v>
      </c>
      <c r="U23" s="1753" t="b">
        <f t="shared" si="4"/>
        <v>1</v>
      </c>
      <c r="V23" s="1753" t="b">
        <f t="shared" si="5"/>
        <v>1</v>
      </c>
      <c r="W23" s="1753" t="b">
        <f t="shared" si="6"/>
        <v>1</v>
      </c>
      <c r="X23" s="1752" t="b">
        <f t="shared" si="7"/>
        <v>1</v>
      </c>
      <c r="Y23" s="1752">
        <f t="shared" si="8"/>
        <v>0</v>
      </c>
      <c r="Z23" s="1753" t="b">
        <f t="shared" si="9"/>
        <v>1</v>
      </c>
      <c r="AA23" s="1753" t="b">
        <f t="shared" si="10"/>
        <v>1</v>
      </c>
      <c r="AB23" s="1753" t="b">
        <f t="shared" si="11"/>
        <v>1</v>
      </c>
      <c r="AC23" s="1753" t="b">
        <f t="shared" si="12"/>
        <v>1</v>
      </c>
      <c r="AD23" s="1754" t="b">
        <f t="shared" si="13"/>
        <v>1</v>
      </c>
      <c r="AE23" s="1754" t="b">
        <f t="shared" si="14"/>
        <v>1</v>
      </c>
    </row>
    <row r="24" spans="2:31" s="1763" customFormat="1" ht="15" customHeight="1" x14ac:dyDescent="0.2">
      <c r="B24" s="1786"/>
      <c r="C24" s="1787"/>
      <c r="D24" s="1788"/>
      <c r="E24" s="1787"/>
      <c r="F24" s="1788"/>
      <c r="G24" s="1782"/>
      <c r="H24" s="1789"/>
      <c r="I24" s="1774"/>
      <c r="J24" s="1790"/>
      <c r="K24" s="1787"/>
      <c r="L24" s="1788"/>
      <c r="M24" s="1787"/>
      <c r="N24" s="1788"/>
      <c r="O24" s="1774"/>
      <c r="P24" s="1789"/>
      <c r="Q24" s="552" t="str">
        <f t="shared" si="0"/>
        <v/>
      </c>
      <c r="R24" s="1752" t="b">
        <f t="shared" si="1"/>
        <v>1</v>
      </c>
      <c r="S24" s="1752">
        <f t="shared" si="2"/>
        <v>0</v>
      </c>
      <c r="T24" s="1753" t="b">
        <f t="shared" si="3"/>
        <v>1</v>
      </c>
      <c r="U24" s="1753" t="b">
        <f t="shared" si="4"/>
        <v>1</v>
      </c>
      <c r="V24" s="1753" t="b">
        <f t="shared" si="5"/>
        <v>1</v>
      </c>
      <c r="W24" s="1753" t="b">
        <f t="shared" si="6"/>
        <v>1</v>
      </c>
      <c r="X24" s="1752" t="b">
        <f t="shared" si="7"/>
        <v>1</v>
      </c>
      <c r="Y24" s="1752">
        <f t="shared" si="8"/>
        <v>0</v>
      </c>
      <c r="Z24" s="1753" t="b">
        <f t="shared" si="9"/>
        <v>1</v>
      </c>
      <c r="AA24" s="1753" t="b">
        <f t="shared" si="10"/>
        <v>1</v>
      </c>
      <c r="AB24" s="1753" t="b">
        <f t="shared" si="11"/>
        <v>1</v>
      </c>
      <c r="AC24" s="1753" t="b">
        <f t="shared" si="12"/>
        <v>1</v>
      </c>
      <c r="AD24" s="1754" t="b">
        <f t="shared" si="13"/>
        <v>1</v>
      </c>
      <c r="AE24" s="1754" t="b">
        <f t="shared" si="14"/>
        <v>1</v>
      </c>
    </row>
    <row r="25" spans="2:31" s="1763" customFormat="1" ht="15" customHeight="1" x14ac:dyDescent="0.2">
      <c r="B25" s="1786"/>
      <c r="C25" s="1787"/>
      <c r="D25" s="1788"/>
      <c r="E25" s="1787"/>
      <c r="F25" s="1788"/>
      <c r="G25" s="1782"/>
      <c r="H25" s="1789"/>
      <c r="I25" s="1774"/>
      <c r="J25" s="1790"/>
      <c r="K25" s="1787"/>
      <c r="L25" s="1788"/>
      <c r="M25" s="1787"/>
      <c r="N25" s="1788"/>
      <c r="O25" s="1774"/>
      <c r="P25" s="1789"/>
      <c r="Q25" s="552" t="str">
        <f t="shared" si="0"/>
        <v/>
      </c>
      <c r="R25" s="1752" t="b">
        <f t="shared" si="1"/>
        <v>1</v>
      </c>
      <c r="S25" s="1752">
        <f t="shared" si="2"/>
        <v>0</v>
      </c>
      <c r="T25" s="1753" t="b">
        <f t="shared" si="3"/>
        <v>1</v>
      </c>
      <c r="U25" s="1753" t="b">
        <f t="shared" si="4"/>
        <v>1</v>
      </c>
      <c r="V25" s="1753" t="b">
        <f t="shared" si="5"/>
        <v>1</v>
      </c>
      <c r="W25" s="1753" t="b">
        <f t="shared" si="6"/>
        <v>1</v>
      </c>
      <c r="X25" s="1752" t="b">
        <f t="shared" si="7"/>
        <v>1</v>
      </c>
      <c r="Y25" s="1752">
        <f t="shared" si="8"/>
        <v>0</v>
      </c>
      <c r="Z25" s="1753" t="b">
        <f t="shared" si="9"/>
        <v>1</v>
      </c>
      <c r="AA25" s="1753" t="b">
        <f t="shared" si="10"/>
        <v>1</v>
      </c>
      <c r="AB25" s="1753" t="b">
        <f t="shared" si="11"/>
        <v>1</v>
      </c>
      <c r="AC25" s="1753" t="b">
        <f t="shared" si="12"/>
        <v>1</v>
      </c>
      <c r="AD25" s="1754" t="b">
        <f t="shared" si="13"/>
        <v>1</v>
      </c>
      <c r="AE25" s="1754" t="b">
        <f t="shared" si="14"/>
        <v>1</v>
      </c>
    </row>
    <row r="26" spans="2:31" s="1763" customFormat="1" ht="15" customHeight="1" x14ac:dyDescent="0.2">
      <c r="B26" s="1786"/>
      <c r="C26" s="1787"/>
      <c r="D26" s="1788"/>
      <c r="E26" s="1787"/>
      <c r="F26" s="1788"/>
      <c r="G26" s="1782"/>
      <c r="H26" s="1789"/>
      <c r="I26" s="1774"/>
      <c r="J26" s="1790"/>
      <c r="K26" s="1787"/>
      <c r="L26" s="1788"/>
      <c r="M26" s="1787"/>
      <c r="N26" s="1788"/>
      <c r="O26" s="1774"/>
      <c r="P26" s="1789"/>
      <c r="Q26" s="552" t="str">
        <f t="shared" si="0"/>
        <v/>
      </c>
      <c r="R26" s="1752" t="b">
        <f t="shared" si="1"/>
        <v>1</v>
      </c>
      <c r="S26" s="1752">
        <f t="shared" si="2"/>
        <v>0</v>
      </c>
      <c r="T26" s="1753" t="b">
        <f t="shared" si="3"/>
        <v>1</v>
      </c>
      <c r="U26" s="1753" t="b">
        <f t="shared" si="4"/>
        <v>1</v>
      </c>
      <c r="V26" s="1753" t="b">
        <f t="shared" si="5"/>
        <v>1</v>
      </c>
      <c r="W26" s="1753" t="b">
        <f t="shared" si="6"/>
        <v>1</v>
      </c>
      <c r="X26" s="1752" t="b">
        <f t="shared" si="7"/>
        <v>1</v>
      </c>
      <c r="Y26" s="1752">
        <f t="shared" si="8"/>
        <v>0</v>
      </c>
      <c r="Z26" s="1753" t="b">
        <f t="shared" si="9"/>
        <v>1</v>
      </c>
      <c r="AA26" s="1753" t="b">
        <f t="shared" si="10"/>
        <v>1</v>
      </c>
      <c r="AB26" s="1753" t="b">
        <f t="shared" si="11"/>
        <v>1</v>
      </c>
      <c r="AC26" s="1753" t="b">
        <f t="shared" si="12"/>
        <v>1</v>
      </c>
      <c r="AD26" s="1754" t="b">
        <f t="shared" si="13"/>
        <v>1</v>
      </c>
      <c r="AE26" s="1754" t="b">
        <f t="shared" si="14"/>
        <v>1</v>
      </c>
    </row>
    <row r="27" spans="2:31" s="1763" customFormat="1" ht="15" customHeight="1" x14ac:dyDescent="0.2">
      <c r="B27" s="1786"/>
      <c r="C27" s="1787"/>
      <c r="D27" s="1788"/>
      <c r="E27" s="1787"/>
      <c r="F27" s="1788"/>
      <c r="G27" s="1782"/>
      <c r="H27" s="1789"/>
      <c r="I27" s="1774"/>
      <c r="J27" s="1790"/>
      <c r="K27" s="1787"/>
      <c r="L27" s="1788"/>
      <c r="M27" s="1787"/>
      <c r="N27" s="1788"/>
      <c r="O27" s="1774"/>
      <c r="P27" s="1789"/>
      <c r="Q27" s="552" t="str">
        <f t="shared" si="0"/>
        <v/>
      </c>
      <c r="R27" s="1752" t="b">
        <f t="shared" si="1"/>
        <v>1</v>
      </c>
      <c r="S27" s="1752">
        <f t="shared" si="2"/>
        <v>0</v>
      </c>
      <c r="T27" s="1753" t="b">
        <f t="shared" si="3"/>
        <v>1</v>
      </c>
      <c r="U27" s="1753" t="b">
        <f t="shared" si="4"/>
        <v>1</v>
      </c>
      <c r="V27" s="1753" t="b">
        <f t="shared" si="5"/>
        <v>1</v>
      </c>
      <c r="W27" s="1753" t="b">
        <f t="shared" si="6"/>
        <v>1</v>
      </c>
      <c r="X27" s="1752" t="b">
        <f t="shared" si="7"/>
        <v>1</v>
      </c>
      <c r="Y27" s="1752">
        <f t="shared" si="8"/>
        <v>0</v>
      </c>
      <c r="Z27" s="1753" t="b">
        <f t="shared" si="9"/>
        <v>1</v>
      </c>
      <c r="AA27" s="1753" t="b">
        <f t="shared" si="10"/>
        <v>1</v>
      </c>
      <c r="AB27" s="1753" t="b">
        <f t="shared" si="11"/>
        <v>1</v>
      </c>
      <c r="AC27" s="1753" t="b">
        <f t="shared" si="12"/>
        <v>1</v>
      </c>
      <c r="AD27" s="1754" t="b">
        <f t="shared" si="13"/>
        <v>1</v>
      </c>
      <c r="AE27" s="1754" t="b">
        <f t="shared" si="14"/>
        <v>1</v>
      </c>
    </row>
    <row r="28" spans="2:31" s="1763" customFormat="1" ht="15" customHeight="1" x14ac:dyDescent="0.2">
      <c r="B28" s="1786"/>
      <c r="C28" s="1787"/>
      <c r="D28" s="1788"/>
      <c r="E28" s="1787"/>
      <c r="F28" s="1788"/>
      <c r="G28" s="1782"/>
      <c r="H28" s="1789"/>
      <c r="I28" s="1774"/>
      <c r="J28" s="1790"/>
      <c r="K28" s="1787"/>
      <c r="L28" s="1788"/>
      <c r="M28" s="1787"/>
      <c r="N28" s="1788"/>
      <c r="O28" s="1774"/>
      <c r="P28" s="1789"/>
      <c r="Q28" s="552" t="str">
        <f t="shared" si="0"/>
        <v/>
      </c>
      <c r="R28" s="1752" t="b">
        <f t="shared" si="1"/>
        <v>1</v>
      </c>
      <c r="S28" s="1752">
        <f t="shared" si="2"/>
        <v>0</v>
      </c>
      <c r="T28" s="1753" t="b">
        <f t="shared" si="3"/>
        <v>1</v>
      </c>
      <c r="U28" s="1753" t="b">
        <f t="shared" si="4"/>
        <v>1</v>
      </c>
      <c r="V28" s="1753" t="b">
        <f t="shared" si="5"/>
        <v>1</v>
      </c>
      <c r="W28" s="1753" t="b">
        <f t="shared" si="6"/>
        <v>1</v>
      </c>
      <c r="X28" s="1752" t="b">
        <f t="shared" si="7"/>
        <v>1</v>
      </c>
      <c r="Y28" s="1752">
        <f t="shared" si="8"/>
        <v>0</v>
      </c>
      <c r="Z28" s="1753" t="b">
        <f t="shared" si="9"/>
        <v>1</v>
      </c>
      <c r="AA28" s="1753" t="b">
        <f t="shared" si="10"/>
        <v>1</v>
      </c>
      <c r="AB28" s="1753" t="b">
        <f t="shared" si="11"/>
        <v>1</v>
      </c>
      <c r="AC28" s="1753" t="b">
        <f t="shared" si="12"/>
        <v>1</v>
      </c>
      <c r="AD28" s="1754" t="b">
        <f t="shared" si="13"/>
        <v>1</v>
      </c>
      <c r="AE28" s="1754" t="b">
        <f t="shared" si="14"/>
        <v>1</v>
      </c>
    </row>
    <row r="29" spans="2:31" s="1763" customFormat="1" ht="15" customHeight="1" x14ac:dyDescent="0.2">
      <c r="B29" s="1786"/>
      <c r="C29" s="1787"/>
      <c r="D29" s="1788"/>
      <c r="E29" s="1787"/>
      <c r="F29" s="1788"/>
      <c r="G29" s="1782"/>
      <c r="H29" s="1789"/>
      <c r="I29" s="1774"/>
      <c r="J29" s="1790"/>
      <c r="K29" s="1787"/>
      <c r="L29" s="1788"/>
      <c r="M29" s="1787"/>
      <c r="N29" s="1788"/>
      <c r="O29" s="1774"/>
      <c r="P29" s="1789"/>
      <c r="Q29" s="552" t="str">
        <f>IF(AND(R29,X29,AD29,AE29),"","*")</f>
        <v/>
      </c>
      <c r="R29" s="1752" t="b">
        <f t="shared" si="1"/>
        <v>1</v>
      </c>
      <c r="S29" s="1752">
        <f>COUNTIF(T29:W29,FALSE)</f>
        <v>0</v>
      </c>
      <c r="T29" s="1753" t="b">
        <f>ISBLANK(B29)</f>
        <v>1</v>
      </c>
      <c r="U29" s="1753" t="b">
        <f>ISBLANK(D29)</f>
        <v>1</v>
      </c>
      <c r="V29" s="1753" t="b">
        <f>ISBLANK(F29)</f>
        <v>1</v>
      </c>
      <c r="W29" s="1753" t="b">
        <f>ISBLANK(H29)</f>
        <v>1</v>
      </c>
      <c r="X29" s="1752" t="b">
        <f t="shared" si="7"/>
        <v>1</v>
      </c>
      <c r="Y29" s="1752">
        <f>COUNTIF(Z29:AC29,FALSE)</f>
        <v>0</v>
      </c>
      <c r="Z29" s="1753" t="b">
        <f>ISBLANK(J29)</f>
        <v>1</v>
      </c>
      <c r="AA29" s="1753" t="b">
        <f>ISBLANK(L29)</f>
        <v>1</v>
      </c>
      <c r="AB29" s="1753" t="b">
        <f>ISBLANK(N29)</f>
        <v>1</v>
      </c>
      <c r="AC29" s="1753" t="b">
        <f>ISBLANK(P29)</f>
        <v>1</v>
      </c>
      <c r="AD29" s="1754" t="b">
        <f>IF(ISBLANK(F29),TRUE,VALUE(LEFT(F29,4))=4381)</f>
        <v>1</v>
      </c>
      <c r="AE29" s="1754" t="b">
        <f>IF(ISBLANK(N29),TRUE,VALUE(LEFT(N29,4))=5381)</f>
        <v>1</v>
      </c>
    </row>
    <row r="30" spans="2:31" s="1763" customFormat="1" ht="15" customHeight="1" x14ac:dyDescent="0.2">
      <c r="B30" s="1786"/>
      <c r="C30" s="1787"/>
      <c r="D30" s="1788"/>
      <c r="E30" s="1787"/>
      <c r="F30" s="1788"/>
      <c r="G30" s="1782"/>
      <c r="H30" s="1789"/>
      <c r="I30" s="1774"/>
      <c r="J30" s="1790"/>
      <c r="K30" s="1787"/>
      <c r="L30" s="1788"/>
      <c r="M30" s="1787"/>
      <c r="N30" s="1788"/>
      <c r="O30" s="1774"/>
      <c r="P30" s="1789"/>
      <c r="Q30" s="552" t="str">
        <f>IF(AND(R30,X30,AD30,AE30),"","*")</f>
        <v/>
      </c>
      <c r="R30" s="1752" t="b">
        <f t="shared" si="1"/>
        <v>1</v>
      </c>
      <c r="S30" s="1752">
        <f>COUNTIF(T30:W30,FALSE)</f>
        <v>0</v>
      </c>
      <c r="T30" s="1753" t="b">
        <f>ISBLANK(B30)</f>
        <v>1</v>
      </c>
      <c r="U30" s="1753" t="b">
        <f>ISBLANK(D30)</f>
        <v>1</v>
      </c>
      <c r="V30" s="1753" t="b">
        <f>ISBLANK(F30)</f>
        <v>1</v>
      </c>
      <c r="W30" s="1753" t="b">
        <f>ISBLANK(H30)</f>
        <v>1</v>
      </c>
      <c r="X30" s="1752" t="b">
        <f t="shared" si="7"/>
        <v>1</v>
      </c>
      <c r="Y30" s="1752">
        <f>COUNTIF(Z30:AC30,FALSE)</f>
        <v>0</v>
      </c>
      <c r="Z30" s="1753" t="b">
        <f>ISBLANK(J30)</f>
        <v>1</v>
      </c>
      <c r="AA30" s="1753" t="b">
        <f>ISBLANK(L30)</f>
        <v>1</v>
      </c>
      <c r="AB30" s="1753" t="b">
        <f>ISBLANK(N30)</f>
        <v>1</v>
      </c>
      <c r="AC30" s="1753" t="b">
        <f>ISBLANK(P30)</f>
        <v>1</v>
      </c>
      <c r="AD30" s="1754" t="b">
        <f>IF(ISBLANK(F30),TRUE,VALUE(LEFT(F30,4))=4381)</f>
        <v>1</v>
      </c>
      <c r="AE30" s="1754" t="b">
        <f>IF(ISBLANK(N30),TRUE,VALUE(LEFT(N30,4))=5381)</f>
        <v>1</v>
      </c>
    </row>
    <row r="31" spans="2:31" s="1763" customFormat="1" ht="15" customHeight="1" x14ac:dyDescent="0.2">
      <c r="B31" s="1786"/>
      <c r="C31" s="1787"/>
      <c r="D31" s="1788"/>
      <c r="E31" s="1787"/>
      <c r="F31" s="1788"/>
      <c r="G31" s="1782"/>
      <c r="H31" s="1789"/>
      <c r="I31" s="1774"/>
      <c r="J31" s="1790"/>
      <c r="K31" s="1787"/>
      <c r="L31" s="1788"/>
      <c r="M31" s="1787"/>
      <c r="N31" s="1788"/>
      <c r="O31" s="1774"/>
      <c r="P31" s="1789"/>
      <c r="Q31" s="552" t="str">
        <f>IF(AND(R31,X31,AD31,AE31),"","*")</f>
        <v/>
      </c>
      <c r="R31" s="1752" t="b">
        <f t="shared" si="1"/>
        <v>1</v>
      </c>
      <c r="S31" s="1752">
        <f>COUNTIF(T31:W31,FALSE)</f>
        <v>0</v>
      </c>
      <c r="T31" s="1753" t="b">
        <f>ISBLANK(B31)</f>
        <v>1</v>
      </c>
      <c r="U31" s="1753" t="b">
        <f>ISBLANK(D31)</f>
        <v>1</v>
      </c>
      <c r="V31" s="1753" t="b">
        <f>ISBLANK(F31)</f>
        <v>1</v>
      </c>
      <c r="W31" s="1753" t="b">
        <f>ISBLANK(H31)</f>
        <v>1</v>
      </c>
      <c r="X31" s="1752" t="b">
        <f t="shared" si="7"/>
        <v>1</v>
      </c>
      <c r="Y31" s="1752">
        <f>COUNTIF(Z31:AC31,FALSE)</f>
        <v>0</v>
      </c>
      <c r="Z31" s="1753" t="b">
        <f>ISBLANK(J31)</f>
        <v>1</v>
      </c>
      <c r="AA31" s="1753" t="b">
        <f>ISBLANK(L31)</f>
        <v>1</v>
      </c>
      <c r="AB31" s="1753" t="b">
        <f>ISBLANK(N31)</f>
        <v>1</v>
      </c>
      <c r="AC31" s="1753" t="b">
        <f>ISBLANK(P31)</f>
        <v>1</v>
      </c>
      <c r="AD31" s="1754" t="b">
        <f>IF(ISBLANK(F31),TRUE,VALUE(LEFT(F31,4))=4381)</f>
        <v>1</v>
      </c>
      <c r="AE31" s="1754" t="b">
        <f>IF(ISBLANK(N31),TRUE,VALUE(LEFT(N31,4))=5381)</f>
        <v>1</v>
      </c>
    </row>
    <row r="32" spans="2:31" s="1763" customFormat="1" ht="15" customHeight="1" x14ac:dyDescent="0.2">
      <c r="B32" s="1786"/>
      <c r="C32" s="1787"/>
      <c r="D32" s="1788"/>
      <c r="E32" s="1787"/>
      <c r="F32" s="1788"/>
      <c r="G32" s="1782"/>
      <c r="H32" s="1789"/>
      <c r="I32" s="1774"/>
      <c r="J32" s="1790"/>
      <c r="K32" s="1787"/>
      <c r="L32" s="1788"/>
      <c r="M32" s="1787"/>
      <c r="N32" s="1788"/>
      <c r="O32" s="1774"/>
      <c r="P32" s="1789"/>
      <c r="Q32" s="552" t="str">
        <f>IF(AND(R32,X32,AD32,AE32),"","*")</f>
        <v/>
      </c>
      <c r="R32" s="1752" t="b">
        <f t="shared" si="1"/>
        <v>1</v>
      </c>
      <c r="S32" s="1752">
        <f>COUNTIF(T32:W32,FALSE)</f>
        <v>0</v>
      </c>
      <c r="T32" s="1753" t="b">
        <f>ISBLANK(B32)</f>
        <v>1</v>
      </c>
      <c r="U32" s="1753" t="b">
        <f>ISBLANK(D32)</f>
        <v>1</v>
      </c>
      <c r="V32" s="1753" t="b">
        <f>ISBLANK(F32)</f>
        <v>1</v>
      </c>
      <c r="W32" s="1753" t="b">
        <f>ISBLANK(H32)</f>
        <v>1</v>
      </c>
      <c r="X32" s="1752" t="b">
        <f t="shared" si="7"/>
        <v>1</v>
      </c>
      <c r="Y32" s="1752">
        <f>COUNTIF(Z32:AC32,FALSE)</f>
        <v>0</v>
      </c>
      <c r="Z32" s="1753" t="b">
        <f>ISBLANK(J32)</f>
        <v>1</v>
      </c>
      <c r="AA32" s="1753" t="b">
        <f>ISBLANK(L32)</f>
        <v>1</v>
      </c>
      <c r="AB32" s="1753" t="b">
        <f>ISBLANK(N32)</f>
        <v>1</v>
      </c>
      <c r="AC32" s="1753" t="b">
        <f>ISBLANK(P32)</f>
        <v>1</v>
      </c>
      <c r="AD32" s="1754" t="b">
        <f>IF(ISBLANK(F32),TRUE,VALUE(LEFT(F32,4))=4381)</f>
        <v>1</v>
      </c>
      <c r="AE32" s="1754" t="b">
        <f>IF(ISBLANK(N32),TRUE,VALUE(LEFT(N32,4))=5381)</f>
        <v>1</v>
      </c>
    </row>
    <row r="33" spans="2:31" s="1763" customFormat="1" ht="15" customHeight="1" thickBot="1" x14ac:dyDescent="0.25">
      <c r="B33" s="1774"/>
      <c r="C33" s="1774"/>
      <c r="D33" s="1774"/>
      <c r="E33" s="1774"/>
      <c r="F33" s="1782" t="s">
        <v>976</v>
      </c>
      <c r="G33" s="1782"/>
      <c r="H33" s="1805">
        <f>SUM(H15:H32)</f>
        <v>0</v>
      </c>
      <c r="I33" s="1774"/>
      <c r="J33" s="1774"/>
      <c r="K33" s="1774"/>
      <c r="L33" s="1774"/>
      <c r="M33" s="1774"/>
      <c r="N33" s="1782" t="s">
        <v>977</v>
      </c>
      <c r="O33" s="1782"/>
      <c r="P33" s="1805">
        <f>SUM(P15:P32)</f>
        <v>0</v>
      </c>
      <c r="Q33" s="1774"/>
      <c r="R33" s="1752">
        <f>COUNTIF(R14:R32,FALSE)</f>
        <v>0</v>
      </c>
      <c r="S33" s="1759"/>
      <c r="T33" s="1759"/>
      <c r="U33" s="1759"/>
      <c r="V33" s="1759"/>
      <c r="W33" s="1759"/>
      <c r="X33" s="1752">
        <f>COUNTIF(X14:X32,FALSE)</f>
        <v>0</v>
      </c>
      <c r="Y33" s="1759"/>
      <c r="Z33" s="1759"/>
      <c r="AA33" s="1759"/>
      <c r="AB33" s="1759"/>
      <c r="AC33" s="1759"/>
      <c r="AD33" s="1759">
        <f>COUNTIF(AD14:AD32,FALSE)</f>
        <v>0</v>
      </c>
      <c r="AE33" s="1759">
        <f>COUNTIF(AE14:AE32,FALSE)</f>
        <v>0</v>
      </c>
    </row>
    <row r="34" spans="2:31" s="1796" customFormat="1" ht="21.75" customHeight="1" x14ac:dyDescent="0.2">
      <c r="B34" s="1806"/>
      <c r="C34" s="1806"/>
      <c r="D34" s="1806"/>
      <c r="E34" s="1806"/>
      <c r="F34" s="1807" t="s">
        <v>973</v>
      </c>
      <c r="G34" s="1807"/>
      <c r="H34" s="1813" t="s">
        <v>978</v>
      </c>
      <c r="I34" s="1806"/>
      <c r="J34" s="1806"/>
      <c r="K34" s="1806"/>
      <c r="L34" s="1806"/>
      <c r="M34" s="1806"/>
      <c r="N34" s="2760" t="str">
        <f>IF(P34&lt;&gt;0,"Out of Balance","")</f>
        <v/>
      </c>
      <c r="O34" s="2760"/>
      <c r="P34" s="1808">
        <f>+H33-P33</f>
        <v>0</v>
      </c>
      <c r="Q34" s="1806"/>
    </row>
    <row r="35" spans="2:31" ht="20.85" customHeight="1" x14ac:dyDescent="0.25">
      <c r="B35" s="1771"/>
      <c r="C35" s="1771"/>
      <c r="D35" s="1771"/>
      <c r="E35" s="1771"/>
      <c r="F35" s="1771"/>
      <c r="G35" s="1771"/>
      <c r="H35" s="1771"/>
      <c r="I35" s="1771"/>
      <c r="J35" s="1771"/>
      <c r="K35" s="1771"/>
      <c r="L35" s="1771"/>
      <c r="M35" s="1771"/>
      <c r="N35" s="1771"/>
      <c r="O35" s="1771"/>
      <c r="P35" s="1771"/>
      <c r="Q35" s="1771"/>
    </row>
    <row r="37" spans="2:31" x14ac:dyDescent="0.25">
      <c r="B37" s="1161"/>
    </row>
    <row r="38" spans="2:31" x14ac:dyDescent="0.25">
      <c r="B38" s="1161"/>
    </row>
    <row r="117" spans="1:2" x14ac:dyDescent="0.25">
      <c r="A117" s="794" t="str">
        <f ca="1">MID(CELL("filename",A4),FIND("]",CELL("filename",A4))+1,256)</f>
        <v>545</v>
      </c>
      <c r="B117" s="794" t="s">
        <v>449</v>
      </c>
    </row>
    <row r="118" spans="1:2" x14ac:dyDescent="0.25">
      <c r="A118" s="794" t="s">
        <v>446</v>
      </c>
      <c r="B118" s="794" t="str">
        <f t="shared" ref="B118:B127" ca="1" si="15">IF(ISNA(INDEX(ErrorTable,MATCH($A$117&amp;$A118&amp;FALSE,ErrorKey,0),6)),"",INDEX(ErrorTable,MATCH($A$117&amp;$A118&amp;FALSE,ErrorKey,0),6))</f>
        <v/>
      </c>
    </row>
    <row r="119" spans="1:2" x14ac:dyDescent="0.25">
      <c r="A119" s="794" t="s">
        <v>447</v>
      </c>
      <c r="B119" s="794" t="str">
        <f t="shared" ca="1" si="15"/>
        <v/>
      </c>
    </row>
    <row r="120" spans="1:2" x14ac:dyDescent="0.25">
      <c r="A120" s="794" t="s">
        <v>448</v>
      </c>
      <c r="B120" s="794" t="str">
        <f t="shared" ca="1" si="15"/>
        <v/>
      </c>
    </row>
    <row r="121" spans="1:2" x14ac:dyDescent="0.25">
      <c r="A121" s="794" t="s">
        <v>450</v>
      </c>
      <c r="B121" s="794" t="str">
        <f t="shared" ca="1" si="15"/>
        <v/>
      </c>
    </row>
    <row r="122" spans="1:2" x14ac:dyDescent="0.25">
      <c r="A122" s="794" t="s">
        <v>451</v>
      </c>
      <c r="B122" s="794" t="str">
        <f t="shared" ca="1" si="15"/>
        <v/>
      </c>
    </row>
    <row r="123" spans="1:2" x14ac:dyDescent="0.25">
      <c r="A123" s="794" t="s">
        <v>452</v>
      </c>
      <c r="B123" s="794" t="str">
        <f t="shared" ca="1" si="15"/>
        <v/>
      </c>
    </row>
    <row r="124" spans="1:2" x14ac:dyDescent="0.25">
      <c r="A124" s="794" t="s">
        <v>453</v>
      </c>
      <c r="B124" s="794" t="str">
        <f t="shared" ca="1" si="15"/>
        <v/>
      </c>
    </row>
    <row r="125" spans="1:2" x14ac:dyDescent="0.25">
      <c r="A125" s="794" t="s">
        <v>454</v>
      </c>
      <c r="B125" s="794" t="str">
        <f t="shared" ca="1" si="15"/>
        <v/>
      </c>
    </row>
    <row r="126" spans="1:2" x14ac:dyDescent="0.25">
      <c r="A126" s="794" t="s">
        <v>455</v>
      </c>
      <c r="B126" s="794" t="str">
        <f t="shared" ca="1" si="15"/>
        <v/>
      </c>
    </row>
    <row r="127" spans="1:2" x14ac:dyDescent="0.25">
      <c r="A127" s="794" t="s">
        <v>456</v>
      </c>
      <c r="B127" s="794" t="str">
        <f t="shared" ca="1" si="15"/>
        <v/>
      </c>
    </row>
  </sheetData>
  <sheetProtection algorithmName="SHA-512" hashValue="A/rmnZhO3rBp5P5DEESfUlG42tpG/GQKKXKnsiq4agLPAlUL6vi+iM8cOkSqp/k3WU6Q6zNi/pu/qpcVED782g==" saltValue="BSG7Jlh+Jn64mztBQdZkCA==" spinCount="100000" sheet="1" objects="1" scenarios="1" autoFilter="0"/>
  <dataConsolidate link="1"/>
  <mergeCells count="14">
    <mergeCell ref="N34:O34"/>
    <mergeCell ref="B1:P1"/>
    <mergeCell ref="Q1:Q3"/>
    <mergeCell ref="B2:P2"/>
    <mergeCell ref="B3:P3"/>
    <mergeCell ref="B4:P4"/>
    <mergeCell ref="D6:H6"/>
    <mergeCell ref="J6:L6"/>
    <mergeCell ref="M6:P6"/>
    <mergeCell ref="D7:H7"/>
    <mergeCell ref="J7:L7"/>
    <mergeCell ref="M7:P7"/>
    <mergeCell ref="B10:H10"/>
    <mergeCell ref="J10:P10"/>
  </mergeCells>
  <conditionalFormatting sqref="Q1:Q4">
    <cfRule type="cellIs" dxfId="59" priority="2" stopIfTrue="1" operator="equal">
      <formula>"na"</formula>
    </cfRule>
  </conditionalFormatting>
  <conditionalFormatting sqref="AF1:AF3">
    <cfRule type="cellIs" dxfId="58" priority="1" stopIfTrue="1" operator="equal">
      <formula>"na"</formula>
    </cfRule>
  </conditionalFormatting>
  <dataValidations count="4">
    <dataValidation type="textLength" operator="equal" allowBlank="1" showInputMessage="1" showErrorMessage="1" errorTitle="Invalid data!" error="Company number must be 4 digits." sqref="IX14:IX32 ST14:ST32 ACP14:ACP32 AML14:AML32 AWH14:AWH32 BGD14:BGD32 BPZ14:BPZ32 BZV14:BZV32 CJR14:CJR32 CTN14:CTN32 DDJ14:DDJ32 DNF14:DNF32 DXB14:DXB32 EGX14:EGX32 EQT14:EQT32 FAP14:FAP32 FKL14:FKL32 FUH14:FUH32 GED14:GED32 GNZ14:GNZ32 GXV14:GXV32 HHR14:HHR32 HRN14:HRN32 IBJ14:IBJ32 ILF14:ILF32 IVB14:IVB32 JEX14:JEX32 JOT14:JOT32 JYP14:JYP32 KIL14:KIL32 KSH14:KSH32 LCD14:LCD32 LLZ14:LLZ32 LVV14:LVV32 MFR14:MFR32 MPN14:MPN32 MZJ14:MZJ32 NJF14:NJF32 NTB14:NTB32 OCX14:OCX32 OMT14:OMT32 OWP14:OWP32 PGL14:PGL32 PQH14:PQH32 QAD14:QAD32 QJZ14:QJZ32 QTV14:QTV32 RDR14:RDR32 RNN14:RNN32 RXJ14:RXJ32 SHF14:SHF32 SRB14:SRB32 TAX14:TAX32 TKT14:TKT32 TUP14:TUP32 UEL14:UEL32 UOH14:UOH32 UYD14:UYD32 VHZ14:VHZ32 VRV14:VRV32 WBR14:WBR32 WLN14:WLN32 WVJ14:WVJ32 B65629:B65647 IX65629:IX65647 ST65629:ST65647 ACP65629:ACP65647 AML65629:AML65647 AWH65629:AWH65647 BGD65629:BGD65647 BPZ65629:BPZ65647 BZV65629:BZV65647 CJR65629:CJR65647 CTN65629:CTN65647 DDJ65629:DDJ65647 DNF65629:DNF65647 DXB65629:DXB65647 EGX65629:EGX65647 EQT65629:EQT65647 FAP65629:FAP65647 FKL65629:FKL65647 FUH65629:FUH65647 GED65629:GED65647 GNZ65629:GNZ65647 GXV65629:GXV65647 HHR65629:HHR65647 HRN65629:HRN65647 IBJ65629:IBJ65647 ILF65629:ILF65647 IVB65629:IVB65647 JEX65629:JEX65647 JOT65629:JOT65647 JYP65629:JYP65647 KIL65629:KIL65647 KSH65629:KSH65647 LCD65629:LCD65647 LLZ65629:LLZ65647 LVV65629:LVV65647 MFR65629:MFR65647 MPN65629:MPN65647 MZJ65629:MZJ65647 NJF65629:NJF65647 NTB65629:NTB65647 OCX65629:OCX65647 OMT65629:OMT65647 OWP65629:OWP65647 PGL65629:PGL65647 PQH65629:PQH65647 QAD65629:QAD65647 QJZ65629:QJZ65647 QTV65629:QTV65647 RDR65629:RDR65647 RNN65629:RNN65647 RXJ65629:RXJ65647 SHF65629:SHF65647 SRB65629:SRB65647 TAX65629:TAX65647 TKT65629:TKT65647 TUP65629:TUP65647 UEL65629:UEL65647 UOH65629:UOH65647 UYD65629:UYD65647 VHZ65629:VHZ65647 VRV65629:VRV65647 WBR65629:WBR65647 WLN65629:WLN65647 WVJ65629:WVJ65647 B131165:B131183 IX131165:IX131183 ST131165:ST131183 ACP131165:ACP131183 AML131165:AML131183 AWH131165:AWH131183 BGD131165:BGD131183 BPZ131165:BPZ131183 BZV131165:BZV131183 CJR131165:CJR131183 CTN131165:CTN131183 DDJ131165:DDJ131183 DNF131165:DNF131183 DXB131165:DXB131183 EGX131165:EGX131183 EQT131165:EQT131183 FAP131165:FAP131183 FKL131165:FKL131183 FUH131165:FUH131183 GED131165:GED131183 GNZ131165:GNZ131183 GXV131165:GXV131183 HHR131165:HHR131183 HRN131165:HRN131183 IBJ131165:IBJ131183 ILF131165:ILF131183 IVB131165:IVB131183 JEX131165:JEX131183 JOT131165:JOT131183 JYP131165:JYP131183 KIL131165:KIL131183 KSH131165:KSH131183 LCD131165:LCD131183 LLZ131165:LLZ131183 LVV131165:LVV131183 MFR131165:MFR131183 MPN131165:MPN131183 MZJ131165:MZJ131183 NJF131165:NJF131183 NTB131165:NTB131183 OCX131165:OCX131183 OMT131165:OMT131183 OWP131165:OWP131183 PGL131165:PGL131183 PQH131165:PQH131183 QAD131165:QAD131183 QJZ131165:QJZ131183 QTV131165:QTV131183 RDR131165:RDR131183 RNN131165:RNN131183 RXJ131165:RXJ131183 SHF131165:SHF131183 SRB131165:SRB131183 TAX131165:TAX131183 TKT131165:TKT131183 TUP131165:TUP131183 UEL131165:UEL131183 UOH131165:UOH131183 UYD131165:UYD131183 VHZ131165:VHZ131183 VRV131165:VRV131183 WBR131165:WBR131183 WLN131165:WLN131183 WVJ131165:WVJ131183 B196701:B196719 IX196701:IX196719 ST196701:ST196719 ACP196701:ACP196719 AML196701:AML196719 AWH196701:AWH196719 BGD196701:BGD196719 BPZ196701:BPZ196719 BZV196701:BZV196719 CJR196701:CJR196719 CTN196701:CTN196719 DDJ196701:DDJ196719 DNF196701:DNF196719 DXB196701:DXB196719 EGX196701:EGX196719 EQT196701:EQT196719 FAP196701:FAP196719 FKL196701:FKL196719 FUH196701:FUH196719 GED196701:GED196719 GNZ196701:GNZ196719 GXV196701:GXV196719 HHR196701:HHR196719 HRN196701:HRN196719 IBJ196701:IBJ196719 ILF196701:ILF196719 IVB196701:IVB196719 JEX196701:JEX196719 JOT196701:JOT196719 JYP196701:JYP196719 KIL196701:KIL196719 KSH196701:KSH196719 LCD196701:LCD196719 LLZ196701:LLZ196719 LVV196701:LVV196719 MFR196701:MFR196719 MPN196701:MPN196719 MZJ196701:MZJ196719 NJF196701:NJF196719 NTB196701:NTB196719 OCX196701:OCX196719 OMT196701:OMT196719 OWP196701:OWP196719 PGL196701:PGL196719 PQH196701:PQH196719 QAD196701:QAD196719 QJZ196701:QJZ196719 QTV196701:QTV196719 RDR196701:RDR196719 RNN196701:RNN196719 RXJ196701:RXJ196719 SHF196701:SHF196719 SRB196701:SRB196719 TAX196701:TAX196719 TKT196701:TKT196719 TUP196701:TUP196719 UEL196701:UEL196719 UOH196701:UOH196719 UYD196701:UYD196719 VHZ196701:VHZ196719 VRV196701:VRV196719 WBR196701:WBR196719 WLN196701:WLN196719 WVJ196701:WVJ196719 B262237:B262255 IX262237:IX262255 ST262237:ST262255 ACP262237:ACP262255 AML262237:AML262255 AWH262237:AWH262255 BGD262237:BGD262255 BPZ262237:BPZ262255 BZV262237:BZV262255 CJR262237:CJR262255 CTN262237:CTN262255 DDJ262237:DDJ262255 DNF262237:DNF262255 DXB262237:DXB262255 EGX262237:EGX262255 EQT262237:EQT262255 FAP262237:FAP262255 FKL262237:FKL262255 FUH262237:FUH262255 GED262237:GED262255 GNZ262237:GNZ262255 GXV262237:GXV262255 HHR262237:HHR262255 HRN262237:HRN262255 IBJ262237:IBJ262255 ILF262237:ILF262255 IVB262237:IVB262255 JEX262237:JEX262255 JOT262237:JOT262255 JYP262237:JYP262255 KIL262237:KIL262255 KSH262237:KSH262255 LCD262237:LCD262255 LLZ262237:LLZ262255 LVV262237:LVV262255 MFR262237:MFR262255 MPN262237:MPN262255 MZJ262237:MZJ262255 NJF262237:NJF262255 NTB262237:NTB262255 OCX262237:OCX262255 OMT262237:OMT262255 OWP262237:OWP262255 PGL262237:PGL262255 PQH262237:PQH262255 QAD262237:QAD262255 QJZ262237:QJZ262255 QTV262237:QTV262255 RDR262237:RDR262255 RNN262237:RNN262255 RXJ262237:RXJ262255 SHF262237:SHF262255 SRB262237:SRB262255 TAX262237:TAX262255 TKT262237:TKT262255 TUP262237:TUP262255 UEL262237:UEL262255 UOH262237:UOH262255 UYD262237:UYD262255 VHZ262237:VHZ262255 VRV262237:VRV262255 WBR262237:WBR262255 WLN262237:WLN262255 WVJ262237:WVJ262255 B327773:B327791 IX327773:IX327791 ST327773:ST327791 ACP327773:ACP327791 AML327773:AML327791 AWH327773:AWH327791 BGD327773:BGD327791 BPZ327773:BPZ327791 BZV327773:BZV327791 CJR327773:CJR327791 CTN327773:CTN327791 DDJ327773:DDJ327791 DNF327773:DNF327791 DXB327773:DXB327791 EGX327773:EGX327791 EQT327773:EQT327791 FAP327773:FAP327791 FKL327773:FKL327791 FUH327773:FUH327791 GED327773:GED327791 GNZ327773:GNZ327791 GXV327773:GXV327791 HHR327773:HHR327791 HRN327773:HRN327791 IBJ327773:IBJ327791 ILF327773:ILF327791 IVB327773:IVB327791 JEX327773:JEX327791 JOT327773:JOT327791 JYP327773:JYP327791 KIL327773:KIL327791 KSH327773:KSH327791 LCD327773:LCD327791 LLZ327773:LLZ327791 LVV327773:LVV327791 MFR327773:MFR327791 MPN327773:MPN327791 MZJ327773:MZJ327791 NJF327773:NJF327791 NTB327773:NTB327791 OCX327773:OCX327791 OMT327773:OMT327791 OWP327773:OWP327791 PGL327773:PGL327791 PQH327773:PQH327791 QAD327773:QAD327791 QJZ327773:QJZ327791 QTV327773:QTV327791 RDR327773:RDR327791 RNN327773:RNN327791 RXJ327773:RXJ327791 SHF327773:SHF327791 SRB327773:SRB327791 TAX327773:TAX327791 TKT327773:TKT327791 TUP327773:TUP327791 UEL327773:UEL327791 UOH327773:UOH327791 UYD327773:UYD327791 VHZ327773:VHZ327791 VRV327773:VRV327791 WBR327773:WBR327791 WLN327773:WLN327791 WVJ327773:WVJ327791 B393309:B393327 IX393309:IX393327 ST393309:ST393327 ACP393309:ACP393327 AML393309:AML393327 AWH393309:AWH393327 BGD393309:BGD393327 BPZ393309:BPZ393327 BZV393309:BZV393327 CJR393309:CJR393327 CTN393309:CTN393327 DDJ393309:DDJ393327 DNF393309:DNF393327 DXB393309:DXB393327 EGX393309:EGX393327 EQT393309:EQT393327 FAP393309:FAP393327 FKL393309:FKL393327 FUH393309:FUH393327 GED393309:GED393327 GNZ393309:GNZ393327 GXV393309:GXV393327 HHR393309:HHR393327 HRN393309:HRN393327 IBJ393309:IBJ393327 ILF393309:ILF393327 IVB393309:IVB393327 JEX393309:JEX393327 JOT393309:JOT393327 JYP393309:JYP393327 KIL393309:KIL393327 KSH393309:KSH393327 LCD393309:LCD393327 LLZ393309:LLZ393327 LVV393309:LVV393327 MFR393309:MFR393327 MPN393309:MPN393327 MZJ393309:MZJ393327 NJF393309:NJF393327 NTB393309:NTB393327 OCX393309:OCX393327 OMT393309:OMT393327 OWP393309:OWP393327 PGL393309:PGL393327 PQH393309:PQH393327 QAD393309:QAD393327 QJZ393309:QJZ393327 QTV393309:QTV393327 RDR393309:RDR393327 RNN393309:RNN393327 RXJ393309:RXJ393327 SHF393309:SHF393327 SRB393309:SRB393327 TAX393309:TAX393327 TKT393309:TKT393327 TUP393309:TUP393327 UEL393309:UEL393327 UOH393309:UOH393327 UYD393309:UYD393327 VHZ393309:VHZ393327 VRV393309:VRV393327 WBR393309:WBR393327 WLN393309:WLN393327 WVJ393309:WVJ393327 B458845:B458863 IX458845:IX458863 ST458845:ST458863 ACP458845:ACP458863 AML458845:AML458863 AWH458845:AWH458863 BGD458845:BGD458863 BPZ458845:BPZ458863 BZV458845:BZV458863 CJR458845:CJR458863 CTN458845:CTN458863 DDJ458845:DDJ458863 DNF458845:DNF458863 DXB458845:DXB458863 EGX458845:EGX458863 EQT458845:EQT458863 FAP458845:FAP458863 FKL458845:FKL458863 FUH458845:FUH458863 GED458845:GED458863 GNZ458845:GNZ458863 GXV458845:GXV458863 HHR458845:HHR458863 HRN458845:HRN458863 IBJ458845:IBJ458863 ILF458845:ILF458863 IVB458845:IVB458863 JEX458845:JEX458863 JOT458845:JOT458863 JYP458845:JYP458863 KIL458845:KIL458863 KSH458845:KSH458863 LCD458845:LCD458863 LLZ458845:LLZ458863 LVV458845:LVV458863 MFR458845:MFR458863 MPN458845:MPN458863 MZJ458845:MZJ458863 NJF458845:NJF458863 NTB458845:NTB458863 OCX458845:OCX458863 OMT458845:OMT458863 OWP458845:OWP458863 PGL458845:PGL458863 PQH458845:PQH458863 QAD458845:QAD458863 QJZ458845:QJZ458863 QTV458845:QTV458863 RDR458845:RDR458863 RNN458845:RNN458863 RXJ458845:RXJ458863 SHF458845:SHF458863 SRB458845:SRB458863 TAX458845:TAX458863 TKT458845:TKT458863 TUP458845:TUP458863 UEL458845:UEL458863 UOH458845:UOH458863 UYD458845:UYD458863 VHZ458845:VHZ458863 VRV458845:VRV458863 WBR458845:WBR458863 WLN458845:WLN458863 WVJ458845:WVJ458863 B524381:B524399 IX524381:IX524399 ST524381:ST524399 ACP524381:ACP524399 AML524381:AML524399 AWH524381:AWH524399 BGD524381:BGD524399 BPZ524381:BPZ524399 BZV524381:BZV524399 CJR524381:CJR524399 CTN524381:CTN524399 DDJ524381:DDJ524399 DNF524381:DNF524399 DXB524381:DXB524399 EGX524381:EGX524399 EQT524381:EQT524399 FAP524381:FAP524399 FKL524381:FKL524399 FUH524381:FUH524399 GED524381:GED524399 GNZ524381:GNZ524399 GXV524381:GXV524399 HHR524381:HHR524399 HRN524381:HRN524399 IBJ524381:IBJ524399 ILF524381:ILF524399 IVB524381:IVB524399 JEX524381:JEX524399 JOT524381:JOT524399 JYP524381:JYP524399 KIL524381:KIL524399 KSH524381:KSH524399 LCD524381:LCD524399 LLZ524381:LLZ524399 LVV524381:LVV524399 MFR524381:MFR524399 MPN524381:MPN524399 MZJ524381:MZJ524399 NJF524381:NJF524399 NTB524381:NTB524399 OCX524381:OCX524399 OMT524381:OMT524399 OWP524381:OWP524399 PGL524381:PGL524399 PQH524381:PQH524399 QAD524381:QAD524399 QJZ524381:QJZ524399 QTV524381:QTV524399 RDR524381:RDR524399 RNN524381:RNN524399 RXJ524381:RXJ524399 SHF524381:SHF524399 SRB524381:SRB524399 TAX524381:TAX524399 TKT524381:TKT524399 TUP524381:TUP524399 UEL524381:UEL524399 UOH524381:UOH524399 UYD524381:UYD524399 VHZ524381:VHZ524399 VRV524381:VRV524399 WBR524381:WBR524399 WLN524381:WLN524399 WVJ524381:WVJ524399 B589917:B589935 IX589917:IX589935 ST589917:ST589935 ACP589917:ACP589935 AML589917:AML589935 AWH589917:AWH589935 BGD589917:BGD589935 BPZ589917:BPZ589935 BZV589917:BZV589935 CJR589917:CJR589935 CTN589917:CTN589935 DDJ589917:DDJ589935 DNF589917:DNF589935 DXB589917:DXB589935 EGX589917:EGX589935 EQT589917:EQT589935 FAP589917:FAP589935 FKL589917:FKL589935 FUH589917:FUH589935 GED589917:GED589935 GNZ589917:GNZ589935 GXV589917:GXV589935 HHR589917:HHR589935 HRN589917:HRN589935 IBJ589917:IBJ589935 ILF589917:ILF589935 IVB589917:IVB589935 JEX589917:JEX589935 JOT589917:JOT589935 JYP589917:JYP589935 KIL589917:KIL589935 KSH589917:KSH589935 LCD589917:LCD589935 LLZ589917:LLZ589935 LVV589917:LVV589935 MFR589917:MFR589935 MPN589917:MPN589935 MZJ589917:MZJ589935 NJF589917:NJF589935 NTB589917:NTB589935 OCX589917:OCX589935 OMT589917:OMT589935 OWP589917:OWP589935 PGL589917:PGL589935 PQH589917:PQH589935 QAD589917:QAD589935 QJZ589917:QJZ589935 QTV589917:QTV589935 RDR589917:RDR589935 RNN589917:RNN589935 RXJ589917:RXJ589935 SHF589917:SHF589935 SRB589917:SRB589935 TAX589917:TAX589935 TKT589917:TKT589935 TUP589917:TUP589935 UEL589917:UEL589935 UOH589917:UOH589935 UYD589917:UYD589935 VHZ589917:VHZ589935 VRV589917:VRV589935 WBR589917:WBR589935 WLN589917:WLN589935 WVJ589917:WVJ589935 B655453:B655471 IX655453:IX655471 ST655453:ST655471 ACP655453:ACP655471 AML655453:AML655471 AWH655453:AWH655471 BGD655453:BGD655471 BPZ655453:BPZ655471 BZV655453:BZV655471 CJR655453:CJR655471 CTN655453:CTN655471 DDJ655453:DDJ655471 DNF655453:DNF655471 DXB655453:DXB655471 EGX655453:EGX655471 EQT655453:EQT655471 FAP655453:FAP655471 FKL655453:FKL655471 FUH655453:FUH655471 GED655453:GED655471 GNZ655453:GNZ655471 GXV655453:GXV655471 HHR655453:HHR655471 HRN655453:HRN655471 IBJ655453:IBJ655471 ILF655453:ILF655471 IVB655453:IVB655471 JEX655453:JEX655471 JOT655453:JOT655471 JYP655453:JYP655471 KIL655453:KIL655471 KSH655453:KSH655471 LCD655453:LCD655471 LLZ655453:LLZ655471 LVV655453:LVV655471 MFR655453:MFR655471 MPN655453:MPN655471 MZJ655453:MZJ655471 NJF655453:NJF655471 NTB655453:NTB655471 OCX655453:OCX655471 OMT655453:OMT655471 OWP655453:OWP655471 PGL655453:PGL655471 PQH655453:PQH655471 QAD655453:QAD655471 QJZ655453:QJZ655471 QTV655453:QTV655471 RDR655453:RDR655471 RNN655453:RNN655471 RXJ655453:RXJ655471 SHF655453:SHF655471 SRB655453:SRB655471 TAX655453:TAX655471 TKT655453:TKT655471 TUP655453:TUP655471 UEL655453:UEL655471 UOH655453:UOH655471 UYD655453:UYD655471 VHZ655453:VHZ655471 VRV655453:VRV655471 WBR655453:WBR655471 WLN655453:WLN655471 WVJ655453:WVJ655471 B720989:B721007 IX720989:IX721007 ST720989:ST721007 ACP720989:ACP721007 AML720989:AML721007 AWH720989:AWH721007 BGD720989:BGD721007 BPZ720989:BPZ721007 BZV720989:BZV721007 CJR720989:CJR721007 CTN720989:CTN721007 DDJ720989:DDJ721007 DNF720989:DNF721007 DXB720989:DXB721007 EGX720989:EGX721007 EQT720989:EQT721007 FAP720989:FAP721007 FKL720989:FKL721007 FUH720989:FUH721007 GED720989:GED721007 GNZ720989:GNZ721007 GXV720989:GXV721007 HHR720989:HHR721007 HRN720989:HRN721007 IBJ720989:IBJ721007 ILF720989:ILF721007 IVB720989:IVB721007 JEX720989:JEX721007 JOT720989:JOT721007 JYP720989:JYP721007 KIL720989:KIL721007 KSH720989:KSH721007 LCD720989:LCD721007 LLZ720989:LLZ721007 LVV720989:LVV721007 MFR720989:MFR721007 MPN720989:MPN721007 MZJ720989:MZJ721007 NJF720989:NJF721007 NTB720989:NTB721007 OCX720989:OCX721007 OMT720989:OMT721007 OWP720989:OWP721007 PGL720989:PGL721007 PQH720989:PQH721007 QAD720989:QAD721007 QJZ720989:QJZ721007 QTV720989:QTV721007 RDR720989:RDR721007 RNN720989:RNN721007 RXJ720989:RXJ721007 SHF720989:SHF721007 SRB720989:SRB721007 TAX720989:TAX721007 TKT720989:TKT721007 TUP720989:TUP721007 UEL720989:UEL721007 UOH720989:UOH721007 UYD720989:UYD721007 VHZ720989:VHZ721007 VRV720989:VRV721007 WBR720989:WBR721007 WLN720989:WLN721007 WVJ720989:WVJ721007 B786525:B786543 IX786525:IX786543 ST786525:ST786543 ACP786525:ACP786543 AML786525:AML786543 AWH786525:AWH786543 BGD786525:BGD786543 BPZ786525:BPZ786543 BZV786525:BZV786543 CJR786525:CJR786543 CTN786525:CTN786543 DDJ786525:DDJ786543 DNF786525:DNF786543 DXB786525:DXB786543 EGX786525:EGX786543 EQT786525:EQT786543 FAP786525:FAP786543 FKL786525:FKL786543 FUH786525:FUH786543 GED786525:GED786543 GNZ786525:GNZ786543 GXV786525:GXV786543 HHR786525:HHR786543 HRN786525:HRN786543 IBJ786525:IBJ786543 ILF786525:ILF786543 IVB786525:IVB786543 JEX786525:JEX786543 JOT786525:JOT786543 JYP786525:JYP786543 KIL786525:KIL786543 KSH786525:KSH786543 LCD786525:LCD786543 LLZ786525:LLZ786543 LVV786525:LVV786543 MFR786525:MFR786543 MPN786525:MPN786543 MZJ786525:MZJ786543 NJF786525:NJF786543 NTB786525:NTB786543 OCX786525:OCX786543 OMT786525:OMT786543 OWP786525:OWP786543 PGL786525:PGL786543 PQH786525:PQH786543 QAD786525:QAD786543 QJZ786525:QJZ786543 QTV786525:QTV786543 RDR786525:RDR786543 RNN786525:RNN786543 RXJ786525:RXJ786543 SHF786525:SHF786543 SRB786525:SRB786543 TAX786525:TAX786543 TKT786525:TKT786543 TUP786525:TUP786543 UEL786525:UEL786543 UOH786525:UOH786543 UYD786525:UYD786543 VHZ786525:VHZ786543 VRV786525:VRV786543 WBR786525:WBR786543 WLN786525:WLN786543 WVJ786525:WVJ786543 B852061:B852079 IX852061:IX852079 ST852061:ST852079 ACP852061:ACP852079 AML852061:AML852079 AWH852061:AWH852079 BGD852061:BGD852079 BPZ852061:BPZ852079 BZV852061:BZV852079 CJR852061:CJR852079 CTN852061:CTN852079 DDJ852061:DDJ852079 DNF852061:DNF852079 DXB852061:DXB852079 EGX852061:EGX852079 EQT852061:EQT852079 FAP852061:FAP852079 FKL852061:FKL852079 FUH852061:FUH852079 GED852061:GED852079 GNZ852061:GNZ852079 GXV852061:GXV852079 HHR852061:HHR852079 HRN852061:HRN852079 IBJ852061:IBJ852079 ILF852061:ILF852079 IVB852061:IVB852079 JEX852061:JEX852079 JOT852061:JOT852079 JYP852061:JYP852079 KIL852061:KIL852079 KSH852061:KSH852079 LCD852061:LCD852079 LLZ852061:LLZ852079 LVV852061:LVV852079 MFR852061:MFR852079 MPN852061:MPN852079 MZJ852061:MZJ852079 NJF852061:NJF852079 NTB852061:NTB852079 OCX852061:OCX852079 OMT852061:OMT852079 OWP852061:OWP852079 PGL852061:PGL852079 PQH852061:PQH852079 QAD852061:QAD852079 QJZ852061:QJZ852079 QTV852061:QTV852079 RDR852061:RDR852079 RNN852061:RNN852079 RXJ852061:RXJ852079 SHF852061:SHF852079 SRB852061:SRB852079 TAX852061:TAX852079 TKT852061:TKT852079 TUP852061:TUP852079 UEL852061:UEL852079 UOH852061:UOH852079 UYD852061:UYD852079 VHZ852061:VHZ852079 VRV852061:VRV852079 WBR852061:WBR852079 WLN852061:WLN852079 WVJ852061:WVJ852079 B917597:B917615 IX917597:IX917615 ST917597:ST917615 ACP917597:ACP917615 AML917597:AML917615 AWH917597:AWH917615 BGD917597:BGD917615 BPZ917597:BPZ917615 BZV917597:BZV917615 CJR917597:CJR917615 CTN917597:CTN917615 DDJ917597:DDJ917615 DNF917597:DNF917615 DXB917597:DXB917615 EGX917597:EGX917615 EQT917597:EQT917615 FAP917597:FAP917615 FKL917597:FKL917615 FUH917597:FUH917615 GED917597:GED917615 GNZ917597:GNZ917615 GXV917597:GXV917615 HHR917597:HHR917615 HRN917597:HRN917615 IBJ917597:IBJ917615 ILF917597:ILF917615 IVB917597:IVB917615 JEX917597:JEX917615 JOT917597:JOT917615 JYP917597:JYP917615 KIL917597:KIL917615 KSH917597:KSH917615 LCD917597:LCD917615 LLZ917597:LLZ917615 LVV917597:LVV917615 MFR917597:MFR917615 MPN917597:MPN917615 MZJ917597:MZJ917615 NJF917597:NJF917615 NTB917597:NTB917615 OCX917597:OCX917615 OMT917597:OMT917615 OWP917597:OWP917615 PGL917597:PGL917615 PQH917597:PQH917615 QAD917597:QAD917615 QJZ917597:QJZ917615 QTV917597:QTV917615 RDR917597:RDR917615 RNN917597:RNN917615 RXJ917597:RXJ917615 SHF917597:SHF917615 SRB917597:SRB917615 TAX917597:TAX917615 TKT917597:TKT917615 TUP917597:TUP917615 UEL917597:UEL917615 UOH917597:UOH917615 UYD917597:UYD917615 VHZ917597:VHZ917615 VRV917597:VRV917615 WBR917597:WBR917615 WLN917597:WLN917615 WVJ917597:WVJ917615 B983133:B983151 IX983133:IX983151 ST983133:ST983151 ACP983133:ACP983151 AML983133:AML983151 AWH983133:AWH983151 BGD983133:BGD983151 BPZ983133:BPZ983151 BZV983133:BZV983151 CJR983133:CJR983151 CTN983133:CTN983151 DDJ983133:DDJ983151 DNF983133:DNF983151 DXB983133:DXB983151 EGX983133:EGX983151 EQT983133:EQT983151 FAP983133:FAP983151 FKL983133:FKL983151 FUH983133:FUH983151 GED983133:GED983151 GNZ983133:GNZ983151 GXV983133:GXV983151 HHR983133:HHR983151 HRN983133:HRN983151 IBJ983133:IBJ983151 ILF983133:ILF983151 IVB983133:IVB983151 JEX983133:JEX983151 JOT983133:JOT983151 JYP983133:JYP983151 KIL983133:KIL983151 KSH983133:KSH983151 LCD983133:LCD983151 LLZ983133:LLZ983151 LVV983133:LVV983151 MFR983133:MFR983151 MPN983133:MPN983151 MZJ983133:MZJ983151 NJF983133:NJF983151 NTB983133:NTB983151 OCX983133:OCX983151 OMT983133:OMT983151 OWP983133:OWP983151 PGL983133:PGL983151 PQH983133:PQH983151 QAD983133:QAD983151 QJZ983133:QJZ983151 QTV983133:QTV983151 RDR983133:RDR983151 RNN983133:RNN983151 RXJ983133:RXJ983151 SHF983133:SHF983151 SRB983133:SRB983151 TAX983133:TAX983151 TKT983133:TKT983151 TUP983133:TUP983151 UEL983133:UEL983151 UOH983133:UOH983151 UYD983133:UYD983151 VHZ983133:VHZ983151 VRV983133:VRV983151 WBR983133:WBR983151 WLN983133:WLN983151 WVJ983133:WVJ983151 WVR983133:WVR983151 JF14:JF32 TB14:TB32 ACX14:ACX32 AMT14:AMT32 AWP14:AWP32 BGL14:BGL32 BQH14:BQH32 CAD14:CAD32 CJZ14:CJZ32 CTV14:CTV32 DDR14:DDR32 DNN14:DNN32 DXJ14:DXJ32 EHF14:EHF32 ERB14:ERB32 FAX14:FAX32 FKT14:FKT32 FUP14:FUP32 GEL14:GEL32 GOH14:GOH32 GYD14:GYD32 HHZ14:HHZ32 HRV14:HRV32 IBR14:IBR32 ILN14:ILN32 IVJ14:IVJ32 JFF14:JFF32 JPB14:JPB32 JYX14:JYX32 KIT14:KIT32 KSP14:KSP32 LCL14:LCL32 LMH14:LMH32 LWD14:LWD32 MFZ14:MFZ32 MPV14:MPV32 MZR14:MZR32 NJN14:NJN32 NTJ14:NTJ32 ODF14:ODF32 ONB14:ONB32 OWX14:OWX32 PGT14:PGT32 PQP14:PQP32 QAL14:QAL32 QKH14:QKH32 QUD14:QUD32 RDZ14:RDZ32 RNV14:RNV32 RXR14:RXR32 SHN14:SHN32 SRJ14:SRJ32 TBF14:TBF32 TLB14:TLB32 TUX14:TUX32 UET14:UET32 UOP14:UOP32 UYL14:UYL32 VIH14:VIH32 VSD14:VSD32 WBZ14:WBZ32 WLV14:WLV32 WVR14:WVR32 J65629:J65647 JF65629:JF65647 TB65629:TB65647 ACX65629:ACX65647 AMT65629:AMT65647 AWP65629:AWP65647 BGL65629:BGL65647 BQH65629:BQH65647 CAD65629:CAD65647 CJZ65629:CJZ65647 CTV65629:CTV65647 DDR65629:DDR65647 DNN65629:DNN65647 DXJ65629:DXJ65647 EHF65629:EHF65647 ERB65629:ERB65647 FAX65629:FAX65647 FKT65629:FKT65647 FUP65629:FUP65647 GEL65629:GEL65647 GOH65629:GOH65647 GYD65629:GYD65647 HHZ65629:HHZ65647 HRV65629:HRV65647 IBR65629:IBR65647 ILN65629:ILN65647 IVJ65629:IVJ65647 JFF65629:JFF65647 JPB65629:JPB65647 JYX65629:JYX65647 KIT65629:KIT65647 KSP65629:KSP65647 LCL65629:LCL65647 LMH65629:LMH65647 LWD65629:LWD65647 MFZ65629:MFZ65647 MPV65629:MPV65647 MZR65629:MZR65647 NJN65629:NJN65647 NTJ65629:NTJ65647 ODF65629:ODF65647 ONB65629:ONB65647 OWX65629:OWX65647 PGT65629:PGT65647 PQP65629:PQP65647 QAL65629:QAL65647 QKH65629:QKH65647 QUD65629:QUD65647 RDZ65629:RDZ65647 RNV65629:RNV65647 RXR65629:RXR65647 SHN65629:SHN65647 SRJ65629:SRJ65647 TBF65629:TBF65647 TLB65629:TLB65647 TUX65629:TUX65647 UET65629:UET65647 UOP65629:UOP65647 UYL65629:UYL65647 VIH65629:VIH65647 VSD65629:VSD65647 WBZ65629:WBZ65647 WLV65629:WLV65647 WVR65629:WVR65647 J131165:J131183 JF131165:JF131183 TB131165:TB131183 ACX131165:ACX131183 AMT131165:AMT131183 AWP131165:AWP131183 BGL131165:BGL131183 BQH131165:BQH131183 CAD131165:CAD131183 CJZ131165:CJZ131183 CTV131165:CTV131183 DDR131165:DDR131183 DNN131165:DNN131183 DXJ131165:DXJ131183 EHF131165:EHF131183 ERB131165:ERB131183 FAX131165:FAX131183 FKT131165:FKT131183 FUP131165:FUP131183 GEL131165:GEL131183 GOH131165:GOH131183 GYD131165:GYD131183 HHZ131165:HHZ131183 HRV131165:HRV131183 IBR131165:IBR131183 ILN131165:ILN131183 IVJ131165:IVJ131183 JFF131165:JFF131183 JPB131165:JPB131183 JYX131165:JYX131183 KIT131165:KIT131183 KSP131165:KSP131183 LCL131165:LCL131183 LMH131165:LMH131183 LWD131165:LWD131183 MFZ131165:MFZ131183 MPV131165:MPV131183 MZR131165:MZR131183 NJN131165:NJN131183 NTJ131165:NTJ131183 ODF131165:ODF131183 ONB131165:ONB131183 OWX131165:OWX131183 PGT131165:PGT131183 PQP131165:PQP131183 QAL131165:QAL131183 QKH131165:QKH131183 QUD131165:QUD131183 RDZ131165:RDZ131183 RNV131165:RNV131183 RXR131165:RXR131183 SHN131165:SHN131183 SRJ131165:SRJ131183 TBF131165:TBF131183 TLB131165:TLB131183 TUX131165:TUX131183 UET131165:UET131183 UOP131165:UOP131183 UYL131165:UYL131183 VIH131165:VIH131183 VSD131165:VSD131183 WBZ131165:WBZ131183 WLV131165:WLV131183 WVR131165:WVR131183 J196701:J196719 JF196701:JF196719 TB196701:TB196719 ACX196701:ACX196719 AMT196701:AMT196719 AWP196701:AWP196719 BGL196701:BGL196719 BQH196701:BQH196719 CAD196701:CAD196719 CJZ196701:CJZ196719 CTV196701:CTV196719 DDR196701:DDR196719 DNN196701:DNN196719 DXJ196701:DXJ196719 EHF196701:EHF196719 ERB196701:ERB196719 FAX196701:FAX196719 FKT196701:FKT196719 FUP196701:FUP196719 GEL196701:GEL196719 GOH196701:GOH196719 GYD196701:GYD196719 HHZ196701:HHZ196719 HRV196701:HRV196719 IBR196701:IBR196719 ILN196701:ILN196719 IVJ196701:IVJ196719 JFF196701:JFF196719 JPB196701:JPB196719 JYX196701:JYX196719 KIT196701:KIT196719 KSP196701:KSP196719 LCL196701:LCL196719 LMH196701:LMH196719 LWD196701:LWD196719 MFZ196701:MFZ196719 MPV196701:MPV196719 MZR196701:MZR196719 NJN196701:NJN196719 NTJ196701:NTJ196719 ODF196701:ODF196719 ONB196701:ONB196719 OWX196701:OWX196719 PGT196701:PGT196719 PQP196701:PQP196719 QAL196701:QAL196719 QKH196701:QKH196719 QUD196701:QUD196719 RDZ196701:RDZ196719 RNV196701:RNV196719 RXR196701:RXR196719 SHN196701:SHN196719 SRJ196701:SRJ196719 TBF196701:TBF196719 TLB196701:TLB196719 TUX196701:TUX196719 UET196701:UET196719 UOP196701:UOP196719 UYL196701:UYL196719 VIH196701:VIH196719 VSD196701:VSD196719 WBZ196701:WBZ196719 WLV196701:WLV196719 WVR196701:WVR196719 J262237:J262255 JF262237:JF262255 TB262237:TB262255 ACX262237:ACX262255 AMT262237:AMT262255 AWP262237:AWP262255 BGL262237:BGL262255 BQH262237:BQH262255 CAD262237:CAD262255 CJZ262237:CJZ262255 CTV262237:CTV262255 DDR262237:DDR262255 DNN262237:DNN262255 DXJ262237:DXJ262255 EHF262237:EHF262255 ERB262237:ERB262255 FAX262237:FAX262255 FKT262237:FKT262255 FUP262237:FUP262255 GEL262237:GEL262255 GOH262237:GOH262255 GYD262237:GYD262255 HHZ262237:HHZ262255 HRV262237:HRV262255 IBR262237:IBR262255 ILN262237:ILN262255 IVJ262237:IVJ262255 JFF262237:JFF262255 JPB262237:JPB262255 JYX262237:JYX262255 KIT262237:KIT262255 KSP262237:KSP262255 LCL262237:LCL262255 LMH262237:LMH262255 LWD262237:LWD262255 MFZ262237:MFZ262255 MPV262237:MPV262255 MZR262237:MZR262255 NJN262237:NJN262255 NTJ262237:NTJ262255 ODF262237:ODF262255 ONB262237:ONB262255 OWX262237:OWX262255 PGT262237:PGT262255 PQP262237:PQP262255 QAL262237:QAL262255 QKH262237:QKH262255 QUD262237:QUD262255 RDZ262237:RDZ262255 RNV262237:RNV262255 RXR262237:RXR262255 SHN262237:SHN262255 SRJ262237:SRJ262255 TBF262237:TBF262255 TLB262237:TLB262255 TUX262237:TUX262255 UET262237:UET262255 UOP262237:UOP262255 UYL262237:UYL262255 VIH262237:VIH262255 VSD262237:VSD262255 WBZ262237:WBZ262255 WLV262237:WLV262255 WVR262237:WVR262255 J327773:J327791 JF327773:JF327791 TB327773:TB327791 ACX327773:ACX327791 AMT327773:AMT327791 AWP327773:AWP327791 BGL327773:BGL327791 BQH327773:BQH327791 CAD327773:CAD327791 CJZ327773:CJZ327791 CTV327773:CTV327791 DDR327773:DDR327791 DNN327773:DNN327791 DXJ327773:DXJ327791 EHF327773:EHF327791 ERB327773:ERB327791 FAX327773:FAX327791 FKT327773:FKT327791 FUP327773:FUP327791 GEL327773:GEL327791 GOH327773:GOH327791 GYD327773:GYD327791 HHZ327773:HHZ327791 HRV327773:HRV327791 IBR327773:IBR327791 ILN327773:ILN327791 IVJ327773:IVJ327791 JFF327773:JFF327791 JPB327773:JPB327791 JYX327773:JYX327791 KIT327773:KIT327791 KSP327773:KSP327791 LCL327773:LCL327791 LMH327773:LMH327791 LWD327773:LWD327791 MFZ327773:MFZ327791 MPV327773:MPV327791 MZR327773:MZR327791 NJN327773:NJN327791 NTJ327773:NTJ327791 ODF327773:ODF327791 ONB327773:ONB327791 OWX327773:OWX327791 PGT327773:PGT327791 PQP327773:PQP327791 QAL327773:QAL327791 QKH327773:QKH327791 QUD327773:QUD327791 RDZ327773:RDZ327791 RNV327773:RNV327791 RXR327773:RXR327791 SHN327773:SHN327791 SRJ327773:SRJ327791 TBF327773:TBF327791 TLB327773:TLB327791 TUX327773:TUX327791 UET327773:UET327791 UOP327773:UOP327791 UYL327773:UYL327791 VIH327773:VIH327791 VSD327773:VSD327791 WBZ327773:WBZ327791 WLV327773:WLV327791 WVR327773:WVR327791 J393309:J393327 JF393309:JF393327 TB393309:TB393327 ACX393309:ACX393327 AMT393309:AMT393327 AWP393309:AWP393327 BGL393309:BGL393327 BQH393309:BQH393327 CAD393309:CAD393327 CJZ393309:CJZ393327 CTV393309:CTV393327 DDR393309:DDR393327 DNN393309:DNN393327 DXJ393309:DXJ393327 EHF393309:EHF393327 ERB393309:ERB393327 FAX393309:FAX393327 FKT393309:FKT393327 FUP393309:FUP393327 GEL393309:GEL393327 GOH393309:GOH393327 GYD393309:GYD393327 HHZ393309:HHZ393327 HRV393309:HRV393327 IBR393309:IBR393327 ILN393309:ILN393327 IVJ393309:IVJ393327 JFF393309:JFF393327 JPB393309:JPB393327 JYX393309:JYX393327 KIT393309:KIT393327 KSP393309:KSP393327 LCL393309:LCL393327 LMH393309:LMH393327 LWD393309:LWD393327 MFZ393309:MFZ393327 MPV393309:MPV393327 MZR393309:MZR393327 NJN393309:NJN393327 NTJ393309:NTJ393327 ODF393309:ODF393327 ONB393309:ONB393327 OWX393309:OWX393327 PGT393309:PGT393327 PQP393309:PQP393327 QAL393309:QAL393327 QKH393309:QKH393327 QUD393309:QUD393327 RDZ393309:RDZ393327 RNV393309:RNV393327 RXR393309:RXR393327 SHN393309:SHN393327 SRJ393309:SRJ393327 TBF393309:TBF393327 TLB393309:TLB393327 TUX393309:TUX393327 UET393309:UET393327 UOP393309:UOP393327 UYL393309:UYL393327 VIH393309:VIH393327 VSD393309:VSD393327 WBZ393309:WBZ393327 WLV393309:WLV393327 WVR393309:WVR393327 J458845:J458863 JF458845:JF458863 TB458845:TB458863 ACX458845:ACX458863 AMT458845:AMT458863 AWP458845:AWP458863 BGL458845:BGL458863 BQH458845:BQH458863 CAD458845:CAD458863 CJZ458845:CJZ458863 CTV458845:CTV458863 DDR458845:DDR458863 DNN458845:DNN458863 DXJ458845:DXJ458863 EHF458845:EHF458863 ERB458845:ERB458863 FAX458845:FAX458863 FKT458845:FKT458863 FUP458845:FUP458863 GEL458845:GEL458863 GOH458845:GOH458863 GYD458845:GYD458863 HHZ458845:HHZ458863 HRV458845:HRV458863 IBR458845:IBR458863 ILN458845:ILN458863 IVJ458845:IVJ458863 JFF458845:JFF458863 JPB458845:JPB458863 JYX458845:JYX458863 KIT458845:KIT458863 KSP458845:KSP458863 LCL458845:LCL458863 LMH458845:LMH458863 LWD458845:LWD458863 MFZ458845:MFZ458863 MPV458845:MPV458863 MZR458845:MZR458863 NJN458845:NJN458863 NTJ458845:NTJ458863 ODF458845:ODF458863 ONB458845:ONB458863 OWX458845:OWX458863 PGT458845:PGT458863 PQP458845:PQP458863 QAL458845:QAL458863 QKH458845:QKH458863 QUD458845:QUD458863 RDZ458845:RDZ458863 RNV458845:RNV458863 RXR458845:RXR458863 SHN458845:SHN458863 SRJ458845:SRJ458863 TBF458845:TBF458863 TLB458845:TLB458863 TUX458845:TUX458863 UET458845:UET458863 UOP458845:UOP458863 UYL458845:UYL458863 VIH458845:VIH458863 VSD458845:VSD458863 WBZ458845:WBZ458863 WLV458845:WLV458863 WVR458845:WVR458863 J524381:J524399 JF524381:JF524399 TB524381:TB524399 ACX524381:ACX524399 AMT524381:AMT524399 AWP524381:AWP524399 BGL524381:BGL524399 BQH524381:BQH524399 CAD524381:CAD524399 CJZ524381:CJZ524399 CTV524381:CTV524399 DDR524381:DDR524399 DNN524381:DNN524399 DXJ524381:DXJ524399 EHF524381:EHF524399 ERB524381:ERB524399 FAX524381:FAX524399 FKT524381:FKT524399 FUP524381:FUP524399 GEL524381:GEL524399 GOH524381:GOH524399 GYD524381:GYD524399 HHZ524381:HHZ524399 HRV524381:HRV524399 IBR524381:IBR524399 ILN524381:ILN524399 IVJ524381:IVJ524399 JFF524381:JFF524399 JPB524381:JPB524399 JYX524381:JYX524399 KIT524381:KIT524399 KSP524381:KSP524399 LCL524381:LCL524399 LMH524381:LMH524399 LWD524381:LWD524399 MFZ524381:MFZ524399 MPV524381:MPV524399 MZR524381:MZR524399 NJN524381:NJN524399 NTJ524381:NTJ524399 ODF524381:ODF524399 ONB524381:ONB524399 OWX524381:OWX524399 PGT524381:PGT524399 PQP524381:PQP524399 QAL524381:QAL524399 QKH524381:QKH524399 QUD524381:QUD524399 RDZ524381:RDZ524399 RNV524381:RNV524399 RXR524381:RXR524399 SHN524381:SHN524399 SRJ524381:SRJ524399 TBF524381:TBF524399 TLB524381:TLB524399 TUX524381:TUX524399 UET524381:UET524399 UOP524381:UOP524399 UYL524381:UYL524399 VIH524381:VIH524399 VSD524381:VSD524399 WBZ524381:WBZ524399 WLV524381:WLV524399 WVR524381:WVR524399 J589917:J589935 JF589917:JF589935 TB589917:TB589935 ACX589917:ACX589935 AMT589917:AMT589935 AWP589917:AWP589935 BGL589917:BGL589935 BQH589917:BQH589935 CAD589917:CAD589935 CJZ589917:CJZ589935 CTV589917:CTV589935 DDR589917:DDR589935 DNN589917:DNN589935 DXJ589917:DXJ589935 EHF589917:EHF589935 ERB589917:ERB589935 FAX589917:FAX589935 FKT589917:FKT589935 FUP589917:FUP589935 GEL589917:GEL589935 GOH589917:GOH589935 GYD589917:GYD589935 HHZ589917:HHZ589935 HRV589917:HRV589935 IBR589917:IBR589935 ILN589917:ILN589935 IVJ589917:IVJ589935 JFF589917:JFF589935 JPB589917:JPB589935 JYX589917:JYX589935 KIT589917:KIT589935 KSP589917:KSP589935 LCL589917:LCL589935 LMH589917:LMH589935 LWD589917:LWD589935 MFZ589917:MFZ589935 MPV589917:MPV589935 MZR589917:MZR589935 NJN589917:NJN589935 NTJ589917:NTJ589935 ODF589917:ODF589935 ONB589917:ONB589935 OWX589917:OWX589935 PGT589917:PGT589935 PQP589917:PQP589935 QAL589917:QAL589935 QKH589917:QKH589935 QUD589917:QUD589935 RDZ589917:RDZ589935 RNV589917:RNV589935 RXR589917:RXR589935 SHN589917:SHN589935 SRJ589917:SRJ589935 TBF589917:TBF589935 TLB589917:TLB589935 TUX589917:TUX589935 UET589917:UET589935 UOP589917:UOP589935 UYL589917:UYL589935 VIH589917:VIH589935 VSD589917:VSD589935 WBZ589917:WBZ589935 WLV589917:WLV589935 WVR589917:WVR589935 J655453:J655471 JF655453:JF655471 TB655453:TB655471 ACX655453:ACX655471 AMT655453:AMT655471 AWP655453:AWP655471 BGL655453:BGL655471 BQH655453:BQH655471 CAD655453:CAD655471 CJZ655453:CJZ655471 CTV655453:CTV655471 DDR655453:DDR655471 DNN655453:DNN655471 DXJ655453:DXJ655471 EHF655453:EHF655471 ERB655453:ERB655471 FAX655453:FAX655471 FKT655453:FKT655471 FUP655453:FUP655471 GEL655453:GEL655471 GOH655453:GOH655471 GYD655453:GYD655471 HHZ655453:HHZ655471 HRV655453:HRV655471 IBR655453:IBR655471 ILN655453:ILN655471 IVJ655453:IVJ655471 JFF655453:JFF655471 JPB655453:JPB655471 JYX655453:JYX655471 KIT655453:KIT655471 KSP655453:KSP655471 LCL655453:LCL655471 LMH655453:LMH655471 LWD655453:LWD655471 MFZ655453:MFZ655471 MPV655453:MPV655471 MZR655453:MZR655471 NJN655453:NJN655471 NTJ655453:NTJ655471 ODF655453:ODF655471 ONB655453:ONB655471 OWX655453:OWX655471 PGT655453:PGT655471 PQP655453:PQP655471 QAL655453:QAL655471 QKH655453:QKH655471 QUD655453:QUD655471 RDZ655453:RDZ655471 RNV655453:RNV655471 RXR655453:RXR655471 SHN655453:SHN655471 SRJ655453:SRJ655471 TBF655453:TBF655471 TLB655453:TLB655471 TUX655453:TUX655471 UET655453:UET655471 UOP655453:UOP655471 UYL655453:UYL655471 VIH655453:VIH655471 VSD655453:VSD655471 WBZ655453:WBZ655471 WLV655453:WLV655471 WVR655453:WVR655471 J720989:J721007 JF720989:JF721007 TB720989:TB721007 ACX720989:ACX721007 AMT720989:AMT721007 AWP720989:AWP721007 BGL720989:BGL721007 BQH720989:BQH721007 CAD720989:CAD721007 CJZ720989:CJZ721007 CTV720989:CTV721007 DDR720989:DDR721007 DNN720989:DNN721007 DXJ720989:DXJ721007 EHF720989:EHF721007 ERB720989:ERB721007 FAX720989:FAX721007 FKT720989:FKT721007 FUP720989:FUP721007 GEL720989:GEL721007 GOH720989:GOH721007 GYD720989:GYD721007 HHZ720989:HHZ721007 HRV720989:HRV721007 IBR720989:IBR721007 ILN720989:ILN721007 IVJ720989:IVJ721007 JFF720989:JFF721007 JPB720989:JPB721007 JYX720989:JYX721007 KIT720989:KIT721007 KSP720989:KSP721007 LCL720989:LCL721007 LMH720989:LMH721007 LWD720989:LWD721007 MFZ720989:MFZ721007 MPV720989:MPV721007 MZR720989:MZR721007 NJN720989:NJN721007 NTJ720989:NTJ721007 ODF720989:ODF721007 ONB720989:ONB721007 OWX720989:OWX721007 PGT720989:PGT721007 PQP720989:PQP721007 QAL720989:QAL721007 QKH720989:QKH721007 QUD720989:QUD721007 RDZ720989:RDZ721007 RNV720989:RNV721007 RXR720989:RXR721007 SHN720989:SHN721007 SRJ720989:SRJ721007 TBF720989:TBF721007 TLB720989:TLB721007 TUX720989:TUX721007 UET720989:UET721007 UOP720989:UOP721007 UYL720989:UYL721007 VIH720989:VIH721007 VSD720989:VSD721007 WBZ720989:WBZ721007 WLV720989:WLV721007 WVR720989:WVR721007 J786525:J786543 JF786525:JF786543 TB786525:TB786543 ACX786525:ACX786543 AMT786525:AMT786543 AWP786525:AWP786543 BGL786525:BGL786543 BQH786525:BQH786543 CAD786525:CAD786543 CJZ786525:CJZ786543 CTV786525:CTV786543 DDR786525:DDR786543 DNN786525:DNN786543 DXJ786525:DXJ786543 EHF786525:EHF786543 ERB786525:ERB786543 FAX786525:FAX786543 FKT786525:FKT786543 FUP786525:FUP786543 GEL786525:GEL786543 GOH786525:GOH786543 GYD786525:GYD786543 HHZ786525:HHZ786543 HRV786525:HRV786543 IBR786525:IBR786543 ILN786525:ILN786543 IVJ786525:IVJ786543 JFF786525:JFF786543 JPB786525:JPB786543 JYX786525:JYX786543 KIT786525:KIT786543 KSP786525:KSP786543 LCL786525:LCL786543 LMH786525:LMH786543 LWD786525:LWD786543 MFZ786525:MFZ786543 MPV786525:MPV786543 MZR786525:MZR786543 NJN786525:NJN786543 NTJ786525:NTJ786543 ODF786525:ODF786543 ONB786525:ONB786543 OWX786525:OWX786543 PGT786525:PGT786543 PQP786525:PQP786543 QAL786525:QAL786543 QKH786525:QKH786543 QUD786525:QUD786543 RDZ786525:RDZ786543 RNV786525:RNV786543 RXR786525:RXR786543 SHN786525:SHN786543 SRJ786525:SRJ786543 TBF786525:TBF786543 TLB786525:TLB786543 TUX786525:TUX786543 UET786525:UET786543 UOP786525:UOP786543 UYL786525:UYL786543 VIH786525:VIH786543 VSD786525:VSD786543 WBZ786525:WBZ786543 WLV786525:WLV786543 WVR786525:WVR786543 J852061:J852079 JF852061:JF852079 TB852061:TB852079 ACX852061:ACX852079 AMT852061:AMT852079 AWP852061:AWP852079 BGL852061:BGL852079 BQH852061:BQH852079 CAD852061:CAD852079 CJZ852061:CJZ852079 CTV852061:CTV852079 DDR852061:DDR852079 DNN852061:DNN852079 DXJ852061:DXJ852079 EHF852061:EHF852079 ERB852061:ERB852079 FAX852061:FAX852079 FKT852061:FKT852079 FUP852061:FUP852079 GEL852061:GEL852079 GOH852061:GOH852079 GYD852061:GYD852079 HHZ852061:HHZ852079 HRV852061:HRV852079 IBR852061:IBR852079 ILN852061:ILN852079 IVJ852061:IVJ852079 JFF852061:JFF852079 JPB852061:JPB852079 JYX852061:JYX852079 KIT852061:KIT852079 KSP852061:KSP852079 LCL852061:LCL852079 LMH852061:LMH852079 LWD852061:LWD852079 MFZ852061:MFZ852079 MPV852061:MPV852079 MZR852061:MZR852079 NJN852061:NJN852079 NTJ852061:NTJ852079 ODF852061:ODF852079 ONB852061:ONB852079 OWX852061:OWX852079 PGT852061:PGT852079 PQP852061:PQP852079 QAL852061:QAL852079 QKH852061:QKH852079 QUD852061:QUD852079 RDZ852061:RDZ852079 RNV852061:RNV852079 RXR852061:RXR852079 SHN852061:SHN852079 SRJ852061:SRJ852079 TBF852061:TBF852079 TLB852061:TLB852079 TUX852061:TUX852079 UET852061:UET852079 UOP852061:UOP852079 UYL852061:UYL852079 VIH852061:VIH852079 VSD852061:VSD852079 WBZ852061:WBZ852079 WLV852061:WLV852079 WVR852061:WVR852079 J917597:J917615 JF917597:JF917615 TB917597:TB917615 ACX917597:ACX917615 AMT917597:AMT917615 AWP917597:AWP917615 BGL917597:BGL917615 BQH917597:BQH917615 CAD917597:CAD917615 CJZ917597:CJZ917615 CTV917597:CTV917615 DDR917597:DDR917615 DNN917597:DNN917615 DXJ917597:DXJ917615 EHF917597:EHF917615 ERB917597:ERB917615 FAX917597:FAX917615 FKT917597:FKT917615 FUP917597:FUP917615 GEL917597:GEL917615 GOH917597:GOH917615 GYD917597:GYD917615 HHZ917597:HHZ917615 HRV917597:HRV917615 IBR917597:IBR917615 ILN917597:ILN917615 IVJ917597:IVJ917615 JFF917597:JFF917615 JPB917597:JPB917615 JYX917597:JYX917615 KIT917597:KIT917615 KSP917597:KSP917615 LCL917597:LCL917615 LMH917597:LMH917615 LWD917597:LWD917615 MFZ917597:MFZ917615 MPV917597:MPV917615 MZR917597:MZR917615 NJN917597:NJN917615 NTJ917597:NTJ917615 ODF917597:ODF917615 ONB917597:ONB917615 OWX917597:OWX917615 PGT917597:PGT917615 PQP917597:PQP917615 QAL917597:QAL917615 QKH917597:QKH917615 QUD917597:QUD917615 RDZ917597:RDZ917615 RNV917597:RNV917615 RXR917597:RXR917615 SHN917597:SHN917615 SRJ917597:SRJ917615 TBF917597:TBF917615 TLB917597:TLB917615 TUX917597:TUX917615 UET917597:UET917615 UOP917597:UOP917615 UYL917597:UYL917615 VIH917597:VIH917615 VSD917597:VSD917615 WBZ917597:WBZ917615 WLV917597:WLV917615 WVR917597:WVR917615 J983133:J983151 JF983133:JF983151 TB983133:TB983151 ACX983133:ACX983151 AMT983133:AMT983151 AWP983133:AWP983151 BGL983133:BGL983151 BQH983133:BQH983151 CAD983133:CAD983151 CJZ983133:CJZ983151 CTV983133:CTV983151 DDR983133:DDR983151 DNN983133:DNN983151 DXJ983133:DXJ983151 EHF983133:EHF983151 ERB983133:ERB983151 FAX983133:FAX983151 FKT983133:FKT983151 FUP983133:FUP983151 GEL983133:GEL983151 GOH983133:GOH983151 GYD983133:GYD983151 HHZ983133:HHZ983151 HRV983133:HRV983151 IBR983133:IBR983151 ILN983133:ILN983151 IVJ983133:IVJ983151 JFF983133:JFF983151 JPB983133:JPB983151 JYX983133:JYX983151 KIT983133:KIT983151 KSP983133:KSP983151 LCL983133:LCL983151 LMH983133:LMH983151 LWD983133:LWD983151 MFZ983133:MFZ983151 MPV983133:MPV983151 MZR983133:MZR983151 NJN983133:NJN983151 NTJ983133:NTJ983151 ODF983133:ODF983151 ONB983133:ONB983151 OWX983133:OWX983151 PGT983133:PGT983151 PQP983133:PQP983151 QAL983133:QAL983151 QKH983133:QKH983151 QUD983133:QUD983151 RDZ983133:RDZ983151 RNV983133:RNV983151 RXR983133:RXR983151 SHN983133:SHN983151 SRJ983133:SRJ983151 TBF983133:TBF983151 TLB983133:TLB983151 TUX983133:TUX983151 UET983133:UET983151 UOP983133:UOP983151 UYL983133:UYL983151 VIH983133:VIH983151 VSD983133:VSD983151 WBZ983133:WBZ983151 WLV983133:WLV983151 J14:J32 B14:B32" xr:uid="{00000000-0002-0000-2F00-000000000000}">
      <formula1>4</formula1>
    </dataValidation>
    <dataValidation type="textLength" operator="equal" allowBlank="1" showInputMessage="1" showErrorMessage="1" errorTitle="Invalid data!" error="GASB number must be 4 digits." sqref="IZ14:IZ32 SV14:SV32 ACR14:ACR32 AMN14:AMN32 AWJ14:AWJ32 BGF14:BGF32 BQB14:BQB32 BZX14:BZX32 CJT14:CJT32 CTP14:CTP32 DDL14:DDL32 DNH14:DNH32 DXD14:DXD32 EGZ14:EGZ32 EQV14:EQV32 FAR14:FAR32 FKN14:FKN32 FUJ14:FUJ32 GEF14:GEF32 GOB14:GOB32 GXX14:GXX32 HHT14:HHT32 HRP14:HRP32 IBL14:IBL32 ILH14:ILH32 IVD14:IVD32 JEZ14:JEZ32 JOV14:JOV32 JYR14:JYR32 KIN14:KIN32 KSJ14:KSJ32 LCF14:LCF32 LMB14:LMB32 LVX14:LVX32 MFT14:MFT32 MPP14:MPP32 MZL14:MZL32 NJH14:NJH32 NTD14:NTD32 OCZ14:OCZ32 OMV14:OMV32 OWR14:OWR32 PGN14:PGN32 PQJ14:PQJ32 QAF14:QAF32 QKB14:QKB32 QTX14:QTX32 RDT14:RDT32 RNP14:RNP32 RXL14:RXL32 SHH14:SHH32 SRD14:SRD32 TAZ14:TAZ32 TKV14:TKV32 TUR14:TUR32 UEN14:UEN32 UOJ14:UOJ32 UYF14:UYF32 VIB14:VIB32 VRX14:VRX32 WBT14:WBT32 WLP14:WLP32 WVL14:WVL32 D65629:D65647 IZ65629:IZ65647 SV65629:SV65647 ACR65629:ACR65647 AMN65629:AMN65647 AWJ65629:AWJ65647 BGF65629:BGF65647 BQB65629:BQB65647 BZX65629:BZX65647 CJT65629:CJT65647 CTP65629:CTP65647 DDL65629:DDL65647 DNH65629:DNH65647 DXD65629:DXD65647 EGZ65629:EGZ65647 EQV65629:EQV65647 FAR65629:FAR65647 FKN65629:FKN65647 FUJ65629:FUJ65647 GEF65629:GEF65647 GOB65629:GOB65647 GXX65629:GXX65647 HHT65629:HHT65647 HRP65629:HRP65647 IBL65629:IBL65647 ILH65629:ILH65647 IVD65629:IVD65647 JEZ65629:JEZ65647 JOV65629:JOV65647 JYR65629:JYR65647 KIN65629:KIN65647 KSJ65629:KSJ65647 LCF65629:LCF65647 LMB65629:LMB65647 LVX65629:LVX65647 MFT65629:MFT65647 MPP65629:MPP65647 MZL65629:MZL65647 NJH65629:NJH65647 NTD65629:NTD65647 OCZ65629:OCZ65647 OMV65629:OMV65647 OWR65629:OWR65647 PGN65629:PGN65647 PQJ65629:PQJ65647 QAF65629:QAF65647 QKB65629:QKB65647 QTX65629:QTX65647 RDT65629:RDT65647 RNP65629:RNP65647 RXL65629:RXL65647 SHH65629:SHH65647 SRD65629:SRD65647 TAZ65629:TAZ65647 TKV65629:TKV65647 TUR65629:TUR65647 UEN65629:UEN65647 UOJ65629:UOJ65647 UYF65629:UYF65647 VIB65629:VIB65647 VRX65629:VRX65647 WBT65629:WBT65647 WLP65629:WLP65647 WVL65629:WVL65647 D131165:D131183 IZ131165:IZ131183 SV131165:SV131183 ACR131165:ACR131183 AMN131165:AMN131183 AWJ131165:AWJ131183 BGF131165:BGF131183 BQB131165:BQB131183 BZX131165:BZX131183 CJT131165:CJT131183 CTP131165:CTP131183 DDL131165:DDL131183 DNH131165:DNH131183 DXD131165:DXD131183 EGZ131165:EGZ131183 EQV131165:EQV131183 FAR131165:FAR131183 FKN131165:FKN131183 FUJ131165:FUJ131183 GEF131165:GEF131183 GOB131165:GOB131183 GXX131165:GXX131183 HHT131165:HHT131183 HRP131165:HRP131183 IBL131165:IBL131183 ILH131165:ILH131183 IVD131165:IVD131183 JEZ131165:JEZ131183 JOV131165:JOV131183 JYR131165:JYR131183 KIN131165:KIN131183 KSJ131165:KSJ131183 LCF131165:LCF131183 LMB131165:LMB131183 LVX131165:LVX131183 MFT131165:MFT131183 MPP131165:MPP131183 MZL131165:MZL131183 NJH131165:NJH131183 NTD131165:NTD131183 OCZ131165:OCZ131183 OMV131165:OMV131183 OWR131165:OWR131183 PGN131165:PGN131183 PQJ131165:PQJ131183 QAF131165:QAF131183 QKB131165:QKB131183 QTX131165:QTX131183 RDT131165:RDT131183 RNP131165:RNP131183 RXL131165:RXL131183 SHH131165:SHH131183 SRD131165:SRD131183 TAZ131165:TAZ131183 TKV131165:TKV131183 TUR131165:TUR131183 UEN131165:UEN131183 UOJ131165:UOJ131183 UYF131165:UYF131183 VIB131165:VIB131183 VRX131165:VRX131183 WBT131165:WBT131183 WLP131165:WLP131183 WVL131165:WVL131183 D196701:D196719 IZ196701:IZ196719 SV196701:SV196719 ACR196701:ACR196719 AMN196701:AMN196719 AWJ196701:AWJ196719 BGF196701:BGF196719 BQB196701:BQB196719 BZX196701:BZX196719 CJT196701:CJT196719 CTP196701:CTP196719 DDL196701:DDL196719 DNH196701:DNH196719 DXD196701:DXD196719 EGZ196701:EGZ196719 EQV196701:EQV196719 FAR196701:FAR196719 FKN196701:FKN196719 FUJ196701:FUJ196719 GEF196701:GEF196719 GOB196701:GOB196719 GXX196701:GXX196719 HHT196701:HHT196719 HRP196701:HRP196719 IBL196701:IBL196719 ILH196701:ILH196719 IVD196701:IVD196719 JEZ196701:JEZ196719 JOV196701:JOV196719 JYR196701:JYR196719 KIN196701:KIN196719 KSJ196701:KSJ196719 LCF196701:LCF196719 LMB196701:LMB196719 LVX196701:LVX196719 MFT196701:MFT196719 MPP196701:MPP196719 MZL196701:MZL196719 NJH196701:NJH196719 NTD196701:NTD196719 OCZ196701:OCZ196719 OMV196701:OMV196719 OWR196701:OWR196719 PGN196701:PGN196719 PQJ196701:PQJ196719 QAF196701:QAF196719 QKB196701:QKB196719 QTX196701:QTX196719 RDT196701:RDT196719 RNP196701:RNP196719 RXL196701:RXL196719 SHH196701:SHH196719 SRD196701:SRD196719 TAZ196701:TAZ196719 TKV196701:TKV196719 TUR196701:TUR196719 UEN196701:UEN196719 UOJ196701:UOJ196719 UYF196701:UYF196719 VIB196701:VIB196719 VRX196701:VRX196719 WBT196701:WBT196719 WLP196701:WLP196719 WVL196701:WVL196719 D262237:D262255 IZ262237:IZ262255 SV262237:SV262255 ACR262237:ACR262255 AMN262237:AMN262255 AWJ262237:AWJ262255 BGF262237:BGF262255 BQB262237:BQB262255 BZX262237:BZX262255 CJT262237:CJT262255 CTP262237:CTP262255 DDL262237:DDL262255 DNH262237:DNH262255 DXD262237:DXD262255 EGZ262237:EGZ262255 EQV262237:EQV262255 FAR262237:FAR262255 FKN262237:FKN262255 FUJ262237:FUJ262255 GEF262237:GEF262255 GOB262237:GOB262255 GXX262237:GXX262255 HHT262237:HHT262255 HRP262237:HRP262255 IBL262237:IBL262255 ILH262237:ILH262255 IVD262237:IVD262255 JEZ262237:JEZ262255 JOV262237:JOV262255 JYR262237:JYR262255 KIN262237:KIN262255 KSJ262237:KSJ262255 LCF262237:LCF262255 LMB262237:LMB262255 LVX262237:LVX262255 MFT262237:MFT262255 MPP262237:MPP262255 MZL262237:MZL262255 NJH262237:NJH262255 NTD262237:NTD262255 OCZ262237:OCZ262255 OMV262237:OMV262255 OWR262237:OWR262255 PGN262237:PGN262255 PQJ262237:PQJ262255 QAF262237:QAF262255 QKB262237:QKB262255 QTX262237:QTX262255 RDT262237:RDT262255 RNP262237:RNP262255 RXL262237:RXL262255 SHH262237:SHH262255 SRD262237:SRD262255 TAZ262237:TAZ262255 TKV262237:TKV262255 TUR262237:TUR262255 UEN262237:UEN262255 UOJ262237:UOJ262255 UYF262237:UYF262255 VIB262237:VIB262255 VRX262237:VRX262255 WBT262237:WBT262255 WLP262237:WLP262255 WVL262237:WVL262255 D327773:D327791 IZ327773:IZ327791 SV327773:SV327791 ACR327773:ACR327791 AMN327773:AMN327791 AWJ327773:AWJ327791 BGF327773:BGF327791 BQB327773:BQB327791 BZX327773:BZX327791 CJT327773:CJT327791 CTP327773:CTP327791 DDL327773:DDL327791 DNH327773:DNH327791 DXD327773:DXD327791 EGZ327773:EGZ327791 EQV327773:EQV327791 FAR327773:FAR327791 FKN327773:FKN327791 FUJ327773:FUJ327791 GEF327773:GEF327791 GOB327773:GOB327791 GXX327773:GXX327791 HHT327773:HHT327791 HRP327773:HRP327791 IBL327773:IBL327791 ILH327773:ILH327791 IVD327773:IVD327791 JEZ327773:JEZ327791 JOV327773:JOV327791 JYR327773:JYR327791 KIN327773:KIN327791 KSJ327773:KSJ327791 LCF327773:LCF327791 LMB327773:LMB327791 LVX327773:LVX327791 MFT327773:MFT327791 MPP327773:MPP327791 MZL327773:MZL327791 NJH327773:NJH327791 NTD327773:NTD327791 OCZ327773:OCZ327791 OMV327773:OMV327791 OWR327773:OWR327791 PGN327773:PGN327791 PQJ327773:PQJ327791 QAF327773:QAF327791 QKB327773:QKB327791 QTX327773:QTX327791 RDT327773:RDT327791 RNP327773:RNP327791 RXL327773:RXL327791 SHH327773:SHH327791 SRD327773:SRD327791 TAZ327773:TAZ327791 TKV327773:TKV327791 TUR327773:TUR327791 UEN327773:UEN327791 UOJ327773:UOJ327791 UYF327773:UYF327791 VIB327773:VIB327791 VRX327773:VRX327791 WBT327773:WBT327791 WLP327773:WLP327791 WVL327773:WVL327791 D393309:D393327 IZ393309:IZ393327 SV393309:SV393327 ACR393309:ACR393327 AMN393309:AMN393327 AWJ393309:AWJ393327 BGF393309:BGF393327 BQB393309:BQB393327 BZX393309:BZX393327 CJT393309:CJT393327 CTP393309:CTP393327 DDL393309:DDL393327 DNH393309:DNH393327 DXD393309:DXD393327 EGZ393309:EGZ393327 EQV393309:EQV393327 FAR393309:FAR393327 FKN393309:FKN393327 FUJ393309:FUJ393327 GEF393309:GEF393327 GOB393309:GOB393327 GXX393309:GXX393327 HHT393309:HHT393327 HRP393309:HRP393327 IBL393309:IBL393327 ILH393309:ILH393327 IVD393309:IVD393327 JEZ393309:JEZ393327 JOV393309:JOV393327 JYR393309:JYR393327 KIN393309:KIN393327 KSJ393309:KSJ393327 LCF393309:LCF393327 LMB393309:LMB393327 LVX393309:LVX393327 MFT393309:MFT393327 MPP393309:MPP393327 MZL393309:MZL393327 NJH393309:NJH393327 NTD393309:NTD393327 OCZ393309:OCZ393327 OMV393309:OMV393327 OWR393309:OWR393327 PGN393309:PGN393327 PQJ393309:PQJ393327 QAF393309:QAF393327 QKB393309:QKB393327 QTX393309:QTX393327 RDT393309:RDT393327 RNP393309:RNP393327 RXL393309:RXL393327 SHH393309:SHH393327 SRD393309:SRD393327 TAZ393309:TAZ393327 TKV393309:TKV393327 TUR393309:TUR393327 UEN393309:UEN393327 UOJ393309:UOJ393327 UYF393309:UYF393327 VIB393309:VIB393327 VRX393309:VRX393327 WBT393309:WBT393327 WLP393309:WLP393327 WVL393309:WVL393327 D458845:D458863 IZ458845:IZ458863 SV458845:SV458863 ACR458845:ACR458863 AMN458845:AMN458863 AWJ458845:AWJ458863 BGF458845:BGF458863 BQB458845:BQB458863 BZX458845:BZX458863 CJT458845:CJT458863 CTP458845:CTP458863 DDL458845:DDL458863 DNH458845:DNH458863 DXD458845:DXD458863 EGZ458845:EGZ458863 EQV458845:EQV458863 FAR458845:FAR458863 FKN458845:FKN458863 FUJ458845:FUJ458863 GEF458845:GEF458863 GOB458845:GOB458863 GXX458845:GXX458863 HHT458845:HHT458863 HRP458845:HRP458863 IBL458845:IBL458863 ILH458845:ILH458863 IVD458845:IVD458863 JEZ458845:JEZ458863 JOV458845:JOV458863 JYR458845:JYR458863 KIN458845:KIN458863 KSJ458845:KSJ458863 LCF458845:LCF458863 LMB458845:LMB458863 LVX458845:LVX458863 MFT458845:MFT458863 MPP458845:MPP458863 MZL458845:MZL458863 NJH458845:NJH458863 NTD458845:NTD458863 OCZ458845:OCZ458863 OMV458845:OMV458863 OWR458845:OWR458863 PGN458845:PGN458863 PQJ458845:PQJ458863 QAF458845:QAF458863 QKB458845:QKB458863 QTX458845:QTX458863 RDT458845:RDT458863 RNP458845:RNP458863 RXL458845:RXL458863 SHH458845:SHH458863 SRD458845:SRD458863 TAZ458845:TAZ458863 TKV458845:TKV458863 TUR458845:TUR458863 UEN458845:UEN458863 UOJ458845:UOJ458863 UYF458845:UYF458863 VIB458845:VIB458863 VRX458845:VRX458863 WBT458845:WBT458863 WLP458845:WLP458863 WVL458845:WVL458863 D524381:D524399 IZ524381:IZ524399 SV524381:SV524399 ACR524381:ACR524399 AMN524381:AMN524399 AWJ524381:AWJ524399 BGF524381:BGF524399 BQB524381:BQB524399 BZX524381:BZX524399 CJT524381:CJT524399 CTP524381:CTP524399 DDL524381:DDL524399 DNH524381:DNH524399 DXD524381:DXD524399 EGZ524381:EGZ524399 EQV524381:EQV524399 FAR524381:FAR524399 FKN524381:FKN524399 FUJ524381:FUJ524399 GEF524381:GEF524399 GOB524381:GOB524399 GXX524381:GXX524399 HHT524381:HHT524399 HRP524381:HRP524399 IBL524381:IBL524399 ILH524381:ILH524399 IVD524381:IVD524399 JEZ524381:JEZ524399 JOV524381:JOV524399 JYR524381:JYR524399 KIN524381:KIN524399 KSJ524381:KSJ524399 LCF524381:LCF524399 LMB524381:LMB524399 LVX524381:LVX524399 MFT524381:MFT524399 MPP524381:MPP524399 MZL524381:MZL524399 NJH524381:NJH524399 NTD524381:NTD524399 OCZ524381:OCZ524399 OMV524381:OMV524399 OWR524381:OWR524399 PGN524381:PGN524399 PQJ524381:PQJ524399 QAF524381:QAF524399 QKB524381:QKB524399 QTX524381:QTX524399 RDT524381:RDT524399 RNP524381:RNP524399 RXL524381:RXL524399 SHH524381:SHH524399 SRD524381:SRD524399 TAZ524381:TAZ524399 TKV524381:TKV524399 TUR524381:TUR524399 UEN524381:UEN524399 UOJ524381:UOJ524399 UYF524381:UYF524399 VIB524381:VIB524399 VRX524381:VRX524399 WBT524381:WBT524399 WLP524381:WLP524399 WVL524381:WVL524399 D589917:D589935 IZ589917:IZ589935 SV589917:SV589935 ACR589917:ACR589935 AMN589917:AMN589935 AWJ589917:AWJ589935 BGF589917:BGF589935 BQB589917:BQB589935 BZX589917:BZX589935 CJT589917:CJT589935 CTP589917:CTP589935 DDL589917:DDL589935 DNH589917:DNH589935 DXD589917:DXD589935 EGZ589917:EGZ589935 EQV589917:EQV589935 FAR589917:FAR589935 FKN589917:FKN589935 FUJ589917:FUJ589935 GEF589917:GEF589935 GOB589917:GOB589935 GXX589917:GXX589935 HHT589917:HHT589935 HRP589917:HRP589935 IBL589917:IBL589935 ILH589917:ILH589935 IVD589917:IVD589935 JEZ589917:JEZ589935 JOV589917:JOV589935 JYR589917:JYR589935 KIN589917:KIN589935 KSJ589917:KSJ589935 LCF589917:LCF589935 LMB589917:LMB589935 LVX589917:LVX589935 MFT589917:MFT589935 MPP589917:MPP589935 MZL589917:MZL589935 NJH589917:NJH589935 NTD589917:NTD589935 OCZ589917:OCZ589935 OMV589917:OMV589935 OWR589917:OWR589935 PGN589917:PGN589935 PQJ589917:PQJ589935 QAF589917:QAF589935 QKB589917:QKB589935 QTX589917:QTX589935 RDT589917:RDT589935 RNP589917:RNP589935 RXL589917:RXL589935 SHH589917:SHH589935 SRD589917:SRD589935 TAZ589917:TAZ589935 TKV589917:TKV589935 TUR589917:TUR589935 UEN589917:UEN589935 UOJ589917:UOJ589935 UYF589917:UYF589935 VIB589917:VIB589935 VRX589917:VRX589935 WBT589917:WBT589935 WLP589917:WLP589935 WVL589917:WVL589935 D655453:D655471 IZ655453:IZ655471 SV655453:SV655471 ACR655453:ACR655471 AMN655453:AMN655471 AWJ655453:AWJ655471 BGF655453:BGF655471 BQB655453:BQB655471 BZX655453:BZX655471 CJT655453:CJT655471 CTP655453:CTP655471 DDL655453:DDL655471 DNH655453:DNH655471 DXD655453:DXD655471 EGZ655453:EGZ655471 EQV655453:EQV655471 FAR655453:FAR655471 FKN655453:FKN655471 FUJ655453:FUJ655471 GEF655453:GEF655471 GOB655453:GOB655471 GXX655453:GXX655471 HHT655453:HHT655471 HRP655453:HRP655471 IBL655453:IBL655471 ILH655453:ILH655471 IVD655453:IVD655471 JEZ655453:JEZ655471 JOV655453:JOV655471 JYR655453:JYR655471 KIN655453:KIN655471 KSJ655453:KSJ655471 LCF655453:LCF655471 LMB655453:LMB655471 LVX655453:LVX655471 MFT655453:MFT655471 MPP655453:MPP655471 MZL655453:MZL655471 NJH655453:NJH655471 NTD655453:NTD655471 OCZ655453:OCZ655471 OMV655453:OMV655471 OWR655453:OWR655471 PGN655453:PGN655471 PQJ655453:PQJ655471 QAF655453:QAF655471 QKB655453:QKB655471 QTX655453:QTX655471 RDT655453:RDT655471 RNP655453:RNP655471 RXL655453:RXL655471 SHH655453:SHH655471 SRD655453:SRD655471 TAZ655453:TAZ655471 TKV655453:TKV655471 TUR655453:TUR655471 UEN655453:UEN655471 UOJ655453:UOJ655471 UYF655453:UYF655471 VIB655453:VIB655471 VRX655453:VRX655471 WBT655453:WBT655471 WLP655453:WLP655471 WVL655453:WVL655471 D720989:D721007 IZ720989:IZ721007 SV720989:SV721007 ACR720989:ACR721007 AMN720989:AMN721007 AWJ720989:AWJ721007 BGF720989:BGF721007 BQB720989:BQB721007 BZX720989:BZX721007 CJT720989:CJT721007 CTP720989:CTP721007 DDL720989:DDL721007 DNH720989:DNH721007 DXD720989:DXD721007 EGZ720989:EGZ721007 EQV720989:EQV721007 FAR720989:FAR721007 FKN720989:FKN721007 FUJ720989:FUJ721007 GEF720989:GEF721007 GOB720989:GOB721007 GXX720989:GXX721007 HHT720989:HHT721007 HRP720989:HRP721007 IBL720989:IBL721007 ILH720989:ILH721007 IVD720989:IVD721007 JEZ720989:JEZ721007 JOV720989:JOV721007 JYR720989:JYR721007 KIN720989:KIN721007 KSJ720989:KSJ721007 LCF720989:LCF721007 LMB720989:LMB721007 LVX720989:LVX721007 MFT720989:MFT721007 MPP720989:MPP721007 MZL720989:MZL721007 NJH720989:NJH721007 NTD720989:NTD721007 OCZ720989:OCZ721007 OMV720989:OMV721007 OWR720989:OWR721007 PGN720989:PGN721007 PQJ720989:PQJ721007 QAF720989:QAF721007 QKB720989:QKB721007 QTX720989:QTX721007 RDT720989:RDT721007 RNP720989:RNP721007 RXL720989:RXL721007 SHH720989:SHH721007 SRD720989:SRD721007 TAZ720989:TAZ721007 TKV720989:TKV721007 TUR720989:TUR721007 UEN720989:UEN721007 UOJ720989:UOJ721007 UYF720989:UYF721007 VIB720989:VIB721007 VRX720989:VRX721007 WBT720989:WBT721007 WLP720989:WLP721007 WVL720989:WVL721007 D786525:D786543 IZ786525:IZ786543 SV786525:SV786543 ACR786525:ACR786543 AMN786525:AMN786543 AWJ786525:AWJ786543 BGF786525:BGF786543 BQB786525:BQB786543 BZX786525:BZX786543 CJT786525:CJT786543 CTP786525:CTP786543 DDL786525:DDL786543 DNH786525:DNH786543 DXD786525:DXD786543 EGZ786525:EGZ786543 EQV786525:EQV786543 FAR786525:FAR786543 FKN786525:FKN786543 FUJ786525:FUJ786543 GEF786525:GEF786543 GOB786525:GOB786543 GXX786525:GXX786543 HHT786525:HHT786543 HRP786525:HRP786543 IBL786525:IBL786543 ILH786525:ILH786543 IVD786525:IVD786543 JEZ786525:JEZ786543 JOV786525:JOV786543 JYR786525:JYR786543 KIN786525:KIN786543 KSJ786525:KSJ786543 LCF786525:LCF786543 LMB786525:LMB786543 LVX786525:LVX786543 MFT786525:MFT786543 MPP786525:MPP786543 MZL786525:MZL786543 NJH786525:NJH786543 NTD786525:NTD786543 OCZ786525:OCZ786543 OMV786525:OMV786543 OWR786525:OWR786543 PGN786525:PGN786543 PQJ786525:PQJ786543 QAF786525:QAF786543 QKB786525:QKB786543 QTX786525:QTX786543 RDT786525:RDT786543 RNP786525:RNP786543 RXL786525:RXL786543 SHH786525:SHH786543 SRD786525:SRD786543 TAZ786525:TAZ786543 TKV786525:TKV786543 TUR786525:TUR786543 UEN786525:UEN786543 UOJ786525:UOJ786543 UYF786525:UYF786543 VIB786525:VIB786543 VRX786525:VRX786543 WBT786525:WBT786543 WLP786525:WLP786543 WVL786525:WVL786543 D852061:D852079 IZ852061:IZ852079 SV852061:SV852079 ACR852061:ACR852079 AMN852061:AMN852079 AWJ852061:AWJ852079 BGF852061:BGF852079 BQB852061:BQB852079 BZX852061:BZX852079 CJT852061:CJT852079 CTP852061:CTP852079 DDL852061:DDL852079 DNH852061:DNH852079 DXD852061:DXD852079 EGZ852061:EGZ852079 EQV852061:EQV852079 FAR852061:FAR852079 FKN852061:FKN852079 FUJ852061:FUJ852079 GEF852061:GEF852079 GOB852061:GOB852079 GXX852061:GXX852079 HHT852061:HHT852079 HRP852061:HRP852079 IBL852061:IBL852079 ILH852061:ILH852079 IVD852061:IVD852079 JEZ852061:JEZ852079 JOV852061:JOV852079 JYR852061:JYR852079 KIN852061:KIN852079 KSJ852061:KSJ852079 LCF852061:LCF852079 LMB852061:LMB852079 LVX852061:LVX852079 MFT852061:MFT852079 MPP852061:MPP852079 MZL852061:MZL852079 NJH852061:NJH852079 NTD852061:NTD852079 OCZ852061:OCZ852079 OMV852061:OMV852079 OWR852061:OWR852079 PGN852061:PGN852079 PQJ852061:PQJ852079 QAF852061:QAF852079 QKB852061:QKB852079 QTX852061:QTX852079 RDT852061:RDT852079 RNP852061:RNP852079 RXL852061:RXL852079 SHH852061:SHH852079 SRD852061:SRD852079 TAZ852061:TAZ852079 TKV852061:TKV852079 TUR852061:TUR852079 UEN852061:UEN852079 UOJ852061:UOJ852079 UYF852061:UYF852079 VIB852061:VIB852079 VRX852061:VRX852079 WBT852061:WBT852079 WLP852061:WLP852079 WVL852061:WVL852079 D917597:D917615 IZ917597:IZ917615 SV917597:SV917615 ACR917597:ACR917615 AMN917597:AMN917615 AWJ917597:AWJ917615 BGF917597:BGF917615 BQB917597:BQB917615 BZX917597:BZX917615 CJT917597:CJT917615 CTP917597:CTP917615 DDL917597:DDL917615 DNH917597:DNH917615 DXD917597:DXD917615 EGZ917597:EGZ917615 EQV917597:EQV917615 FAR917597:FAR917615 FKN917597:FKN917615 FUJ917597:FUJ917615 GEF917597:GEF917615 GOB917597:GOB917615 GXX917597:GXX917615 HHT917597:HHT917615 HRP917597:HRP917615 IBL917597:IBL917615 ILH917597:ILH917615 IVD917597:IVD917615 JEZ917597:JEZ917615 JOV917597:JOV917615 JYR917597:JYR917615 KIN917597:KIN917615 KSJ917597:KSJ917615 LCF917597:LCF917615 LMB917597:LMB917615 LVX917597:LVX917615 MFT917597:MFT917615 MPP917597:MPP917615 MZL917597:MZL917615 NJH917597:NJH917615 NTD917597:NTD917615 OCZ917597:OCZ917615 OMV917597:OMV917615 OWR917597:OWR917615 PGN917597:PGN917615 PQJ917597:PQJ917615 QAF917597:QAF917615 QKB917597:QKB917615 QTX917597:QTX917615 RDT917597:RDT917615 RNP917597:RNP917615 RXL917597:RXL917615 SHH917597:SHH917615 SRD917597:SRD917615 TAZ917597:TAZ917615 TKV917597:TKV917615 TUR917597:TUR917615 UEN917597:UEN917615 UOJ917597:UOJ917615 UYF917597:UYF917615 VIB917597:VIB917615 VRX917597:VRX917615 WBT917597:WBT917615 WLP917597:WLP917615 WVL917597:WVL917615 D983133:D983151 IZ983133:IZ983151 SV983133:SV983151 ACR983133:ACR983151 AMN983133:AMN983151 AWJ983133:AWJ983151 BGF983133:BGF983151 BQB983133:BQB983151 BZX983133:BZX983151 CJT983133:CJT983151 CTP983133:CTP983151 DDL983133:DDL983151 DNH983133:DNH983151 DXD983133:DXD983151 EGZ983133:EGZ983151 EQV983133:EQV983151 FAR983133:FAR983151 FKN983133:FKN983151 FUJ983133:FUJ983151 GEF983133:GEF983151 GOB983133:GOB983151 GXX983133:GXX983151 HHT983133:HHT983151 HRP983133:HRP983151 IBL983133:IBL983151 ILH983133:ILH983151 IVD983133:IVD983151 JEZ983133:JEZ983151 JOV983133:JOV983151 JYR983133:JYR983151 KIN983133:KIN983151 KSJ983133:KSJ983151 LCF983133:LCF983151 LMB983133:LMB983151 LVX983133:LVX983151 MFT983133:MFT983151 MPP983133:MPP983151 MZL983133:MZL983151 NJH983133:NJH983151 NTD983133:NTD983151 OCZ983133:OCZ983151 OMV983133:OMV983151 OWR983133:OWR983151 PGN983133:PGN983151 PQJ983133:PQJ983151 QAF983133:QAF983151 QKB983133:QKB983151 QTX983133:QTX983151 RDT983133:RDT983151 RNP983133:RNP983151 RXL983133:RXL983151 SHH983133:SHH983151 SRD983133:SRD983151 TAZ983133:TAZ983151 TKV983133:TKV983151 TUR983133:TUR983151 UEN983133:UEN983151 UOJ983133:UOJ983151 UYF983133:UYF983151 VIB983133:VIB983151 VRX983133:VRX983151 WBT983133:WBT983151 WLP983133:WLP983151 WVL983133:WVL983151 WVT983133:WVT983151 JH14:JH32 TD14:TD32 ACZ14:ACZ32 AMV14:AMV32 AWR14:AWR32 BGN14:BGN32 BQJ14:BQJ32 CAF14:CAF32 CKB14:CKB32 CTX14:CTX32 DDT14:DDT32 DNP14:DNP32 DXL14:DXL32 EHH14:EHH32 ERD14:ERD32 FAZ14:FAZ32 FKV14:FKV32 FUR14:FUR32 GEN14:GEN32 GOJ14:GOJ32 GYF14:GYF32 HIB14:HIB32 HRX14:HRX32 IBT14:IBT32 ILP14:ILP32 IVL14:IVL32 JFH14:JFH32 JPD14:JPD32 JYZ14:JYZ32 KIV14:KIV32 KSR14:KSR32 LCN14:LCN32 LMJ14:LMJ32 LWF14:LWF32 MGB14:MGB32 MPX14:MPX32 MZT14:MZT32 NJP14:NJP32 NTL14:NTL32 ODH14:ODH32 OND14:OND32 OWZ14:OWZ32 PGV14:PGV32 PQR14:PQR32 QAN14:QAN32 QKJ14:QKJ32 QUF14:QUF32 REB14:REB32 RNX14:RNX32 RXT14:RXT32 SHP14:SHP32 SRL14:SRL32 TBH14:TBH32 TLD14:TLD32 TUZ14:TUZ32 UEV14:UEV32 UOR14:UOR32 UYN14:UYN32 VIJ14:VIJ32 VSF14:VSF32 WCB14:WCB32 WLX14:WLX32 WVT14:WVT32 L65629:L65647 JH65629:JH65647 TD65629:TD65647 ACZ65629:ACZ65647 AMV65629:AMV65647 AWR65629:AWR65647 BGN65629:BGN65647 BQJ65629:BQJ65647 CAF65629:CAF65647 CKB65629:CKB65647 CTX65629:CTX65647 DDT65629:DDT65647 DNP65629:DNP65647 DXL65629:DXL65647 EHH65629:EHH65647 ERD65629:ERD65647 FAZ65629:FAZ65647 FKV65629:FKV65647 FUR65629:FUR65647 GEN65629:GEN65647 GOJ65629:GOJ65647 GYF65629:GYF65647 HIB65629:HIB65647 HRX65629:HRX65647 IBT65629:IBT65647 ILP65629:ILP65647 IVL65629:IVL65647 JFH65629:JFH65647 JPD65629:JPD65647 JYZ65629:JYZ65647 KIV65629:KIV65647 KSR65629:KSR65647 LCN65629:LCN65647 LMJ65629:LMJ65647 LWF65629:LWF65647 MGB65629:MGB65647 MPX65629:MPX65647 MZT65629:MZT65647 NJP65629:NJP65647 NTL65629:NTL65647 ODH65629:ODH65647 OND65629:OND65647 OWZ65629:OWZ65647 PGV65629:PGV65647 PQR65629:PQR65647 QAN65629:QAN65647 QKJ65629:QKJ65647 QUF65629:QUF65647 REB65629:REB65647 RNX65629:RNX65647 RXT65629:RXT65647 SHP65629:SHP65647 SRL65629:SRL65647 TBH65629:TBH65647 TLD65629:TLD65647 TUZ65629:TUZ65647 UEV65629:UEV65647 UOR65629:UOR65647 UYN65629:UYN65647 VIJ65629:VIJ65647 VSF65629:VSF65647 WCB65629:WCB65647 WLX65629:WLX65647 WVT65629:WVT65647 L131165:L131183 JH131165:JH131183 TD131165:TD131183 ACZ131165:ACZ131183 AMV131165:AMV131183 AWR131165:AWR131183 BGN131165:BGN131183 BQJ131165:BQJ131183 CAF131165:CAF131183 CKB131165:CKB131183 CTX131165:CTX131183 DDT131165:DDT131183 DNP131165:DNP131183 DXL131165:DXL131183 EHH131165:EHH131183 ERD131165:ERD131183 FAZ131165:FAZ131183 FKV131165:FKV131183 FUR131165:FUR131183 GEN131165:GEN131183 GOJ131165:GOJ131183 GYF131165:GYF131183 HIB131165:HIB131183 HRX131165:HRX131183 IBT131165:IBT131183 ILP131165:ILP131183 IVL131165:IVL131183 JFH131165:JFH131183 JPD131165:JPD131183 JYZ131165:JYZ131183 KIV131165:KIV131183 KSR131165:KSR131183 LCN131165:LCN131183 LMJ131165:LMJ131183 LWF131165:LWF131183 MGB131165:MGB131183 MPX131165:MPX131183 MZT131165:MZT131183 NJP131165:NJP131183 NTL131165:NTL131183 ODH131165:ODH131183 OND131165:OND131183 OWZ131165:OWZ131183 PGV131165:PGV131183 PQR131165:PQR131183 QAN131165:QAN131183 QKJ131165:QKJ131183 QUF131165:QUF131183 REB131165:REB131183 RNX131165:RNX131183 RXT131165:RXT131183 SHP131165:SHP131183 SRL131165:SRL131183 TBH131165:TBH131183 TLD131165:TLD131183 TUZ131165:TUZ131183 UEV131165:UEV131183 UOR131165:UOR131183 UYN131165:UYN131183 VIJ131165:VIJ131183 VSF131165:VSF131183 WCB131165:WCB131183 WLX131165:WLX131183 WVT131165:WVT131183 L196701:L196719 JH196701:JH196719 TD196701:TD196719 ACZ196701:ACZ196719 AMV196701:AMV196719 AWR196701:AWR196719 BGN196701:BGN196719 BQJ196701:BQJ196719 CAF196701:CAF196719 CKB196701:CKB196719 CTX196701:CTX196719 DDT196701:DDT196719 DNP196701:DNP196719 DXL196701:DXL196719 EHH196701:EHH196719 ERD196701:ERD196719 FAZ196701:FAZ196719 FKV196701:FKV196719 FUR196701:FUR196719 GEN196701:GEN196719 GOJ196701:GOJ196719 GYF196701:GYF196719 HIB196701:HIB196719 HRX196701:HRX196719 IBT196701:IBT196719 ILP196701:ILP196719 IVL196701:IVL196719 JFH196701:JFH196719 JPD196701:JPD196719 JYZ196701:JYZ196719 KIV196701:KIV196719 KSR196701:KSR196719 LCN196701:LCN196719 LMJ196701:LMJ196719 LWF196701:LWF196719 MGB196701:MGB196719 MPX196701:MPX196719 MZT196701:MZT196719 NJP196701:NJP196719 NTL196701:NTL196719 ODH196701:ODH196719 OND196701:OND196719 OWZ196701:OWZ196719 PGV196701:PGV196719 PQR196701:PQR196719 QAN196701:QAN196719 QKJ196701:QKJ196719 QUF196701:QUF196719 REB196701:REB196719 RNX196701:RNX196719 RXT196701:RXT196719 SHP196701:SHP196719 SRL196701:SRL196719 TBH196701:TBH196719 TLD196701:TLD196719 TUZ196701:TUZ196719 UEV196701:UEV196719 UOR196701:UOR196719 UYN196701:UYN196719 VIJ196701:VIJ196719 VSF196701:VSF196719 WCB196701:WCB196719 WLX196701:WLX196719 WVT196701:WVT196719 L262237:L262255 JH262237:JH262255 TD262237:TD262255 ACZ262237:ACZ262255 AMV262237:AMV262255 AWR262237:AWR262255 BGN262237:BGN262255 BQJ262237:BQJ262255 CAF262237:CAF262255 CKB262237:CKB262255 CTX262237:CTX262255 DDT262237:DDT262255 DNP262237:DNP262255 DXL262237:DXL262255 EHH262237:EHH262255 ERD262237:ERD262255 FAZ262237:FAZ262255 FKV262237:FKV262255 FUR262237:FUR262255 GEN262237:GEN262255 GOJ262237:GOJ262255 GYF262237:GYF262255 HIB262237:HIB262255 HRX262237:HRX262255 IBT262237:IBT262255 ILP262237:ILP262255 IVL262237:IVL262255 JFH262237:JFH262255 JPD262237:JPD262255 JYZ262237:JYZ262255 KIV262237:KIV262255 KSR262237:KSR262255 LCN262237:LCN262255 LMJ262237:LMJ262255 LWF262237:LWF262255 MGB262237:MGB262255 MPX262237:MPX262255 MZT262237:MZT262255 NJP262237:NJP262255 NTL262237:NTL262255 ODH262237:ODH262255 OND262237:OND262255 OWZ262237:OWZ262255 PGV262237:PGV262255 PQR262237:PQR262255 QAN262237:QAN262255 QKJ262237:QKJ262255 QUF262237:QUF262255 REB262237:REB262255 RNX262237:RNX262255 RXT262237:RXT262255 SHP262237:SHP262255 SRL262237:SRL262255 TBH262237:TBH262255 TLD262237:TLD262255 TUZ262237:TUZ262255 UEV262237:UEV262255 UOR262237:UOR262255 UYN262237:UYN262255 VIJ262237:VIJ262255 VSF262237:VSF262255 WCB262237:WCB262255 WLX262237:WLX262255 WVT262237:WVT262255 L327773:L327791 JH327773:JH327791 TD327773:TD327791 ACZ327773:ACZ327791 AMV327773:AMV327791 AWR327773:AWR327791 BGN327773:BGN327791 BQJ327773:BQJ327791 CAF327773:CAF327791 CKB327773:CKB327791 CTX327773:CTX327791 DDT327773:DDT327791 DNP327773:DNP327791 DXL327773:DXL327791 EHH327773:EHH327791 ERD327773:ERD327791 FAZ327773:FAZ327791 FKV327773:FKV327791 FUR327773:FUR327791 GEN327773:GEN327791 GOJ327773:GOJ327791 GYF327773:GYF327791 HIB327773:HIB327791 HRX327773:HRX327791 IBT327773:IBT327791 ILP327773:ILP327791 IVL327773:IVL327791 JFH327773:JFH327791 JPD327773:JPD327791 JYZ327773:JYZ327791 KIV327773:KIV327791 KSR327773:KSR327791 LCN327773:LCN327791 LMJ327773:LMJ327791 LWF327773:LWF327791 MGB327773:MGB327791 MPX327773:MPX327791 MZT327773:MZT327791 NJP327773:NJP327791 NTL327773:NTL327791 ODH327773:ODH327791 OND327773:OND327791 OWZ327773:OWZ327791 PGV327773:PGV327791 PQR327773:PQR327791 QAN327773:QAN327791 QKJ327773:QKJ327791 QUF327773:QUF327791 REB327773:REB327791 RNX327773:RNX327791 RXT327773:RXT327791 SHP327773:SHP327791 SRL327773:SRL327791 TBH327773:TBH327791 TLD327773:TLD327791 TUZ327773:TUZ327791 UEV327773:UEV327791 UOR327773:UOR327791 UYN327773:UYN327791 VIJ327773:VIJ327791 VSF327773:VSF327791 WCB327773:WCB327791 WLX327773:WLX327791 WVT327773:WVT327791 L393309:L393327 JH393309:JH393327 TD393309:TD393327 ACZ393309:ACZ393327 AMV393309:AMV393327 AWR393309:AWR393327 BGN393309:BGN393327 BQJ393309:BQJ393327 CAF393309:CAF393327 CKB393309:CKB393327 CTX393309:CTX393327 DDT393309:DDT393327 DNP393309:DNP393327 DXL393309:DXL393327 EHH393309:EHH393327 ERD393309:ERD393327 FAZ393309:FAZ393327 FKV393309:FKV393327 FUR393309:FUR393327 GEN393309:GEN393327 GOJ393309:GOJ393327 GYF393309:GYF393327 HIB393309:HIB393327 HRX393309:HRX393327 IBT393309:IBT393327 ILP393309:ILP393327 IVL393309:IVL393327 JFH393309:JFH393327 JPD393309:JPD393327 JYZ393309:JYZ393327 KIV393309:KIV393327 KSR393309:KSR393327 LCN393309:LCN393327 LMJ393309:LMJ393327 LWF393309:LWF393327 MGB393309:MGB393327 MPX393309:MPX393327 MZT393309:MZT393327 NJP393309:NJP393327 NTL393309:NTL393327 ODH393309:ODH393327 OND393309:OND393327 OWZ393309:OWZ393327 PGV393309:PGV393327 PQR393309:PQR393327 QAN393309:QAN393327 QKJ393309:QKJ393327 QUF393309:QUF393327 REB393309:REB393327 RNX393309:RNX393327 RXT393309:RXT393327 SHP393309:SHP393327 SRL393309:SRL393327 TBH393309:TBH393327 TLD393309:TLD393327 TUZ393309:TUZ393327 UEV393309:UEV393327 UOR393309:UOR393327 UYN393309:UYN393327 VIJ393309:VIJ393327 VSF393309:VSF393327 WCB393309:WCB393327 WLX393309:WLX393327 WVT393309:WVT393327 L458845:L458863 JH458845:JH458863 TD458845:TD458863 ACZ458845:ACZ458863 AMV458845:AMV458863 AWR458845:AWR458863 BGN458845:BGN458863 BQJ458845:BQJ458863 CAF458845:CAF458863 CKB458845:CKB458863 CTX458845:CTX458863 DDT458845:DDT458863 DNP458845:DNP458863 DXL458845:DXL458863 EHH458845:EHH458863 ERD458845:ERD458863 FAZ458845:FAZ458863 FKV458845:FKV458863 FUR458845:FUR458863 GEN458845:GEN458863 GOJ458845:GOJ458863 GYF458845:GYF458863 HIB458845:HIB458863 HRX458845:HRX458863 IBT458845:IBT458863 ILP458845:ILP458863 IVL458845:IVL458863 JFH458845:JFH458863 JPD458845:JPD458863 JYZ458845:JYZ458863 KIV458845:KIV458863 KSR458845:KSR458863 LCN458845:LCN458863 LMJ458845:LMJ458863 LWF458845:LWF458863 MGB458845:MGB458863 MPX458845:MPX458863 MZT458845:MZT458863 NJP458845:NJP458863 NTL458845:NTL458863 ODH458845:ODH458863 OND458845:OND458863 OWZ458845:OWZ458863 PGV458845:PGV458863 PQR458845:PQR458863 QAN458845:QAN458863 QKJ458845:QKJ458863 QUF458845:QUF458863 REB458845:REB458863 RNX458845:RNX458863 RXT458845:RXT458863 SHP458845:SHP458863 SRL458845:SRL458863 TBH458845:TBH458863 TLD458845:TLD458863 TUZ458845:TUZ458863 UEV458845:UEV458863 UOR458845:UOR458863 UYN458845:UYN458863 VIJ458845:VIJ458863 VSF458845:VSF458863 WCB458845:WCB458863 WLX458845:WLX458863 WVT458845:WVT458863 L524381:L524399 JH524381:JH524399 TD524381:TD524399 ACZ524381:ACZ524399 AMV524381:AMV524399 AWR524381:AWR524399 BGN524381:BGN524399 BQJ524381:BQJ524399 CAF524381:CAF524399 CKB524381:CKB524399 CTX524381:CTX524399 DDT524381:DDT524399 DNP524381:DNP524399 DXL524381:DXL524399 EHH524381:EHH524399 ERD524381:ERD524399 FAZ524381:FAZ524399 FKV524381:FKV524399 FUR524381:FUR524399 GEN524381:GEN524399 GOJ524381:GOJ524399 GYF524381:GYF524399 HIB524381:HIB524399 HRX524381:HRX524399 IBT524381:IBT524399 ILP524381:ILP524399 IVL524381:IVL524399 JFH524381:JFH524399 JPD524381:JPD524399 JYZ524381:JYZ524399 KIV524381:KIV524399 KSR524381:KSR524399 LCN524381:LCN524399 LMJ524381:LMJ524399 LWF524381:LWF524399 MGB524381:MGB524399 MPX524381:MPX524399 MZT524381:MZT524399 NJP524381:NJP524399 NTL524381:NTL524399 ODH524381:ODH524399 OND524381:OND524399 OWZ524381:OWZ524399 PGV524381:PGV524399 PQR524381:PQR524399 QAN524381:QAN524399 QKJ524381:QKJ524399 QUF524381:QUF524399 REB524381:REB524399 RNX524381:RNX524399 RXT524381:RXT524399 SHP524381:SHP524399 SRL524381:SRL524399 TBH524381:TBH524399 TLD524381:TLD524399 TUZ524381:TUZ524399 UEV524381:UEV524399 UOR524381:UOR524399 UYN524381:UYN524399 VIJ524381:VIJ524399 VSF524381:VSF524399 WCB524381:WCB524399 WLX524381:WLX524399 WVT524381:WVT524399 L589917:L589935 JH589917:JH589935 TD589917:TD589935 ACZ589917:ACZ589935 AMV589917:AMV589935 AWR589917:AWR589935 BGN589917:BGN589935 BQJ589917:BQJ589935 CAF589917:CAF589935 CKB589917:CKB589935 CTX589917:CTX589935 DDT589917:DDT589935 DNP589917:DNP589935 DXL589917:DXL589935 EHH589917:EHH589935 ERD589917:ERD589935 FAZ589917:FAZ589935 FKV589917:FKV589935 FUR589917:FUR589935 GEN589917:GEN589935 GOJ589917:GOJ589935 GYF589917:GYF589935 HIB589917:HIB589935 HRX589917:HRX589935 IBT589917:IBT589935 ILP589917:ILP589935 IVL589917:IVL589935 JFH589917:JFH589935 JPD589917:JPD589935 JYZ589917:JYZ589935 KIV589917:KIV589935 KSR589917:KSR589935 LCN589917:LCN589935 LMJ589917:LMJ589935 LWF589917:LWF589935 MGB589917:MGB589935 MPX589917:MPX589935 MZT589917:MZT589935 NJP589917:NJP589935 NTL589917:NTL589935 ODH589917:ODH589935 OND589917:OND589935 OWZ589917:OWZ589935 PGV589917:PGV589935 PQR589917:PQR589935 QAN589917:QAN589935 QKJ589917:QKJ589935 QUF589917:QUF589935 REB589917:REB589935 RNX589917:RNX589935 RXT589917:RXT589935 SHP589917:SHP589935 SRL589917:SRL589935 TBH589917:TBH589935 TLD589917:TLD589935 TUZ589917:TUZ589935 UEV589917:UEV589935 UOR589917:UOR589935 UYN589917:UYN589935 VIJ589917:VIJ589935 VSF589917:VSF589935 WCB589917:WCB589935 WLX589917:WLX589935 WVT589917:WVT589935 L655453:L655471 JH655453:JH655471 TD655453:TD655471 ACZ655453:ACZ655471 AMV655453:AMV655471 AWR655453:AWR655471 BGN655453:BGN655471 BQJ655453:BQJ655471 CAF655453:CAF655471 CKB655453:CKB655471 CTX655453:CTX655471 DDT655453:DDT655471 DNP655453:DNP655471 DXL655453:DXL655471 EHH655453:EHH655471 ERD655453:ERD655471 FAZ655453:FAZ655471 FKV655453:FKV655471 FUR655453:FUR655471 GEN655453:GEN655471 GOJ655453:GOJ655471 GYF655453:GYF655471 HIB655453:HIB655471 HRX655453:HRX655471 IBT655453:IBT655471 ILP655453:ILP655471 IVL655453:IVL655471 JFH655453:JFH655471 JPD655453:JPD655471 JYZ655453:JYZ655471 KIV655453:KIV655471 KSR655453:KSR655471 LCN655453:LCN655471 LMJ655453:LMJ655471 LWF655453:LWF655471 MGB655453:MGB655471 MPX655453:MPX655471 MZT655453:MZT655471 NJP655453:NJP655471 NTL655453:NTL655471 ODH655453:ODH655471 OND655453:OND655471 OWZ655453:OWZ655471 PGV655453:PGV655471 PQR655453:PQR655471 QAN655453:QAN655471 QKJ655453:QKJ655471 QUF655453:QUF655471 REB655453:REB655471 RNX655453:RNX655471 RXT655453:RXT655471 SHP655453:SHP655471 SRL655453:SRL655471 TBH655453:TBH655471 TLD655453:TLD655471 TUZ655453:TUZ655471 UEV655453:UEV655471 UOR655453:UOR655471 UYN655453:UYN655471 VIJ655453:VIJ655471 VSF655453:VSF655471 WCB655453:WCB655471 WLX655453:WLX655471 WVT655453:WVT655471 L720989:L721007 JH720989:JH721007 TD720989:TD721007 ACZ720989:ACZ721007 AMV720989:AMV721007 AWR720989:AWR721007 BGN720989:BGN721007 BQJ720989:BQJ721007 CAF720989:CAF721007 CKB720989:CKB721007 CTX720989:CTX721007 DDT720989:DDT721007 DNP720989:DNP721007 DXL720989:DXL721007 EHH720989:EHH721007 ERD720989:ERD721007 FAZ720989:FAZ721007 FKV720989:FKV721007 FUR720989:FUR721007 GEN720989:GEN721007 GOJ720989:GOJ721007 GYF720989:GYF721007 HIB720989:HIB721007 HRX720989:HRX721007 IBT720989:IBT721007 ILP720989:ILP721007 IVL720989:IVL721007 JFH720989:JFH721007 JPD720989:JPD721007 JYZ720989:JYZ721007 KIV720989:KIV721007 KSR720989:KSR721007 LCN720989:LCN721007 LMJ720989:LMJ721007 LWF720989:LWF721007 MGB720989:MGB721007 MPX720989:MPX721007 MZT720989:MZT721007 NJP720989:NJP721007 NTL720989:NTL721007 ODH720989:ODH721007 OND720989:OND721007 OWZ720989:OWZ721007 PGV720989:PGV721007 PQR720989:PQR721007 QAN720989:QAN721007 QKJ720989:QKJ721007 QUF720989:QUF721007 REB720989:REB721007 RNX720989:RNX721007 RXT720989:RXT721007 SHP720989:SHP721007 SRL720989:SRL721007 TBH720989:TBH721007 TLD720989:TLD721007 TUZ720989:TUZ721007 UEV720989:UEV721007 UOR720989:UOR721007 UYN720989:UYN721007 VIJ720989:VIJ721007 VSF720989:VSF721007 WCB720989:WCB721007 WLX720989:WLX721007 WVT720989:WVT721007 L786525:L786543 JH786525:JH786543 TD786525:TD786543 ACZ786525:ACZ786543 AMV786525:AMV786543 AWR786525:AWR786543 BGN786525:BGN786543 BQJ786525:BQJ786543 CAF786525:CAF786543 CKB786525:CKB786543 CTX786525:CTX786543 DDT786525:DDT786543 DNP786525:DNP786543 DXL786525:DXL786543 EHH786525:EHH786543 ERD786525:ERD786543 FAZ786525:FAZ786543 FKV786525:FKV786543 FUR786525:FUR786543 GEN786525:GEN786543 GOJ786525:GOJ786543 GYF786525:GYF786543 HIB786525:HIB786543 HRX786525:HRX786543 IBT786525:IBT786543 ILP786525:ILP786543 IVL786525:IVL786543 JFH786525:JFH786543 JPD786525:JPD786543 JYZ786525:JYZ786543 KIV786525:KIV786543 KSR786525:KSR786543 LCN786525:LCN786543 LMJ786525:LMJ786543 LWF786525:LWF786543 MGB786525:MGB786543 MPX786525:MPX786543 MZT786525:MZT786543 NJP786525:NJP786543 NTL786525:NTL786543 ODH786525:ODH786543 OND786525:OND786543 OWZ786525:OWZ786543 PGV786525:PGV786543 PQR786525:PQR786543 QAN786525:QAN786543 QKJ786525:QKJ786543 QUF786525:QUF786543 REB786525:REB786543 RNX786525:RNX786543 RXT786525:RXT786543 SHP786525:SHP786543 SRL786525:SRL786543 TBH786525:TBH786543 TLD786525:TLD786543 TUZ786525:TUZ786543 UEV786525:UEV786543 UOR786525:UOR786543 UYN786525:UYN786543 VIJ786525:VIJ786543 VSF786525:VSF786543 WCB786525:WCB786543 WLX786525:WLX786543 WVT786525:WVT786543 L852061:L852079 JH852061:JH852079 TD852061:TD852079 ACZ852061:ACZ852079 AMV852061:AMV852079 AWR852061:AWR852079 BGN852061:BGN852079 BQJ852061:BQJ852079 CAF852061:CAF852079 CKB852061:CKB852079 CTX852061:CTX852079 DDT852061:DDT852079 DNP852061:DNP852079 DXL852061:DXL852079 EHH852061:EHH852079 ERD852061:ERD852079 FAZ852061:FAZ852079 FKV852061:FKV852079 FUR852061:FUR852079 GEN852061:GEN852079 GOJ852061:GOJ852079 GYF852061:GYF852079 HIB852061:HIB852079 HRX852061:HRX852079 IBT852061:IBT852079 ILP852061:ILP852079 IVL852061:IVL852079 JFH852061:JFH852079 JPD852061:JPD852079 JYZ852061:JYZ852079 KIV852061:KIV852079 KSR852061:KSR852079 LCN852061:LCN852079 LMJ852061:LMJ852079 LWF852061:LWF852079 MGB852061:MGB852079 MPX852061:MPX852079 MZT852061:MZT852079 NJP852061:NJP852079 NTL852061:NTL852079 ODH852061:ODH852079 OND852061:OND852079 OWZ852061:OWZ852079 PGV852061:PGV852079 PQR852061:PQR852079 QAN852061:QAN852079 QKJ852061:QKJ852079 QUF852061:QUF852079 REB852061:REB852079 RNX852061:RNX852079 RXT852061:RXT852079 SHP852061:SHP852079 SRL852061:SRL852079 TBH852061:TBH852079 TLD852061:TLD852079 TUZ852061:TUZ852079 UEV852061:UEV852079 UOR852061:UOR852079 UYN852061:UYN852079 VIJ852061:VIJ852079 VSF852061:VSF852079 WCB852061:WCB852079 WLX852061:WLX852079 WVT852061:WVT852079 L917597:L917615 JH917597:JH917615 TD917597:TD917615 ACZ917597:ACZ917615 AMV917597:AMV917615 AWR917597:AWR917615 BGN917597:BGN917615 BQJ917597:BQJ917615 CAF917597:CAF917615 CKB917597:CKB917615 CTX917597:CTX917615 DDT917597:DDT917615 DNP917597:DNP917615 DXL917597:DXL917615 EHH917597:EHH917615 ERD917597:ERD917615 FAZ917597:FAZ917615 FKV917597:FKV917615 FUR917597:FUR917615 GEN917597:GEN917615 GOJ917597:GOJ917615 GYF917597:GYF917615 HIB917597:HIB917615 HRX917597:HRX917615 IBT917597:IBT917615 ILP917597:ILP917615 IVL917597:IVL917615 JFH917597:JFH917615 JPD917597:JPD917615 JYZ917597:JYZ917615 KIV917597:KIV917615 KSR917597:KSR917615 LCN917597:LCN917615 LMJ917597:LMJ917615 LWF917597:LWF917615 MGB917597:MGB917615 MPX917597:MPX917615 MZT917597:MZT917615 NJP917597:NJP917615 NTL917597:NTL917615 ODH917597:ODH917615 OND917597:OND917615 OWZ917597:OWZ917615 PGV917597:PGV917615 PQR917597:PQR917615 QAN917597:QAN917615 QKJ917597:QKJ917615 QUF917597:QUF917615 REB917597:REB917615 RNX917597:RNX917615 RXT917597:RXT917615 SHP917597:SHP917615 SRL917597:SRL917615 TBH917597:TBH917615 TLD917597:TLD917615 TUZ917597:TUZ917615 UEV917597:UEV917615 UOR917597:UOR917615 UYN917597:UYN917615 VIJ917597:VIJ917615 VSF917597:VSF917615 WCB917597:WCB917615 WLX917597:WLX917615 WVT917597:WVT917615 L983133:L983151 JH983133:JH983151 TD983133:TD983151 ACZ983133:ACZ983151 AMV983133:AMV983151 AWR983133:AWR983151 BGN983133:BGN983151 BQJ983133:BQJ983151 CAF983133:CAF983151 CKB983133:CKB983151 CTX983133:CTX983151 DDT983133:DDT983151 DNP983133:DNP983151 DXL983133:DXL983151 EHH983133:EHH983151 ERD983133:ERD983151 FAZ983133:FAZ983151 FKV983133:FKV983151 FUR983133:FUR983151 GEN983133:GEN983151 GOJ983133:GOJ983151 GYF983133:GYF983151 HIB983133:HIB983151 HRX983133:HRX983151 IBT983133:IBT983151 ILP983133:ILP983151 IVL983133:IVL983151 JFH983133:JFH983151 JPD983133:JPD983151 JYZ983133:JYZ983151 KIV983133:KIV983151 KSR983133:KSR983151 LCN983133:LCN983151 LMJ983133:LMJ983151 LWF983133:LWF983151 MGB983133:MGB983151 MPX983133:MPX983151 MZT983133:MZT983151 NJP983133:NJP983151 NTL983133:NTL983151 ODH983133:ODH983151 OND983133:OND983151 OWZ983133:OWZ983151 PGV983133:PGV983151 PQR983133:PQR983151 QAN983133:QAN983151 QKJ983133:QKJ983151 QUF983133:QUF983151 REB983133:REB983151 RNX983133:RNX983151 RXT983133:RXT983151 SHP983133:SHP983151 SRL983133:SRL983151 TBH983133:TBH983151 TLD983133:TLD983151 TUZ983133:TUZ983151 UEV983133:UEV983151 UOR983133:UOR983151 UYN983133:UYN983151 VIJ983133:VIJ983151 VSF983133:VSF983151 WCB983133:WCB983151 WLX983133:WLX983151 L14:L32 D14:D32" xr:uid="{00000000-0002-0000-2F00-000001000000}">
      <formula1>4</formula1>
    </dataValidation>
    <dataValidation operator="notEqual" allowBlank="1" showInputMessage="1" showErrorMessage="1" errorTitle="Wrong Account" error="NCAS Accounts 438030 and 538030 are NOT transfer accounts. Please contact your OSC analyst before proceeding." sqref="F15:F32" xr:uid="{538D0E7F-273A-4AAE-AC8D-2833F8DEEC22}"/>
    <dataValidation operator="notEqual" allowBlank="1" showInputMessage="1" showErrorMessage="1" errorTitle="Wrong Account" error="NCAS Accounts 438030 and 538030 are NOT transfer accounts. Please contact your OSC analyst before proceeding." sqref="N15:N32" xr:uid="{5E8D496E-EF11-4302-B48E-EE528B3C41CE}"/>
  </dataValidations>
  <hyperlinks>
    <hyperlink ref="B1:P1" location="Index!A1" display="Index!A1" xr:uid="{00000000-0004-0000-2F00-000000000000}"/>
  </hyperlinks>
  <printOptions horizontalCentered="1"/>
  <pageMargins left="0.5" right="0.5" top="0.75" bottom="0.5" header="0.5" footer="0.5"/>
  <pageSetup orientation="landscape" blackAndWhite="1" r:id="rId1"/>
  <headerFooter alignWithMargins="0">
    <oddFooter>&amp;R&amp;A</oddFooter>
  </headerFooter>
  <ignoredErrors>
    <ignoredError sqref="J14 B14" numberStoredAsText="1"/>
    <ignoredError sqref="P33 H33" formulaRange="1"/>
    <ignoredError sqref="M6:P7" unlockedFormula="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7">
    <pageSetUpPr fitToPage="1"/>
  </sheetPr>
  <dimension ref="A1:Z171"/>
  <sheetViews>
    <sheetView showGridLines="0" zoomScaleNormal="100" workbookViewId="0">
      <selection activeCell="A2" sqref="A2:Q2"/>
    </sheetView>
  </sheetViews>
  <sheetFormatPr defaultRowHeight="15.75" x14ac:dyDescent="0.25"/>
  <cols>
    <col min="1" max="1" width="11.5703125" style="1755" customWidth="1"/>
    <col min="2" max="2" width="1.5703125" style="1755" customWidth="1"/>
    <col min="3" max="3" width="15.42578125" style="1755" customWidth="1"/>
    <col min="4" max="4" width="1.5703125" style="1755" customWidth="1"/>
    <col min="5" max="5" width="24" style="1755" customWidth="1"/>
    <col min="6" max="6" width="1.5703125" style="1755" customWidth="1"/>
    <col min="7" max="7" width="17.42578125" style="1755" customWidth="1"/>
    <col min="8" max="8" width="1.5703125" style="1755" customWidth="1"/>
    <col min="9" max="9" width="18.42578125" style="1755" customWidth="1"/>
    <col min="10" max="10" width="1.5703125" style="1755" customWidth="1"/>
    <col min="11" max="11" width="32.42578125" style="1755" customWidth="1"/>
    <col min="12" max="12" width="2.42578125" style="1755" customWidth="1"/>
    <col min="13" max="13" width="14.5703125" style="1755" customWidth="1"/>
    <col min="14" max="14" width="3" style="1755" customWidth="1"/>
    <col min="15" max="15" width="11" style="1755" customWidth="1"/>
    <col min="16" max="16" width="2.42578125" style="1755" customWidth="1"/>
    <col min="17" max="17" width="10.42578125" style="1755" customWidth="1"/>
    <col min="18" max="18" width="16.140625" style="1755" customWidth="1"/>
    <col min="19" max="19" width="7" style="1755" hidden="1" customWidth="1"/>
    <col min="20" max="20" width="2" style="1755" hidden="1" customWidth="1"/>
    <col min="21" max="24" width="7" style="1755" hidden="1" customWidth="1"/>
    <col min="25" max="25" width="6.42578125" style="1755" hidden="1" customWidth="1"/>
    <col min="26" max="26" width="9.42578125" style="1755" hidden="1" customWidth="1"/>
    <col min="27" max="263" width="9.42578125" style="1755"/>
    <col min="264" max="264" width="0" style="1755" hidden="1" customWidth="1"/>
    <col min="265" max="265" width="15.42578125" style="1755" customWidth="1"/>
    <col min="266" max="266" width="1.5703125" style="1755" customWidth="1"/>
    <col min="267" max="267" width="22.5703125" style="1755" customWidth="1"/>
    <col min="268" max="268" width="1.5703125" style="1755" customWidth="1"/>
    <col min="269" max="269" width="17.42578125" style="1755" customWidth="1"/>
    <col min="270" max="270" width="1.5703125" style="1755" customWidth="1"/>
    <col min="271" max="271" width="14.42578125" style="1755" customWidth="1"/>
    <col min="272" max="272" width="1.5703125" style="1755" customWidth="1"/>
    <col min="273" max="273" width="28.5703125" style="1755" customWidth="1"/>
    <col min="274" max="274" width="4.5703125" style="1755" customWidth="1"/>
    <col min="275" max="281" width="0" style="1755" hidden="1" customWidth="1"/>
    <col min="282" max="519" width="9.42578125" style="1755"/>
    <col min="520" max="520" width="0" style="1755" hidden="1" customWidth="1"/>
    <col min="521" max="521" width="15.42578125" style="1755" customWidth="1"/>
    <col min="522" max="522" width="1.5703125" style="1755" customWidth="1"/>
    <col min="523" max="523" width="22.5703125" style="1755" customWidth="1"/>
    <col min="524" max="524" width="1.5703125" style="1755" customWidth="1"/>
    <col min="525" max="525" width="17.42578125" style="1755" customWidth="1"/>
    <col min="526" max="526" width="1.5703125" style="1755" customWidth="1"/>
    <col min="527" max="527" width="14.42578125" style="1755" customWidth="1"/>
    <col min="528" max="528" width="1.5703125" style="1755" customWidth="1"/>
    <col min="529" max="529" width="28.5703125" style="1755" customWidth="1"/>
    <col min="530" max="530" width="4.5703125" style="1755" customWidth="1"/>
    <col min="531" max="537" width="0" style="1755" hidden="1" customWidth="1"/>
    <col min="538" max="775" width="9.42578125" style="1755"/>
    <col min="776" max="776" width="0" style="1755" hidden="1" customWidth="1"/>
    <col min="777" max="777" width="15.42578125" style="1755" customWidth="1"/>
    <col min="778" max="778" width="1.5703125" style="1755" customWidth="1"/>
    <col min="779" max="779" width="22.5703125" style="1755" customWidth="1"/>
    <col min="780" max="780" width="1.5703125" style="1755" customWidth="1"/>
    <col min="781" max="781" width="17.42578125" style="1755" customWidth="1"/>
    <col min="782" max="782" width="1.5703125" style="1755" customWidth="1"/>
    <col min="783" max="783" width="14.42578125" style="1755" customWidth="1"/>
    <col min="784" max="784" width="1.5703125" style="1755" customWidth="1"/>
    <col min="785" max="785" width="28.5703125" style="1755" customWidth="1"/>
    <col min="786" max="786" width="4.5703125" style="1755" customWidth="1"/>
    <col min="787" max="793" width="0" style="1755" hidden="1" customWidth="1"/>
    <col min="794" max="1031" width="9.42578125" style="1755"/>
    <col min="1032" max="1032" width="0" style="1755" hidden="1" customWidth="1"/>
    <col min="1033" max="1033" width="15.42578125" style="1755" customWidth="1"/>
    <col min="1034" max="1034" width="1.5703125" style="1755" customWidth="1"/>
    <col min="1035" max="1035" width="22.5703125" style="1755" customWidth="1"/>
    <col min="1036" max="1036" width="1.5703125" style="1755" customWidth="1"/>
    <col min="1037" max="1037" width="17.42578125" style="1755" customWidth="1"/>
    <col min="1038" max="1038" width="1.5703125" style="1755" customWidth="1"/>
    <col min="1039" max="1039" width="14.42578125" style="1755" customWidth="1"/>
    <col min="1040" max="1040" width="1.5703125" style="1755" customWidth="1"/>
    <col min="1041" max="1041" width="28.5703125" style="1755" customWidth="1"/>
    <col min="1042" max="1042" width="4.5703125" style="1755" customWidth="1"/>
    <col min="1043" max="1049" width="0" style="1755" hidden="1" customWidth="1"/>
    <col min="1050" max="1287" width="9.42578125" style="1755"/>
    <col min="1288" max="1288" width="0" style="1755" hidden="1" customWidth="1"/>
    <col min="1289" max="1289" width="15.42578125" style="1755" customWidth="1"/>
    <col min="1290" max="1290" width="1.5703125" style="1755" customWidth="1"/>
    <col min="1291" max="1291" width="22.5703125" style="1755" customWidth="1"/>
    <col min="1292" max="1292" width="1.5703125" style="1755" customWidth="1"/>
    <col min="1293" max="1293" width="17.42578125" style="1755" customWidth="1"/>
    <col min="1294" max="1294" width="1.5703125" style="1755" customWidth="1"/>
    <col min="1295" max="1295" width="14.42578125" style="1755" customWidth="1"/>
    <col min="1296" max="1296" width="1.5703125" style="1755" customWidth="1"/>
    <col min="1297" max="1297" width="28.5703125" style="1755" customWidth="1"/>
    <col min="1298" max="1298" width="4.5703125" style="1755" customWidth="1"/>
    <col min="1299" max="1305" width="0" style="1755" hidden="1" customWidth="1"/>
    <col min="1306" max="1543" width="9.42578125" style="1755"/>
    <col min="1544" max="1544" width="0" style="1755" hidden="1" customWidth="1"/>
    <col min="1545" max="1545" width="15.42578125" style="1755" customWidth="1"/>
    <col min="1546" max="1546" width="1.5703125" style="1755" customWidth="1"/>
    <col min="1547" max="1547" width="22.5703125" style="1755" customWidth="1"/>
    <col min="1548" max="1548" width="1.5703125" style="1755" customWidth="1"/>
    <col min="1549" max="1549" width="17.42578125" style="1755" customWidth="1"/>
    <col min="1550" max="1550" width="1.5703125" style="1755" customWidth="1"/>
    <col min="1551" max="1551" width="14.42578125" style="1755" customWidth="1"/>
    <col min="1552" max="1552" width="1.5703125" style="1755" customWidth="1"/>
    <col min="1553" max="1553" width="28.5703125" style="1755" customWidth="1"/>
    <col min="1554" max="1554" width="4.5703125" style="1755" customWidth="1"/>
    <col min="1555" max="1561" width="0" style="1755" hidden="1" customWidth="1"/>
    <col min="1562" max="1799" width="9.42578125" style="1755"/>
    <col min="1800" max="1800" width="0" style="1755" hidden="1" customWidth="1"/>
    <col min="1801" max="1801" width="15.42578125" style="1755" customWidth="1"/>
    <col min="1802" max="1802" width="1.5703125" style="1755" customWidth="1"/>
    <col min="1803" max="1803" width="22.5703125" style="1755" customWidth="1"/>
    <col min="1804" max="1804" width="1.5703125" style="1755" customWidth="1"/>
    <col min="1805" max="1805" width="17.42578125" style="1755" customWidth="1"/>
    <col min="1806" max="1806" width="1.5703125" style="1755" customWidth="1"/>
    <col min="1807" max="1807" width="14.42578125" style="1755" customWidth="1"/>
    <col min="1808" max="1808" width="1.5703125" style="1755" customWidth="1"/>
    <col min="1809" max="1809" width="28.5703125" style="1755" customWidth="1"/>
    <col min="1810" max="1810" width="4.5703125" style="1755" customWidth="1"/>
    <col min="1811" max="1817" width="0" style="1755" hidden="1" customWidth="1"/>
    <col min="1818" max="2055" width="9.42578125" style="1755"/>
    <col min="2056" max="2056" width="0" style="1755" hidden="1" customWidth="1"/>
    <col min="2057" max="2057" width="15.42578125" style="1755" customWidth="1"/>
    <col min="2058" max="2058" width="1.5703125" style="1755" customWidth="1"/>
    <col min="2059" max="2059" width="22.5703125" style="1755" customWidth="1"/>
    <col min="2060" max="2060" width="1.5703125" style="1755" customWidth="1"/>
    <col min="2061" max="2061" width="17.42578125" style="1755" customWidth="1"/>
    <col min="2062" max="2062" width="1.5703125" style="1755" customWidth="1"/>
    <col min="2063" max="2063" width="14.42578125" style="1755" customWidth="1"/>
    <col min="2064" max="2064" width="1.5703125" style="1755" customWidth="1"/>
    <col min="2065" max="2065" width="28.5703125" style="1755" customWidth="1"/>
    <col min="2066" max="2066" width="4.5703125" style="1755" customWidth="1"/>
    <col min="2067" max="2073" width="0" style="1755" hidden="1" customWidth="1"/>
    <col min="2074" max="2311" width="9.42578125" style="1755"/>
    <col min="2312" max="2312" width="0" style="1755" hidden="1" customWidth="1"/>
    <col min="2313" max="2313" width="15.42578125" style="1755" customWidth="1"/>
    <col min="2314" max="2314" width="1.5703125" style="1755" customWidth="1"/>
    <col min="2315" max="2315" width="22.5703125" style="1755" customWidth="1"/>
    <col min="2316" max="2316" width="1.5703125" style="1755" customWidth="1"/>
    <col min="2317" max="2317" width="17.42578125" style="1755" customWidth="1"/>
    <col min="2318" max="2318" width="1.5703125" style="1755" customWidth="1"/>
    <col min="2319" max="2319" width="14.42578125" style="1755" customWidth="1"/>
    <col min="2320" max="2320" width="1.5703125" style="1755" customWidth="1"/>
    <col min="2321" max="2321" width="28.5703125" style="1755" customWidth="1"/>
    <col min="2322" max="2322" width="4.5703125" style="1755" customWidth="1"/>
    <col min="2323" max="2329" width="0" style="1755" hidden="1" customWidth="1"/>
    <col min="2330" max="2567" width="9.42578125" style="1755"/>
    <col min="2568" max="2568" width="0" style="1755" hidden="1" customWidth="1"/>
    <col min="2569" max="2569" width="15.42578125" style="1755" customWidth="1"/>
    <col min="2570" max="2570" width="1.5703125" style="1755" customWidth="1"/>
    <col min="2571" max="2571" width="22.5703125" style="1755" customWidth="1"/>
    <col min="2572" max="2572" width="1.5703125" style="1755" customWidth="1"/>
    <col min="2573" max="2573" width="17.42578125" style="1755" customWidth="1"/>
    <col min="2574" max="2574" width="1.5703125" style="1755" customWidth="1"/>
    <col min="2575" max="2575" width="14.42578125" style="1755" customWidth="1"/>
    <col min="2576" max="2576" width="1.5703125" style="1755" customWidth="1"/>
    <col min="2577" max="2577" width="28.5703125" style="1755" customWidth="1"/>
    <col min="2578" max="2578" width="4.5703125" style="1755" customWidth="1"/>
    <col min="2579" max="2585" width="0" style="1755" hidden="1" customWidth="1"/>
    <col min="2586" max="2823" width="9.42578125" style="1755"/>
    <col min="2824" max="2824" width="0" style="1755" hidden="1" customWidth="1"/>
    <col min="2825" max="2825" width="15.42578125" style="1755" customWidth="1"/>
    <col min="2826" max="2826" width="1.5703125" style="1755" customWidth="1"/>
    <col min="2827" max="2827" width="22.5703125" style="1755" customWidth="1"/>
    <col min="2828" max="2828" width="1.5703125" style="1755" customWidth="1"/>
    <col min="2829" max="2829" width="17.42578125" style="1755" customWidth="1"/>
    <col min="2830" max="2830" width="1.5703125" style="1755" customWidth="1"/>
    <col min="2831" max="2831" width="14.42578125" style="1755" customWidth="1"/>
    <col min="2832" max="2832" width="1.5703125" style="1755" customWidth="1"/>
    <col min="2833" max="2833" width="28.5703125" style="1755" customWidth="1"/>
    <col min="2834" max="2834" width="4.5703125" style="1755" customWidth="1"/>
    <col min="2835" max="2841" width="0" style="1755" hidden="1" customWidth="1"/>
    <col min="2842" max="3079" width="9.42578125" style="1755"/>
    <col min="3080" max="3080" width="0" style="1755" hidden="1" customWidth="1"/>
    <col min="3081" max="3081" width="15.42578125" style="1755" customWidth="1"/>
    <col min="3082" max="3082" width="1.5703125" style="1755" customWidth="1"/>
    <col min="3083" max="3083" width="22.5703125" style="1755" customWidth="1"/>
    <col min="3084" max="3084" width="1.5703125" style="1755" customWidth="1"/>
    <col min="3085" max="3085" width="17.42578125" style="1755" customWidth="1"/>
    <col min="3086" max="3086" width="1.5703125" style="1755" customWidth="1"/>
    <col min="3087" max="3087" width="14.42578125" style="1755" customWidth="1"/>
    <col min="3088" max="3088" width="1.5703125" style="1755" customWidth="1"/>
    <col min="3089" max="3089" width="28.5703125" style="1755" customWidth="1"/>
    <col min="3090" max="3090" width="4.5703125" style="1755" customWidth="1"/>
    <col min="3091" max="3097" width="0" style="1755" hidden="1" customWidth="1"/>
    <col min="3098" max="3335" width="9.42578125" style="1755"/>
    <col min="3336" max="3336" width="0" style="1755" hidden="1" customWidth="1"/>
    <col min="3337" max="3337" width="15.42578125" style="1755" customWidth="1"/>
    <col min="3338" max="3338" width="1.5703125" style="1755" customWidth="1"/>
    <col min="3339" max="3339" width="22.5703125" style="1755" customWidth="1"/>
    <col min="3340" max="3340" width="1.5703125" style="1755" customWidth="1"/>
    <col min="3341" max="3341" width="17.42578125" style="1755" customWidth="1"/>
    <col min="3342" max="3342" width="1.5703125" style="1755" customWidth="1"/>
    <col min="3343" max="3343" width="14.42578125" style="1755" customWidth="1"/>
    <col min="3344" max="3344" width="1.5703125" style="1755" customWidth="1"/>
    <col min="3345" max="3345" width="28.5703125" style="1755" customWidth="1"/>
    <col min="3346" max="3346" width="4.5703125" style="1755" customWidth="1"/>
    <col min="3347" max="3353" width="0" style="1755" hidden="1" customWidth="1"/>
    <col min="3354" max="3591" width="9.42578125" style="1755"/>
    <col min="3592" max="3592" width="0" style="1755" hidden="1" customWidth="1"/>
    <col min="3593" max="3593" width="15.42578125" style="1755" customWidth="1"/>
    <col min="3594" max="3594" width="1.5703125" style="1755" customWidth="1"/>
    <col min="3595" max="3595" width="22.5703125" style="1755" customWidth="1"/>
    <col min="3596" max="3596" width="1.5703125" style="1755" customWidth="1"/>
    <col min="3597" max="3597" width="17.42578125" style="1755" customWidth="1"/>
    <col min="3598" max="3598" width="1.5703125" style="1755" customWidth="1"/>
    <col min="3599" max="3599" width="14.42578125" style="1755" customWidth="1"/>
    <col min="3600" max="3600" width="1.5703125" style="1755" customWidth="1"/>
    <col min="3601" max="3601" width="28.5703125" style="1755" customWidth="1"/>
    <col min="3602" max="3602" width="4.5703125" style="1755" customWidth="1"/>
    <col min="3603" max="3609" width="0" style="1755" hidden="1" customWidth="1"/>
    <col min="3610" max="3847" width="9.42578125" style="1755"/>
    <col min="3848" max="3848" width="0" style="1755" hidden="1" customWidth="1"/>
    <col min="3849" max="3849" width="15.42578125" style="1755" customWidth="1"/>
    <col min="3850" max="3850" width="1.5703125" style="1755" customWidth="1"/>
    <col min="3851" max="3851" width="22.5703125" style="1755" customWidth="1"/>
    <col min="3852" max="3852" width="1.5703125" style="1755" customWidth="1"/>
    <col min="3853" max="3853" width="17.42578125" style="1755" customWidth="1"/>
    <col min="3854" max="3854" width="1.5703125" style="1755" customWidth="1"/>
    <col min="3855" max="3855" width="14.42578125" style="1755" customWidth="1"/>
    <col min="3856" max="3856" width="1.5703125" style="1755" customWidth="1"/>
    <col min="3857" max="3857" width="28.5703125" style="1755" customWidth="1"/>
    <col min="3858" max="3858" width="4.5703125" style="1755" customWidth="1"/>
    <col min="3859" max="3865" width="0" style="1755" hidden="1" customWidth="1"/>
    <col min="3866" max="4103" width="9.42578125" style="1755"/>
    <col min="4104" max="4104" width="0" style="1755" hidden="1" customWidth="1"/>
    <col min="4105" max="4105" width="15.42578125" style="1755" customWidth="1"/>
    <col min="4106" max="4106" width="1.5703125" style="1755" customWidth="1"/>
    <col min="4107" max="4107" width="22.5703125" style="1755" customWidth="1"/>
    <col min="4108" max="4108" width="1.5703125" style="1755" customWidth="1"/>
    <col min="4109" max="4109" width="17.42578125" style="1755" customWidth="1"/>
    <col min="4110" max="4110" width="1.5703125" style="1755" customWidth="1"/>
    <col min="4111" max="4111" width="14.42578125" style="1755" customWidth="1"/>
    <col min="4112" max="4112" width="1.5703125" style="1755" customWidth="1"/>
    <col min="4113" max="4113" width="28.5703125" style="1755" customWidth="1"/>
    <col min="4114" max="4114" width="4.5703125" style="1755" customWidth="1"/>
    <col min="4115" max="4121" width="0" style="1755" hidden="1" customWidth="1"/>
    <col min="4122" max="4359" width="9.42578125" style="1755"/>
    <col min="4360" max="4360" width="0" style="1755" hidden="1" customWidth="1"/>
    <col min="4361" max="4361" width="15.42578125" style="1755" customWidth="1"/>
    <col min="4362" max="4362" width="1.5703125" style="1755" customWidth="1"/>
    <col min="4363" max="4363" width="22.5703125" style="1755" customWidth="1"/>
    <col min="4364" max="4364" width="1.5703125" style="1755" customWidth="1"/>
    <col min="4365" max="4365" width="17.42578125" style="1755" customWidth="1"/>
    <col min="4366" max="4366" width="1.5703125" style="1755" customWidth="1"/>
    <col min="4367" max="4367" width="14.42578125" style="1755" customWidth="1"/>
    <col min="4368" max="4368" width="1.5703125" style="1755" customWidth="1"/>
    <col min="4369" max="4369" width="28.5703125" style="1755" customWidth="1"/>
    <col min="4370" max="4370" width="4.5703125" style="1755" customWidth="1"/>
    <col min="4371" max="4377" width="0" style="1755" hidden="1" customWidth="1"/>
    <col min="4378" max="4615" width="9.42578125" style="1755"/>
    <col min="4616" max="4616" width="0" style="1755" hidden="1" customWidth="1"/>
    <col min="4617" max="4617" width="15.42578125" style="1755" customWidth="1"/>
    <col min="4618" max="4618" width="1.5703125" style="1755" customWidth="1"/>
    <col min="4619" max="4619" width="22.5703125" style="1755" customWidth="1"/>
    <col min="4620" max="4620" width="1.5703125" style="1755" customWidth="1"/>
    <col min="4621" max="4621" width="17.42578125" style="1755" customWidth="1"/>
    <col min="4622" max="4622" width="1.5703125" style="1755" customWidth="1"/>
    <col min="4623" max="4623" width="14.42578125" style="1755" customWidth="1"/>
    <col min="4624" max="4624" width="1.5703125" style="1755" customWidth="1"/>
    <col min="4625" max="4625" width="28.5703125" style="1755" customWidth="1"/>
    <col min="4626" max="4626" width="4.5703125" style="1755" customWidth="1"/>
    <col min="4627" max="4633" width="0" style="1755" hidden="1" customWidth="1"/>
    <col min="4634" max="4871" width="9.42578125" style="1755"/>
    <col min="4872" max="4872" width="0" style="1755" hidden="1" customWidth="1"/>
    <col min="4873" max="4873" width="15.42578125" style="1755" customWidth="1"/>
    <col min="4874" max="4874" width="1.5703125" style="1755" customWidth="1"/>
    <col min="4875" max="4875" width="22.5703125" style="1755" customWidth="1"/>
    <col min="4876" max="4876" width="1.5703125" style="1755" customWidth="1"/>
    <col min="4877" max="4877" width="17.42578125" style="1755" customWidth="1"/>
    <col min="4878" max="4878" width="1.5703125" style="1755" customWidth="1"/>
    <col min="4879" max="4879" width="14.42578125" style="1755" customWidth="1"/>
    <col min="4880" max="4880" width="1.5703125" style="1755" customWidth="1"/>
    <col min="4881" max="4881" width="28.5703125" style="1755" customWidth="1"/>
    <col min="4882" max="4882" width="4.5703125" style="1755" customWidth="1"/>
    <col min="4883" max="4889" width="0" style="1755" hidden="1" customWidth="1"/>
    <col min="4890" max="5127" width="9.42578125" style="1755"/>
    <col min="5128" max="5128" width="0" style="1755" hidden="1" customWidth="1"/>
    <col min="5129" max="5129" width="15.42578125" style="1755" customWidth="1"/>
    <col min="5130" max="5130" width="1.5703125" style="1755" customWidth="1"/>
    <col min="5131" max="5131" width="22.5703125" style="1755" customWidth="1"/>
    <col min="5132" max="5132" width="1.5703125" style="1755" customWidth="1"/>
    <col min="5133" max="5133" width="17.42578125" style="1755" customWidth="1"/>
    <col min="5134" max="5134" width="1.5703125" style="1755" customWidth="1"/>
    <col min="5135" max="5135" width="14.42578125" style="1755" customWidth="1"/>
    <col min="5136" max="5136" width="1.5703125" style="1755" customWidth="1"/>
    <col min="5137" max="5137" width="28.5703125" style="1755" customWidth="1"/>
    <col min="5138" max="5138" width="4.5703125" style="1755" customWidth="1"/>
    <col min="5139" max="5145" width="0" style="1755" hidden="1" customWidth="1"/>
    <col min="5146" max="5383" width="9.42578125" style="1755"/>
    <col min="5384" max="5384" width="0" style="1755" hidden="1" customWidth="1"/>
    <col min="5385" max="5385" width="15.42578125" style="1755" customWidth="1"/>
    <col min="5386" max="5386" width="1.5703125" style="1755" customWidth="1"/>
    <col min="5387" max="5387" width="22.5703125" style="1755" customWidth="1"/>
    <col min="5388" max="5388" width="1.5703125" style="1755" customWidth="1"/>
    <col min="5389" max="5389" width="17.42578125" style="1755" customWidth="1"/>
    <col min="5390" max="5390" width="1.5703125" style="1755" customWidth="1"/>
    <col min="5391" max="5391" width="14.42578125" style="1755" customWidth="1"/>
    <col min="5392" max="5392" width="1.5703125" style="1755" customWidth="1"/>
    <col min="5393" max="5393" width="28.5703125" style="1755" customWidth="1"/>
    <col min="5394" max="5394" width="4.5703125" style="1755" customWidth="1"/>
    <col min="5395" max="5401" width="0" style="1755" hidden="1" customWidth="1"/>
    <col min="5402" max="5639" width="9.42578125" style="1755"/>
    <col min="5640" max="5640" width="0" style="1755" hidden="1" customWidth="1"/>
    <col min="5641" max="5641" width="15.42578125" style="1755" customWidth="1"/>
    <col min="5642" max="5642" width="1.5703125" style="1755" customWidth="1"/>
    <col min="5643" max="5643" width="22.5703125" style="1755" customWidth="1"/>
    <col min="5644" max="5644" width="1.5703125" style="1755" customWidth="1"/>
    <col min="5645" max="5645" width="17.42578125" style="1755" customWidth="1"/>
    <col min="5646" max="5646" width="1.5703125" style="1755" customWidth="1"/>
    <col min="5647" max="5647" width="14.42578125" style="1755" customWidth="1"/>
    <col min="5648" max="5648" width="1.5703125" style="1755" customWidth="1"/>
    <col min="5649" max="5649" width="28.5703125" style="1755" customWidth="1"/>
    <col min="5650" max="5650" width="4.5703125" style="1755" customWidth="1"/>
    <col min="5651" max="5657" width="0" style="1755" hidden="1" customWidth="1"/>
    <col min="5658" max="5895" width="9.42578125" style="1755"/>
    <col min="5896" max="5896" width="0" style="1755" hidden="1" customWidth="1"/>
    <col min="5897" max="5897" width="15.42578125" style="1755" customWidth="1"/>
    <col min="5898" max="5898" width="1.5703125" style="1755" customWidth="1"/>
    <col min="5899" max="5899" width="22.5703125" style="1755" customWidth="1"/>
    <col min="5900" max="5900" width="1.5703125" style="1755" customWidth="1"/>
    <col min="5901" max="5901" width="17.42578125" style="1755" customWidth="1"/>
    <col min="5902" max="5902" width="1.5703125" style="1755" customWidth="1"/>
    <col min="5903" max="5903" width="14.42578125" style="1755" customWidth="1"/>
    <col min="5904" max="5904" width="1.5703125" style="1755" customWidth="1"/>
    <col min="5905" max="5905" width="28.5703125" style="1755" customWidth="1"/>
    <col min="5906" max="5906" width="4.5703125" style="1755" customWidth="1"/>
    <col min="5907" max="5913" width="0" style="1755" hidden="1" customWidth="1"/>
    <col min="5914" max="6151" width="9.42578125" style="1755"/>
    <col min="6152" max="6152" width="0" style="1755" hidden="1" customWidth="1"/>
    <col min="6153" max="6153" width="15.42578125" style="1755" customWidth="1"/>
    <col min="6154" max="6154" width="1.5703125" style="1755" customWidth="1"/>
    <col min="6155" max="6155" width="22.5703125" style="1755" customWidth="1"/>
    <col min="6156" max="6156" width="1.5703125" style="1755" customWidth="1"/>
    <col min="6157" max="6157" width="17.42578125" style="1755" customWidth="1"/>
    <col min="6158" max="6158" width="1.5703125" style="1755" customWidth="1"/>
    <col min="6159" max="6159" width="14.42578125" style="1755" customWidth="1"/>
    <col min="6160" max="6160" width="1.5703125" style="1755" customWidth="1"/>
    <col min="6161" max="6161" width="28.5703125" style="1755" customWidth="1"/>
    <col min="6162" max="6162" width="4.5703125" style="1755" customWidth="1"/>
    <col min="6163" max="6169" width="0" style="1755" hidden="1" customWidth="1"/>
    <col min="6170" max="6407" width="9.42578125" style="1755"/>
    <col min="6408" max="6408" width="0" style="1755" hidden="1" customWidth="1"/>
    <col min="6409" max="6409" width="15.42578125" style="1755" customWidth="1"/>
    <col min="6410" max="6410" width="1.5703125" style="1755" customWidth="1"/>
    <col min="6411" max="6411" width="22.5703125" style="1755" customWidth="1"/>
    <col min="6412" max="6412" width="1.5703125" style="1755" customWidth="1"/>
    <col min="6413" max="6413" width="17.42578125" style="1755" customWidth="1"/>
    <col min="6414" max="6414" width="1.5703125" style="1755" customWidth="1"/>
    <col min="6415" max="6415" width="14.42578125" style="1755" customWidth="1"/>
    <col min="6416" max="6416" width="1.5703125" style="1755" customWidth="1"/>
    <col min="6417" max="6417" width="28.5703125" style="1755" customWidth="1"/>
    <col min="6418" max="6418" width="4.5703125" style="1755" customWidth="1"/>
    <col min="6419" max="6425" width="0" style="1755" hidden="1" customWidth="1"/>
    <col min="6426" max="6663" width="9.42578125" style="1755"/>
    <col min="6664" max="6664" width="0" style="1755" hidden="1" customWidth="1"/>
    <col min="6665" max="6665" width="15.42578125" style="1755" customWidth="1"/>
    <col min="6666" max="6666" width="1.5703125" style="1755" customWidth="1"/>
    <col min="6667" max="6667" width="22.5703125" style="1755" customWidth="1"/>
    <col min="6668" max="6668" width="1.5703125" style="1755" customWidth="1"/>
    <col min="6669" max="6669" width="17.42578125" style="1755" customWidth="1"/>
    <col min="6670" max="6670" width="1.5703125" style="1755" customWidth="1"/>
    <col min="6671" max="6671" width="14.42578125" style="1755" customWidth="1"/>
    <col min="6672" max="6672" width="1.5703125" style="1755" customWidth="1"/>
    <col min="6673" max="6673" width="28.5703125" style="1755" customWidth="1"/>
    <col min="6674" max="6674" width="4.5703125" style="1755" customWidth="1"/>
    <col min="6675" max="6681" width="0" style="1755" hidden="1" customWidth="1"/>
    <col min="6682" max="6919" width="9.42578125" style="1755"/>
    <col min="6920" max="6920" width="0" style="1755" hidden="1" customWidth="1"/>
    <col min="6921" max="6921" width="15.42578125" style="1755" customWidth="1"/>
    <col min="6922" max="6922" width="1.5703125" style="1755" customWidth="1"/>
    <col min="6923" max="6923" width="22.5703125" style="1755" customWidth="1"/>
    <col min="6924" max="6924" width="1.5703125" style="1755" customWidth="1"/>
    <col min="6925" max="6925" width="17.42578125" style="1755" customWidth="1"/>
    <col min="6926" max="6926" width="1.5703125" style="1755" customWidth="1"/>
    <col min="6927" max="6927" width="14.42578125" style="1755" customWidth="1"/>
    <col min="6928" max="6928" width="1.5703125" style="1755" customWidth="1"/>
    <col min="6929" max="6929" width="28.5703125" style="1755" customWidth="1"/>
    <col min="6930" max="6930" width="4.5703125" style="1755" customWidth="1"/>
    <col min="6931" max="6937" width="0" style="1755" hidden="1" customWidth="1"/>
    <col min="6938" max="7175" width="9.42578125" style="1755"/>
    <col min="7176" max="7176" width="0" style="1755" hidden="1" customWidth="1"/>
    <col min="7177" max="7177" width="15.42578125" style="1755" customWidth="1"/>
    <col min="7178" max="7178" width="1.5703125" style="1755" customWidth="1"/>
    <col min="7179" max="7179" width="22.5703125" style="1755" customWidth="1"/>
    <col min="7180" max="7180" width="1.5703125" style="1755" customWidth="1"/>
    <col min="7181" max="7181" width="17.42578125" style="1755" customWidth="1"/>
    <col min="7182" max="7182" width="1.5703125" style="1755" customWidth="1"/>
    <col min="7183" max="7183" width="14.42578125" style="1755" customWidth="1"/>
    <col min="7184" max="7184" width="1.5703125" style="1755" customWidth="1"/>
    <col min="7185" max="7185" width="28.5703125" style="1755" customWidth="1"/>
    <col min="7186" max="7186" width="4.5703125" style="1755" customWidth="1"/>
    <col min="7187" max="7193" width="0" style="1755" hidden="1" customWidth="1"/>
    <col min="7194" max="7431" width="9.42578125" style="1755"/>
    <col min="7432" max="7432" width="0" style="1755" hidden="1" customWidth="1"/>
    <col min="7433" max="7433" width="15.42578125" style="1755" customWidth="1"/>
    <col min="7434" max="7434" width="1.5703125" style="1755" customWidth="1"/>
    <col min="7435" max="7435" width="22.5703125" style="1755" customWidth="1"/>
    <col min="7436" max="7436" width="1.5703125" style="1755" customWidth="1"/>
    <col min="7437" max="7437" width="17.42578125" style="1755" customWidth="1"/>
    <col min="7438" max="7438" width="1.5703125" style="1755" customWidth="1"/>
    <col min="7439" max="7439" width="14.42578125" style="1755" customWidth="1"/>
    <col min="7440" max="7440" width="1.5703125" style="1755" customWidth="1"/>
    <col min="7441" max="7441" width="28.5703125" style="1755" customWidth="1"/>
    <col min="7442" max="7442" width="4.5703125" style="1755" customWidth="1"/>
    <col min="7443" max="7449" width="0" style="1755" hidden="1" customWidth="1"/>
    <col min="7450" max="7687" width="9.42578125" style="1755"/>
    <col min="7688" max="7688" width="0" style="1755" hidden="1" customWidth="1"/>
    <col min="7689" max="7689" width="15.42578125" style="1755" customWidth="1"/>
    <col min="7690" max="7690" width="1.5703125" style="1755" customWidth="1"/>
    <col min="7691" max="7691" width="22.5703125" style="1755" customWidth="1"/>
    <col min="7692" max="7692" width="1.5703125" style="1755" customWidth="1"/>
    <col min="7693" max="7693" width="17.42578125" style="1755" customWidth="1"/>
    <col min="7694" max="7694" width="1.5703125" style="1755" customWidth="1"/>
    <col min="7695" max="7695" width="14.42578125" style="1755" customWidth="1"/>
    <col min="7696" max="7696" width="1.5703125" style="1755" customWidth="1"/>
    <col min="7697" max="7697" width="28.5703125" style="1755" customWidth="1"/>
    <col min="7698" max="7698" width="4.5703125" style="1755" customWidth="1"/>
    <col min="7699" max="7705" width="0" style="1755" hidden="1" customWidth="1"/>
    <col min="7706" max="7943" width="9.42578125" style="1755"/>
    <col min="7944" max="7944" width="0" style="1755" hidden="1" customWidth="1"/>
    <col min="7945" max="7945" width="15.42578125" style="1755" customWidth="1"/>
    <col min="7946" max="7946" width="1.5703125" style="1755" customWidth="1"/>
    <col min="7947" max="7947" width="22.5703125" style="1755" customWidth="1"/>
    <col min="7948" max="7948" width="1.5703125" style="1755" customWidth="1"/>
    <col min="7949" max="7949" width="17.42578125" style="1755" customWidth="1"/>
    <col min="7950" max="7950" width="1.5703125" style="1755" customWidth="1"/>
    <col min="7951" max="7951" width="14.42578125" style="1755" customWidth="1"/>
    <col min="7952" max="7952" width="1.5703125" style="1755" customWidth="1"/>
    <col min="7953" max="7953" width="28.5703125" style="1755" customWidth="1"/>
    <col min="7954" max="7954" width="4.5703125" style="1755" customWidth="1"/>
    <col min="7955" max="7961" width="0" style="1755" hidden="1" customWidth="1"/>
    <col min="7962" max="8199" width="9.42578125" style="1755"/>
    <col min="8200" max="8200" width="0" style="1755" hidden="1" customWidth="1"/>
    <col min="8201" max="8201" width="15.42578125" style="1755" customWidth="1"/>
    <col min="8202" max="8202" width="1.5703125" style="1755" customWidth="1"/>
    <col min="8203" max="8203" width="22.5703125" style="1755" customWidth="1"/>
    <col min="8204" max="8204" width="1.5703125" style="1755" customWidth="1"/>
    <col min="8205" max="8205" width="17.42578125" style="1755" customWidth="1"/>
    <col min="8206" max="8206" width="1.5703125" style="1755" customWidth="1"/>
    <col min="8207" max="8207" width="14.42578125" style="1755" customWidth="1"/>
    <col min="8208" max="8208" width="1.5703125" style="1755" customWidth="1"/>
    <col min="8209" max="8209" width="28.5703125" style="1755" customWidth="1"/>
    <col min="8210" max="8210" width="4.5703125" style="1755" customWidth="1"/>
    <col min="8211" max="8217" width="0" style="1755" hidden="1" customWidth="1"/>
    <col min="8218" max="8455" width="9.42578125" style="1755"/>
    <col min="8456" max="8456" width="0" style="1755" hidden="1" customWidth="1"/>
    <col min="8457" max="8457" width="15.42578125" style="1755" customWidth="1"/>
    <col min="8458" max="8458" width="1.5703125" style="1755" customWidth="1"/>
    <col min="8459" max="8459" width="22.5703125" style="1755" customWidth="1"/>
    <col min="8460" max="8460" width="1.5703125" style="1755" customWidth="1"/>
    <col min="8461" max="8461" width="17.42578125" style="1755" customWidth="1"/>
    <col min="8462" max="8462" width="1.5703125" style="1755" customWidth="1"/>
    <col min="8463" max="8463" width="14.42578125" style="1755" customWidth="1"/>
    <col min="8464" max="8464" width="1.5703125" style="1755" customWidth="1"/>
    <col min="8465" max="8465" width="28.5703125" style="1755" customWidth="1"/>
    <col min="8466" max="8466" width="4.5703125" style="1755" customWidth="1"/>
    <col min="8467" max="8473" width="0" style="1755" hidden="1" customWidth="1"/>
    <col min="8474" max="8711" width="9.42578125" style="1755"/>
    <col min="8712" max="8712" width="0" style="1755" hidden="1" customWidth="1"/>
    <col min="8713" max="8713" width="15.42578125" style="1755" customWidth="1"/>
    <col min="8714" max="8714" width="1.5703125" style="1755" customWidth="1"/>
    <col min="8715" max="8715" width="22.5703125" style="1755" customWidth="1"/>
    <col min="8716" max="8716" width="1.5703125" style="1755" customWidth="1"/>
    <col min="8717" max="8717" width="17.42578125" style="1755" customWidth="1"/>
    <col min="8718" max="8718" width="1.5703125" style="1755" customWidth="1"/>
    <col min="8719" max="8719" width="14.42578125" style="1755" customWidth="1"/>
    <col min="8720" max="8720" width="1.5703125" style="1755" customWidth="1"/>
    <col min="8721" max="8721" width="28.5703125" style="1755" customWidth="1"/>
    <col min="8722" max="8722" width="4.5703125" style="1755" customWidth="1"/>
    <col min="8723" max="8729" width="0" style="1755" hidden="1" customWidth="1"/>
    <col min="8730" max="8967" width="9.42578125" style="1755"/>
    <col min="8968" max="8968" width="0" style="1755" hidden="1" customWidth="1"/>
    <col min="8969" max="8969" width="15.42578125" style="1755" customWidth="1"/>
    <col min="8970" max="8970" width="1.5703125" style="1755" customWidth="1"/>
    <col min="8971" max="8971" width="22.5703125" style="1755" customWidth="1"/>
    <col min="8972" max="8972" width="1.5703125" style="1755" customWidth="1"/>
    <col min="8973" max="8973" width="17.42578125" style="1755" customWidth="1"/>
    <col min="8974" max="8974" width="1.5703125" style="1755" customWidth="1"/>
    <col min="8975" max="8975" width="14.42578125" style="1755" customWidth="1"/>
    <col min="8976" max="8976" width="1.5703125" style="1755" customWidth="1"/>
    <col min="8977" max="8977" width="28.5703125" style="1755" customWidth="1"/>
    <col min="8978" max="8978" width="4.5703125" style="1755" customWidth="1"/>
    <col min="8979" max="8985" width="0" style="1755" hidden="1" customWidth="1"/>
    <col min="8986" max="9223" width="9.42578125" style="1755"/>
    <col min="9224" max="9224" width="0" style="1755" hidden="1" customWidth="1"/>
    <col min="9225" max="9225" width="15.42578125" style="1755" customWidth="1"/>
    <col min="9226" max="9226" width="1.5703125" style="1755" customWidth="1"/>
    <col min="9227" max="9227" width="22.5703125" style="1755" customWidth="1"/>
    <col min="9228" max="9228" width="1.5703125" style="1755" customWidth="1"/>
    <col min="9229" max="9229" width="17.42578125" style="1755" customWidth="1"/>
    <col min="9230" max="9230" width="1.5703125" style="1755" customWidth="1"/>
    <col min="9231" max="9231" width="14.42578125" style="1755" customWidth="1"/>
    <col min="9232" max="9232" width="1.5703125" style="1755" customWidth="1"/>
    <col min="9233" max="9233" width="28.5703125" style="1755" customWidth="1"/>
    <col min="9234" max="9234" width="4.5703125" style="1755" customWidth="1"/>
    <col min="9235" max="9241" width="0" style="1755" hidden="1" customWidth="1"/>
    <col min="9242" max="9479" width="9.42578125" style="1755"/>
    <col min="9480" max="9480" width="0" style="1755" hidden="1" customWidth="1"/>
    <col min="9481" max="9481" width="15.42578125" style="1755" customWidth="1"/>
    <col min="9482" max="9482" width="1.5703125" style="1755" customWidth="1"/>
    <col min="9483" max="9483" width="22.5703125" style="1755" customWidth="1"/>
    <col min="9484" max="9484" width="1.5703125" style="1755" customWidth="1"/>
    <col min="9485" max="9485" width="17.42578125" style="1755" customWidth="1"/>
    <col min="9486" max="9486" width="1.5703125" style="1755" customWidth="1"/>
    <col min="9487" max="9487" width="14.42578125" style="1755" customWidth="1"/>
    <col min="9488" max="9488" width="1.5703125" style="1755" customWidth="1"/>
    <col min="9489" max="9489" width="28.5703125" style="1755" customWidth="1"/>
    <col min="9490" max="9490" width="4.5703125" style="1755" customWidth="1"/>
    <col min="9491" max="9497" width="0" style="1755" hidden="1" customWidth="1"/>
    <col min="9498" max="9735" width="9.42578125" style="1755"/>
    <col min="9736" max="9736" width="0" style="1755" hidden="1" customWidth="1"/>
    <col min="9737" max="9737" width="15.42578125" style="1755" customWidth="1"/>
    <col min="9738" max="9738" width="1.5703125" style="1755" customWidth="1"/>
    <col min="9739" max="9739" width="22.5703125" style="1755" customWidth="1"/>
    <col min="9740" max="9740" width="1.5703125" style="1755" customWidth="1"/>
    <col min="9741" max="9741" width="17.42578125" style="1755" customWidth="1"/>
    <col min="9742" max="9742" width="1.5703125" style="1755" customWidth="1"/>
    <col min="9743" max="9743" width="14.42578125" style="1755" customWidth="1"/>
    <col min="9744" max="9744" width="1.5703125" style="1755" customWidth="1"/>
    <col min="9745" max="9745" width="28.5703125" style="1755" customWidth="1"/>
    <col min="9746" max="9746" width="4.5703125" style="1755" customWidth="1"/>
    <col min="9747" max="9753" width="0" style="1755" hidden="1" customWidth="1"/>
    <col min="9754" max="9991" width="9.42578125" style="1755"/>
    <col min="9992" max="9992" width="0" style="1755" hidden="1" customWidth="1"/>
    <col min="9993" max="9993" width="15.42578125" style="1755" customWidth="1"/>
    <col min="9994" max="9994" width="1.5703125" style="1755" customWidth="1"/>
    <col min="9995" max="9995" width="22.5703125" style="1755" customWidth="1"/>
    <col min="9996" max="9996" width="1.5703125" style="1755" customWidth="1"/>
    <col min="9997" max="9997" width="17.42578125" style="1755" customWidth="1"/>
    <col min="9998" max="9998" width="1.5703125" style="1755" customWidth="1"/>
    <col min="9999" max="9999" width="14.42578125" style="1755" customWidth="1"/>
    <col min="10000" max="10000" width="1.5703125" style="1755" customWidth="1"/>
    <col min="10001" max="10001" width="28.5703125" style="1755" customWidth="1"/>
    <col min="10002" max="10002" width="4.5703125" style="1755" customWidth="1"/>
    <col min="10003" max="10009" width="0" style="1755" hidden="1" customWidth="1"/>
    <col min="10010" max="10247" width="9.42578125" style="1755"/>
    <col min="10248" max="10248" width="0" style="1755" hidden="1" customWidth="1"/>
    <col min="10249" max="10249" width="15.42578125" style="1755" customWidth="1"/>
    <col min="10250" max="10250" width="1.5703125" style="1755" customWidth="1"/>
    <col min="10251" max="10251" width="22.5703125" style="1755" customWidth="1"/>
    <col min="10252" max="10252" width="1.5703125" style="1755" customWidth="1"/>
    <col min="10253" max="10253" width="17.42578125" style="1755" customWidth="1"/>
    <col min="10254" max="10254" width="1.5703125" style="1755" customWidth="1"/>
    <col min="10255" max="10255" width="14.42578125" style="1755" customWidth="1"/>
    <col min="10256" max="10256" width="1.5703125" style="1755" customWidth="1"/>
    <col min="10257" max="10257" width="28.5703125" style="1755" customWidth="1"/>
    <col min="10258" max="10258" width="4.5703125" style="1755" customWidth="1"/>
    <col min="10259" max="10265" width="0" style="1755" hidden="1" customWidth="1"/>
    <col min="10266" max="10503" width="9.42578125" style="1755"/>
    <col min="10504" max="10504" width="0" style="1755" hidden="1" customWidth="1"/>
    <col min="10505" max="10505" width="15.42578125" style="1755" customWidth="1"/>
    <col min="10506" max="10506" width="1.5703125" style="1755" customWidth="1"/>
    <col min="10507" max="10507" width="22.5703125" style="1755" customWidth="1"/>
    <col min="10508" max="10508" width="1.5703125" style="1755" customWidth="1"/>
    <col min="10509" max="10509" width="17.42578125" style="1755" customWidth="1"/>
    <col min="10510" max="10510" width="1.5703125" style="1755" customWidth="1"/>
    <col min="10511" max="10511" width="14.42578125" style="1755" customWidth="1"/>
    <col min="10512" max="10512" width="1.5703125" style="1755" customWidth="1"/>
    <col min="10513" max="10513" width="28.5703125" style="1755" customWidth="1"/>
    <col min="10514" max="10514" width="4.5703125" style="1755" customWidth="1"/>
    <col min="10515" max="10521" width="0" style="1755" hidden="1" customWidth="1"/>
    <col min="10522" max="10759" width="9.42578125" style="1755"/>
    <col min="10760" max="10760" width="0" style="1755" hidden="1" customWidth="1"/>
    <col min="10761" max="10761" width="15.42578125" style="1755" customWidth="1"/>
    <col min="10762" max="10762" width="1.5703125" style="1755" customWidth="1"/>
    <col min="10763" max="10763" width="22.5703125" style="1755" customWidth="1"/>
    <col min="10764" max="10764" width="1.5703125" style="1755" customWidth="1"/>
    <col min="10765" max="10765" width="17.42578125" style="1755" customWidth="1"/>
    <col min="10766" max="10766" width="1.5703125" style="1755" customWidth="1"/>
    <col min="10767" max="10767" width="14.42578125" style="1755" customWidth="1"/>
    <col min="10768" max="10768" width="1.5703125" style="1755" customWidth="1"/>
    <col min="10769" max="10769" width="28.5703125" style="1755" customWidth="1"/>
    <col min="10770" max="10770" width="4.5703125" style="1755" customWidth="1"/>
    <col min="10771" max="10777" width="0" style="1755" hidden="1" customWidth="1"/>
    <col min="10778" max="11015" width="9.42578125" style="1755"/>
    <col min="11016" max="11016" width="0" style="1755" hidden="1" customWidth="1"/>
    <col min="11017" max="11017" width="15.42578125" style="1755" customWidth="1"/>
    <col min="11018" max="11018" width="1.5703125" style="1755" customWidth="1"/>
    <col min="11019" max="11019" width="22.5703125" style="1755" customWidth="1"/>
    <col min="11020" max="11020" width="1.5703125" style="1755" customWidth="1"/>
    <col min="11021" max="11021" width="17.42578125" style="1755" customWidth="1"/>
    <col min="11022" max="11022" width="1.5703125" style="1755" customWidth="1"/>
    <col min="11023" max="11023" width="14.42578125" style="1755" customWidth="1"/>
    <col min="11024" max="11024" width="1.5703125" style="1755" customWidth="1"/>
    <col min="11025" max="11025" width="28.5703125" style="1755" customWidth="1"/>
    <col min="11026" max="11026" width="4.5703125" style="1755" customWidth="1"/>
    <col min="11027" max="11033" width="0" style="1755" hidden="1" customWidth="1"/>
    <col min="11034" max="11271" width="9.42578125" style="1755"/>
    <col min="11272" max="11272" width="0" style="1755" hidden="1" customWidth="1"/>
    <col min="11273" max="11273" width="15.42578125" style="1755" customWidth="1"/>
    <col min="11274" max="11274" width="1.5703125" style="1755" customWidth="1"/>
    <col min="11275" max="11275" width="22.5703125" style="1755" customWidth="1"/>
    <col min="11276" max="11276" width="1.5703125" style="1755" customWidth="1"/>
    <col min="11277" max="11277" width="17.42578125" style="1755" customWidth="1"/>
    <col min="11278" max="11278" width="1.5703125" style="1755" customWidth="1"/>
    <col min="11279" max="11279" width="14.42578125" style="1755" customWidth="1"/>
    <col min="11280" max="11280" width="1.5703125" style="1755" customWidth="1"/>
    <col min="11281" max="11281" width="28.5703125" style="1755" customWidth="1"/>
    <col min="11282" max="11282" width="4.5703125" style="1755" customWidth="1"/>
    <col min="11283" max="11289" width="0" style="1755" hidden="1" customWidth="1"/>
    <col min="11290" max="11527" width="9.42578125" style="1755"/>
    <col min="11528" max="11528" width="0" style="1755" hidden="1" customWidth="1"/>
    <col min="11529" max="11529" width="15.42578125" style="1755" customWidth="1"/>
    <col min="11530" max="11530" width="1.5703125" style="1755" customWidth="1"/>
    <col min="11531" max="11531" width="22.5703125" style="1755" customWidth="1"/>
    <col min="11532" max="11532" width="1.5703125" style="1755" customWidth="1"/>
    <col min="11533" max="11533" width="17.42578125" style="1755" customWidth="1"/>
    <col min="11534" max="11534" width="1.5703125" style="1755" customWidth="1"/>
    <col min="11535" max="11535" width="14.42578125" style="1755" customWidth="1"/>
    <col min="11536" max="11536" width="1.5703125" style="1755" customWidth="1"/>
    <col min="11537" max="11537" width="28.5703125" style="1755" customWidth="1"/>
    <col min="11538" max="11538" width="4.5703125" style="1755" customWidth="1"/>
    <col min="11539" max="11545" width="0" style="1755" hidden="1" customWidth="1"/>
    <col min="11546" max="11783" width="9.42578125" style="1755"/>
    <col min="11784" max="11784" width="0" style="1755" hidden="1" customWidth="1"/>
    <col min="11785" max="11785" width="15.42578125" style="1755" customWidth="1"/>
    <col min="11786" max="11786" width="1.5703125" style="1755" customWidth="1"/>
    <col min="11787" max="11787" width="22.5703125" style="1755" customWidth="1"/>
    <col min="11788" max="11788" width="1.5703125" style="1755" customWidth="1"/>
    <col min="11789" max="11789" width="17.42578125" style="1755" customWidth="1"/>
    <col min="11790" max="11790" width="1.5703125" style="1755" customWidth="1"/>
    <col min="11791" max="11791" width="14.42578125" style="1755" customWidth="1"/>
    <col min="11792" max="11792" width="1.5703125" style="1755" customWidth="1"/>
    <col min="11793" max="11793" width="28.5703125" style="1755" customWidth="1"/>
    <col min="11794" max="11794" width="4.5703125" style="1755" customWidth="1"/>
    <col min="11795" max="11801" width="0" style="1755" hidden="1" customWidth="1"/>
    <col min="11802" max="12039" width="9.42578125" style="1755"/>
    <col min="12040" max="12040" width="0" style="1755" hidden="1" customWidth="1"/>
    <col min="12041" max="12041" width="15.42578125" style="1755" customWidth="1"/>
    <col min="12042" max="12042" width="1.5703125" style="1755" customWidth="1"/>
    <col min="12043" max="12043" width="22.5703125" style="1755" customWidth="1"/>
    <col min="12044" max="12044" width="1.5703125" style="1755" customWidth="1"/>
    <col min="12045" max="12045" width="17.42578125" style="1755" customWidth="1"/>
    <col min="12046" max="12046" width="1.5703125" style="1755" customWidth="1"/>
    <col min="12047" max="12047" width="14.42578125" style="1755" customWidth="1"/>
    <col min="12048" max="12048" width="1.5703125" style="1755" customWidth="1"/>
    <col min="12049" max="12049" width="28.5703125" style="1755" customWidth="1"/>
    <col min="12050" max="12050" width="4.5703125" style="1755" customWidth="1"/>
    <col min="12051" max="12057" width="0" style="1755" hidden="1" customWidth="1"/>
    <col min="12058" max="12295" width="9.42578125" style="1755"/>
    <col min="12296" max="12296" width="0" style="1755" hidden="1" customWidth="1"/>
    <col min="12297" max="12297" width="15.42578125" style="1755" customWidth="1"/>
    <col min="12298" max="12298" width="1.5703125" style="1755" customWidth="1"/>
    <col min="12299" max="12299" width="22.5703125" style="1755" customWidth="1"/>
    <col min="12300" max="12300" width="1.5703125" style="1755" customWidth="1"/>
    <col min="12301" max="12301" width="17.42578125" style="1755" customWidth="1"/>
    <col min="12302" max="12302" width="1.5703125" style="1755" customWidth="1"/>
    <col min="12303" max="12303" width="14.42578125" style="1755" customWidth="1"/>
    <col min="12304" max="12304" width="1.5703125" style="1755" customWidth="1"/>
    <col min="12305" max="12305" width="28.5703125" style="1755" customWidth="1"/>
    <col min="12306" max="12306" width="4.5703125" style="1755" customWidth="1"/>
    <col min="12307" max="12313" width="0" style="1755" hidden="1" customWidth="1"/>
    <col min="12314" max="12551" width="9.42578125" style="1755"/>
    <col min="12552" max="12552" width="0" style="1755" hidden="1" customWidth="1"/>
    <col min="12553" max="12553" width="15.42578125" style="1755" customWidth="1"/>
    <col min="12554" max="12554" width="1.5703125" style="1755" customWidth="1"/>
    <col min="12555" max="12555" width="22.5703125" style="1755" customWidth="1"/>
    <col min="12556" max="12556" width="1.5703125" style="1755" customWidth="1"/>
    <col min="12557" max="12557" width="17.42578125" style="1755" customWidth="1"/>
    <col min="12558" max="12558" width="1.5703125" style="1755" customWidth="1"/>
    <col min="12559" max="12559" width="14.42578125" style="1755" customWidth="1"/>
    <col min="12560" max="12560" width="1.5703125" style="1755" customWidth="1"/>
    <col min="12561" max="12561" width="28.5703125" style="1755" customWidth="1"/>
    <col min="12562" max="12562" width="4.5703125" style="1755" customWidth="1"/>
    <col min="12563" max="12569" width="0" style="1755" hidden="1" customWidth="1"/>
    <col min="12570" max="12807" width="9.42578125" style="1755"/>
    <col min="12808" max="12808" width="0" style="1755" hidden="1" customWidth="1"/>
    <col min="12809" max="12809" width="15.42578125" style="1755" customWidth="1"/>
    <col min="12810" max="12810" width="1.5703125" style="1755" customWidth="1"/>
    <col min="12811" max="12811" width="22.5703125" style="1755" customWidth="1"/>
    <col min="12812" max="12812" width="1.5703125" style="1755" customWidth="1"/>
    <col min="12813" max="12813" width="17.42578125" style="1755" customWidth="1"/>
    <col min="12814" max="12814" width="1.5703125" style="1755" customWidth="1"/>
    <col min="12815" max="12815" width="14.42578125" style="1755" customWidth="1"/>
    <col min="12816" max="12816" width="1.5703125" style="1755" customWidth="1"/>
    <col min="12817" max="12817" width="28.5703125" style="1755" customWidth="1"/>
    <col min="12818" max="12818" width="4.5703125" style="1755" customWidth="1"/>
    <col min="12819" max="12825" width="0" style="1755" hidden="1" customWidth="1"/>
    <col min="12826" max="13063" width="9.42578125" style="1755"/>
    <col min="13064" max="13064" width="0" style="1755" hidden="1" customWidth="1"/>
    <col min="13065" max="13065" width="15.42578125" style="1755" customWidth="1"/>
    <col min="13066" max="13066" width="1.5703125" style="1755" customWidth="1"/>
    <col min="13067" max="13067" width="22.5703125" style="1755" customWidth="1"/>
    <col min="13068" max="13068" width="1.5703125" style="1755" customWidth="1"/>
    <col min="13069" max="13069" width="17.42578125" style="1755" customWidth="1"/>
    <col min="13070" max="13070" width="1.5703125" style="1755" customWidth="1"/>
    <col min="13071" max="13071" width="14.42578125" style="1755" customWidth="1"/>
    <col min="13072" max="13072" width="1.5703125" style="1755" customWidth="1"/>
    <col min="13073" max="13073" width="28.5703125" style="1755" customWidth="1"/>
    <col min="13074" max="13074" width="4.5703125" style="1755" customWidth="1"/>
    <col min="13075" max="13081" width="0" style="1755" hidden="1" customWidth="1"/>
    <col min="13082" max="13319" width="9.42578125" style="1755"/>
    <col min="13320" max="13320" width="0" style="1755" hidden="1" customWidth="1"/>
    <col min="13321" max="13321" width="15.42578125" style="1755" customWidth="1"/>
    <col min="13322" max="13322" width="1.5703125" style="1755" customWidth="1"/>
    <col min="13323" max="13323" width="22.5703125" style="1755" customWidth="1"/>
    <col min="13324" max="13324" width="1.5703125" style="1755" customWidth="1"/>
    <col min="13325" max="13325" width="17.42578125" style="1755" customWidth="1"/>
    <col min="13326" max="13326" width="1.5703125" style="1755" customWidth="1"/>
    <col min="13327" max="13327" width="14.42578125" style="1755" customWidth="1"/>
    <col min="13328" max="13328" width="1.5703125" style="1755" customWidth="1"/>
    <col min="13329" max="13329" width="28.5703125" style="1755" customWidth="1"/>
    <col min="13330" max="13330" width="4.5703125" style="1755" customWidth="1"/>
    <col min="13331" max="13337" width="0" style="1755" hidden="1" customWidth="1"/>
    <col min="13338" max="13575" width="9.42578125" style="1755"/>
    <col min="13576" max="13576" width="0" style="1755" hidden="1" customWidth="1"/>
    <col min="13577" max="13577" width="15.42578125" style="1755" customWidth="1"/>
    <col min="13578" max="13578" width="1.5703125" style="1755" customWidth="1"/>
    <col min="13579" max="13579" width="22.5703125" style="1755" customWidth="1"/>
    <col min="13580" max="13580" width="1.5703125" style="1755" customWidth="1"/>
    <col min="13581" max="13581" width="17.42578125" style="1755" customWidth="1"/>
    <col min="13582" max="13582" width="1.5703125" style="1755" customWidth="1"/>
    <col min="13583" max="13583" width="14.42578125" style="1755" customWidth="1"/>
    <col min="13584" max="13584" width="1.5703125" style="1755" customWidth="1"/>
    <col min="13585" max="13585" width="28.5703125" style="1755" customWidth="1"/>
    <col min="13586" max="13586" width="4.5703125" style="1755" customWidth="1"/>
    <col min="13587" max="13593" width="0" style="1755" hidden="1" customWidth="1"/>
    <col min="13594" max="13831" width="9.42578125" style="1755"/>
    <col min="13832" max="13832" width="0" style="1755" hidden="1" customWidth="1"/>
    <col min="13833" max="13833" width="15.42578125" style="1755" customWidth="1"/>
    <col min="13834" max="13834" width="1.5703125" style="1755" customWidth="1"/>
    <col min="13835" max="13835" width="22.5703125" style="1755" customWidth="1"/>
    <col min="13836" max="13836" width="1.5703125" style="1755" customWidth="1"/>
    <col min="13837" max="13837" width="17.42578125" style="1755" customWidth="1"/>
    <col min="13838" max="13838" width="1.5703125" style="1755" customWidth="1"/>
    <col min="13839" max="13839" width="14.42578125" style="1755" customWidth="1"/>
    <col min="13840" max="13840" width="1.5703125" style="1755" customWidth="1"/>
    <col min="13841" max="13841" width="28.5703125" style="1755" customWidth="1"/>
    <col min="13842" max="13842" width="4.5703125" style="1755" customWidth="1"/>
    <col min="13843" max="13849" width="0" style="1755" hidden="1" customWidth="1"/>
    <col min="13850" max="14087" width="9.42578125" style="1755"/>
    <col min="14088" max="14088" width="0" style="1755" hidden="1" customWidth="1"/>
    <col min="14089" max="14089" width="15.42578125" style="1755" customWidth="1"/>
    <col min="14090" max="14090" width="1.5703125" style="1755" customWidth="1"/>
    <col min="14091" max="14091" width="22.5703125" style="1755" customWidth="1"/>
    <col min="14092" max="14092" width="1.5703125" style="1755" customWidth="1"/>
    <col min="14093" max="14093" width="17.42578125" style="1755" customWidth="1"/>
    <col min="14094" max="14094" width="1.5703125" style="1755" customWidth="1"/>
    <col min="14095" max="14095" width="14.42578125" style="1755" customWidth="1"/>
    <col min="14096" max="14096" width="1.5703125" style="1755" customWidth="1"/>
    <col min="14097" max="14097" width="28.5703125" style="1755" customWidth="1"/>
    <col min="14098" max="14098" width="4.5703125" style="1755" customWidth="1"/>
    <col min="14099" max="14105" width="0" style="1755" hidden="1" customWidth="1"/>
    <col min="14106" max="14343" width="9.42578125" style="1755"/>
    <col min="14344" max="14344" width="0" style="1755" hidden="1" customWidth="1"/>
    <col min="14345" max="14345" width="15.42578125" style="1755" customWidth="1"/>
    <col min="14346" max="14346" width="1.5703125" style="1755" customWidth="1"/>
    <col min="14347" max="14347" width="22.5703125" style="1755" customWidth="1"/>
    <col min="14348" max="14348" width="1.5703125" style="1755" customWidth="1"/>
    <col min="14349" max="14349" width="17.42578125" style="1755" customWidth="1"/>
    <col min="14350" max="14350" width="1.5703125" style="1755" customWidth="1"/>
    <col min="14351" max="14351" width="14.42578125" style="1755" customWidth="1"/>
    <col min="14352" max="14352" width="1.5703125" style="1755" customWidth="1"/>
    <col min="14353" max="14353" width="28.5703125" style="1755" customWidth="1"/>
    <col min="14354" max="14354" width="4.5703125" style="1755" customWidth="1"/>
    <col min="14355" max="14361" width="0" style="1755" hidden="1" customWidth="1"/>
    <col min="14362" max="14599" width="9.42578125" style="1755"/>
    <col min="14600" max="14600" width="0" style="1755" hidden="1" customWidth="1"/>
    <col min="14601" max="14601" width="15.42578125" style="1755" customWidth="1"/>
    <col min="14602" max="14602" width="1.5703125" style="1755" customWidth="1"/>
    <col min="14603" max="14603" width="22.5703125" style="1755" customWidth="1"/>
    <col min="14604" max="14604" width="1.5703125" style="1755" customWidth="1"/>
    <col min="14605" max="14605" width="17.42578125" style="1755" customWidth="1"/>
    <col min="14606" max="14606" width="1.5703125" style="1755" customWidth="1"/>
    <col min="14607" max="14607" width="14.42578125" style="1755" customWidth="1"/>
    <col min="14608" max="14608" width="1.5703125" style="1755" customWidth="1"/>
    <col min="14609" max="14609" width="28.5703125" style="1755" customWidth="1"/>
    <col min="14610" max="14610" width="4.5703125" style="1755" customWidth="1"/>
    <col min="14611" max="14617" width="0" style="1755" hidden="1" customWidth="1"/>
    <col min="14618" max="14855" width="9.42578125" style="1755"/>
    <col min="14856" max="14856" width="0" style="1755" hidden="1" customWidth="1"/>
    <col min="14857" max="14857" width="15.42578125" style="1755" customWidth="1"/>
    <col min="14858" max="14858" width="1.5703125" style="1755" customWidth="1"/>
    <col min="14859" max="14859" width="22.5703125" style="1755" customWidth="1"/>
    <col min="14860" max="14860" width="1.5703125" style="1755" customWidth="1"/>
    <col min="14861" max="14861" width="17.42578125" style="1755" customWidth="1"/>
    <col min="14862" max="14862" width="1.5703125" style="1755" customWidth="1"/>
    <col min="14863" max="14863" width="14.42578125" style="1755" customWidth="1"/>
    <col min="14864" max="14864" width="1.5703125" style="1755" customWidth="1"/>
    <col min="14865" max="14865" width="28.5703125" style="1755" customWidth="1"/>
    <col min="14866" max="14866" width="4.5703125" style="1755" customWidth="1"/>
    <col min="14867" max="14873" width="0" style="1755" hidden="1" customWidth="1"/>
    <col min="14874" max="15111" width="9.42578125" style="1755"/>
    <col min="15112" max="15112" width="0" style="1755" hidden="1" customWidth="1"/>
    <col min="15113" max="15113" width="15.42578125" style="1755" customWidth="1"/>
    <col min="15114" max="15114" width="1.5703125" style="1755" customWidth="1"/>
    <col min="15115" max="15115" width="22.5703125" style="1755" customWidth="1"/>
    <col min="15116" max="15116" width="1.5703125" style="1755" customWidth="1"/>
    <col min="15117" max="15117" width="17.42578125" style="1755" customWidth="1"/>
    <col min="15118" max="15118" width="1.5703125" style="1755" customWidth="1"/>
    <col min="15119" max="15119" width="14.42578125" style="1755" customWidth="1"/>
    <col min="15120" max="15120" width="1.5703125" style="1755" customWidth="1"/>
    <col min="15121" max="15121" width="28.5703125" style="1755" customWidth="1"/>
    <col min="15122" max="15122" width="4.5703125" style="1755" customWidth="1"/>
    <col min="15123" max="15129" width="0" style="1755" hidden="1" customWidth="1"/>
    <col min="15130" max="15367" width="9.42578125" style="1755"/>
    <col min="15368" max="15368" width="0" style="1755" hidden="1" customWidth="1"/>
    <col min="15369" max="15369" width="15.42578125" style="1755" customWidth="1"/>
    <col min="15370" max="15370" width="1.5703125" style="1755" customWidth="1"/>
    <col min="15371" max="15371" width="22.5703125" style="1755" customWidth="1"/>
    <col min="15372" max="15372" width="1.5703125" style="1755" customWidth="1"/>
    <col min="15373" max="15373" width="17.42578125" style="1755" customWidth="1"/>
    <col min="15374" max="15374" width="1.5703125" style="1755" customWidth="1"/>
    <col min="15375" max="15375" width="14.42578125" style="1755" customWidth="1"/>
    <col min="15376" max="15376" width="1.5703125" style="1755" customWidth="1"/>
    <col min="15377" max="15377" width="28.5703125" style="1755" customWidth="1"/>
    <col min="15378" max="15378" width="4.5703125" style="1755" customWidth="1"/>
    <col min="15379" max="15385" width="0" style="1755" hidden="1" customWidth="1"/>
    <col min="15386" max="15623" width="9.42578125" style="1755"/>
    <col min="15624" max="15624" width="0" style="1755" hidden="1" customWidth="1"/>
    <col min="15625" max="15625" width="15.42578125" style="1755" customWidth="1"/>
    <col min="15626" max="15626" width="1.5703125" style="1755" customWidth="1"/>
    <col min="15627" max="15627" width="22.5703125" style="1755" customWidth="1"/>
    <col min="15628" max="15628" width="1.5703125" style="1755" customWidth="1"/>
    <col min="15629" max="15629" width="17.42578125" style="1755" customWidth="1"/>
    <col min="15630" max="15630" width="1.5703125" style="1755" customWidth="1"/>
    <col min="15631" max="15631" width="14.42578125" style="1755" customWidth="1"/>
    <col min="15632" max="15632" width="1.5703125" style="1755" customWidth="1"/>
    <col min="15633" max="15633" width="28.5703125" style="1755" customWidth="1"/>
    <col min="15634" max="15634" width="4.5703125" style="1755" customWidth="1"/>
    <col min="15635" max="15641" width="0" style="1755" hidden="1" customWidth="1"/>
    <col min="15642" max="15879" width="9.42578125" style="1755"/>
    <col min="15880" max="15880" width="0" style="1755" hidden="1" customWidth="1"/>
    <col min="15881" max="15881" width="15.42578125" style="1755" customWidth="1"/>
    <col min="15882" max="15882" width="1.5703125" style="1755" customWidth="1"/>
    <col min="15883" max="15883" width="22.5703125" style="1755" customWidth="1"/>
    <col min="15884" max="15884" width="1.5703125" style="1755" customWidth="1"/>
    <col min="15885" max="15885" width="17.42578125" style="1755" customWidth="1"/>
    <col min="15886" max="15886" width="1.5703125" style="1755" customWidth="1"/>
    <col min="15887" max="15887" width="14.42578125" style="1755" customWidth="1"/>
    <col min="15888" max="15888" width="1.5703125" style="1755" customWidth="1"/>
    <col min="15889" max="15889" width="28.5703125" style="1755" customWidth="1"/>
    <col min="15890" max="15890" width="4.5703125" style="1755" customWidth="1"/>
    <col min="15891" max="15897" width="0" style="1755" hidden="1" customWidth="1"/>
    <col min="15898" max="16135" width="9.42578125" style="1755"/>
    <col min="16136" max="16136" width="0" style="1755" hidden="1" customWidth="1"/>
    <col min="16137" max="16137" width="15.42578125" style="1755" customWidth="1"/>
    <col min="16138" max="16138" width="1.5703125" style="1755" customWidth="1"/>
    <col min="16139" max="16139" width="22.5703125" style="1755" customWidth="1"/>
    <col min="16140" max="16140" width="1.5703125" style="1755" customWidth="1"/>
    <col min="16141" max="16141" width="17.42578125" style="1755" customWidth="1"/>
    <col min="16142" max="16142" width="1.5703125" style="1755" customWidth="1"/>
    <col min="16143" max="16143" width="14.42578125" style="1755" customWidth="1"/>
    <col min="16144" max="16144" width="1.5703125" style="1755" customWidth="1"/>
    <col min="16145" max="16145" width="28.5703125" style="1755" customWidth="1"/>
    <col min="16146" max="16146" width="4.5703125" style="1755" customWidth="1"/>
    <col min="16147" max="16153" width="0" style="1755" hidden="1" customWidth="1"/>
    <col min="16154" max="16384" width="9.42578125" style="1755"/>
  </cols>
  <sheetData>
    <row r="1" spans="1:24" s="1738" customFormat="1" ht="15" customHeight="1" x14ac:dyDescent="0.25">
      <c r="A1" s="2449" t="str">
        <f>Index!A1</f>
        <v xml:space="preserve">                                                               Office of the State Controller                                                                </v>
      </c>
      <c r="B1" s="2449"/>
      <c r="C1" s="2449"/>
      <c r="D1" s="2449"/>
      <c r="E1" s="2449"/>
      <c r="F1" s="2449"/>
      <c r="G1" s="2449"/>
      <c r="H1" s="2449"/>
      <c r="I1" s="2449"/>
      <c r="J1" s="2449"/>
      <c r="K1" s="2449"/>
      <c r="L1" s="2449"/>
      <c r="M1" s="2449"/>
      <c r="N1" s="2449"/>
      <c r="O1" s="2449"/>
      <c r="P1" s="2449"/>
      <c r="Q1" s="2449"/>
      <c r="R1" s="2510" t="str">
        <f>IF(Index!$B$73="na","NA","")</f>
        <v/>
      </c>
      <c r="S1" s="182"/>
      <c r="T1" s="182"/>
      <c r="U1" s="182"/>
      <c r="V1" s="182"/>
      <c r="W1" s="182"/>
      <c r="X1" s="182"/>
    </row>
    <row r="2" spans="1:24" s="1738" customFormat="1" ht="15" customHeight="1" x14ac:dyDescent="0.25">
      <c r="A2" s="2769" t="str">
        <f>Index!A2</f>
        <v>2022 ACFR Worksheets</v>
      </c>
      <c r="B2" s="2769"/>
      <c r="C2" s="2769"/>
      <c r="D2" s="2769"/>
      <c r="E2" s="2769"/>
      <c r="F2" s="2769"/>
      <c r="G2" s="2769"/>
      <c r="H2" s="2769"/>
      <c r="I2" s="2769"/>
      <c r="J2" s="2769"/>
      <c r="K2" s="2769"/>
      <c r="L2" s="2769"/>
      <c r="M2" s="2769"/>
      <c r="N2" s="2769"/>
      <c r="O2" s="2769"/>
      <c r="P2" s="2769"/>
      <c r="Q2" s="2769"/>
      <c r="R2" s="2510"/>
      <c r="S2" s="182"/>
      <c r="T2" s="182"/>
      <c r="U2" s="182"/>
      <c r="V2" s="182"/>
      <c r="W2" s="182"/>
      <c r="X2" s="182"/>
    </row>
    <row r="3" spans="1:24" s="1738" customFormat="1" ht="15" customHeight="1" x14ac:dyDescent="0.25">
      <c r="A3" s="2769" t="s">
        <v>4588</v>
      </c>
      <c r="B3" s="2769"/>
      <c r="C3" s="2769"/>
      <c r="D3" s="2769"/>
      <c r="E3" s="2769"/>
      <c r="F3" s="2769"/>
      <c r="G3" s="2769"/>
      <c r="H3" s="2769"/>
      <c r="I3" s="2769"/>
      <c r="J3" s="2769"/>
      <c r="K3" s="2769"/>
      <c r="L3" s="2769"/>
      <c r="M3" s="2769"/>
      <c r="N3" s="2769"/>
      <c r="O3" s="2769"/>
      <c r="P3" s="2769"/>
      <c r="Q3" s="2769"/>
      <c r="R3" s="2510"/>
      <c r="S3" s="182"/>
      <c r="T3" s="182"/>
      <c r="U3" s="182"/>
      <c r="V3" s="182"/>
      <c r="W3" s="182"/>
      <c r="X3" s="182"/>
    </row>
    <row r="4" spans="1:24" s="1738" customFormat="1" ht="15" customHeight="1" x14ac:dyDescent="0.25">
      <c r="A4" s="2769" t="s">
        <v>4293</v>
      </c>
      <c r="B4" s="2769"/>
      <c r="C4" s="2769"/>
      <c r="D4" s="2769"/>
      <c r="E4" s="2769"/>
      <c r="F4" s="2769"/>
      <c r="G4" s="2769"/>
      <c r="H4" s="2769"/>
      <c r="I4" s="2769"/>
      <c r="J4" s="2769"/>
      <c r="K4" s="2769"/>
      <c r="L4" s="2769"/>
      <c r="M4" s="2769"/>
      <c r="N4" s="2769"/>
      <c r="O4" s="2769"/>
      <c r="P4" s="2769"/>
      <c r="Q4" s="2769"/>
    </row>
    <row r="5" spans="1:24" s="1739" customFormat="1" ht="15" customHeight="1" x14ac:dyDescent="0.25">
      <c r="C5" s="1740"/>
      <c r="D5" s="1741"/>
      <c r="E5" s="1741"/>
      <c r="F5" s="1741"/>
      <c r="G5" s="1741"/>
      <c r="H5" s="1741"/>
      <c r="I5" s="1741"/>
      <c r="J5" s="1741"/>
      <c r="K5" s="1742"/>
      <c r="L5" s="1742"/>
      <c r="M5" s="1742"/>
      <c r="N5" s="1742"/>
      <c r="O5" s="1742" t="s">
        <v>4294</v>
      </c>
      <c r="P5" s="1742"/>
      <c r="Q5" s="1742"/>
    </row>
    <row r="6" spans="1:24" s="1739" customFormat="1" ht="15" customHeight="1" x14ac:dyDescent="0.2">
      <c r="A6" s="1743" t="s">
        <v>327</v>
      </c>
      <c r="C6" s="1744" t="str">
        <f>AgyIdx</f>
        <v>01</v>
      </c>
      <c r="D6" s="1744"/>
      <c r="E6" s="1744"/>
      <c r="H6" s="1745"/>
      <c r="I6" s="1775"/>
      <c r="J6" s="1775"/>
      <c r="K6" s="1775"/>
      <c r="L6" s="1745" t="s">
        <v>972</v>
      </c>
      <c r="M6" s="2770" t="str">
        <f>CONCATENATE(Index!$E$12," ",Index!$E$14)</f>
        <v xml:space="preserve"> </v>
      </c>
      <c r="N6" s="2770"/>
      <c r="O6" s="2770"/>
      <c r="P6" s="2770"/>
      <c r="Q6" s="2770"/>
    </row>
    <row r="7" spans="1:24" s="1739" customFormat="1" ht="15" customHeight="1" x14ac:dyDescent="0.2">
      <c r="A7" s="1743" t="s">
        <v>1154</v>
      </c>
      <c r="C7" s="2774" t="str">
        <f>Index!E11</f>
        <v>North Carolina General Assembly</v>
      </c>
      <c r="D7" s="2774"/>
      <c r="E7" s="2774"/>
      <c r="G7" s="1745"/>
      <c r="I7" s="1767"/>
      <c r="J7" s="1767"/>
      <c r="K7" s="1767"/>
      <c r="L7" s="1745" t="s">
        <v>348</v>
      </c>
      <c r="M7" s="2776">
        <f>Index!E13</f>
        <v>0</v>
      </c>
      <c r="N7" s="2776"/>
      <c r="O7" s="2776"/>
      <c r="P7" s="2776"/>
      <c r="Q7" s="2776"/>
    </row>
    <row r="8" spans="1:24" s="1739" customFormat="1" ht="15" customHeight="1" x14ac:dyDescent="0.2">
      <c r="A8" s="1743" t="s">
        <v>723</v>
      </c>
      <c r="C8" s="2775"/>
      <c r="D8" s="2775"/>
      <c r="E8" s="2775"/>
    </row>
    <row r="9" spans="1:24" s="1739" customFormat="1" ht="15" customHeight="1" thickBot="1" x14ac:dyDescent="0.25">
      <c r="A9" s="1746"/>
      <c r="B9" s="1746"/>
      <c r="C9" s="1746"/>
      <c r="D9" s="1746"/>
      <c r="E9" s="1746"/>
      <c r="F9" s="1746"/>
      <c r="G9" s="1746"/>
      <c r="H9" s="1746"/>
      <c r="I9" s="1746"/>
      <c r="J9" s="1746"/>
      <c r="K9" s="1746"/>
      <c r="L9" s="1746"/>
      <c r="M9" s="1746"/>
      <c r="N9" s="1746"/>
      <c r="O9" s="1746"/>
      <c r="P9" s="1746"/>
      <c r="Q9" s="1746"/>
    </row>
    <row r="10" spans="1:24" s="1739" customFormat="1" ht="15" customHeight="1" x14ac:dyDescent="0.2">
      <c r="A10" s="2771" t="s">
        <v>4455</v>
      </c>
      <c r="B10" s="2772"/>
      <c r="C10" s="2773"/>
      <c r="E10" s="2771" t="s">
        <v>4456</v>
      </c>
      <c r="F10" s="2772"/>
      <c r="G10" s="2773"/>
    </row>
    <row r="11" spans="1:24" s="1739" customFormat="1" ht="15" customHeight="1" x14ac:dyDescent="0.2">
      <c r="A11" s="1855"/>
      <c r="C11" s="1856" t="s">
        <v>1064</v>
      </c>
      <c r="E11" s="1855" t="s">
        <v>973</v>
      </c>
      <c r="G11" s="1860"/>
      <c r="H11" s="1747" t="s">
        <v>973</v>
      </c>
      <c r="J11" s="1740"/>
    </row>
    <row r="12" spans="1:24" s="1739" customFormat="1" ht="15" customHeight="1" x14ac:dyDescent="0.2">
      <c r="A12" s="1855"/>
      <c r="C12" s="1856" t="s">
        <v>4296</v>
      </c>
      <c r="E12" s="1855"/>
      <c r="G12" s="1856"/>
      <c r="J12" s="1740"/>
    </row>
    <row r="13" spans="1:24" s="1739" customFormat="1" ht="15" customHeight="1" x14ac:dyDescent="0.2">
      <c r="A13" s="1855"/>
      <c r="C13" s="1856" t="s">
        <v>4589</v>
      </c>
      <c r="E13" s="1855"/>
      <c r="G13" s="1856"/>
      <c r="J13" s="1740"/>
    </row>
    <row r="14" spans="1:24" s="1739" customFormat="1" ht="15" customHeight="1" x14ac:dyDescent="0.2">
      <c r="A14" s="1855"/>
      <c r="C14" s="1856" t="s">
        <v>4783</v>
      </c>
      <c r="E14" s="1855"/>
      <c r="G14" s="1856"/>
      <c r="J14" s="1740"/>
      <c r="M14" s="220"/>
      <c r="N14" s="1970"/>
      <c r="O14" s="1970"/>
      <c r="P14" s="1970"/>
      <c r="Q14" s="1970"/>
    </row>
    <row r="15" spans="1:24" s="1739" customFormat="1" ht="15" customHeight="1" thickBot="1" x14ac:dyDescent="0.25">
      <c r="A15" s="2087"/>
      <c r="C15" s="1856" t="s">
        <v>4590</v>
      </c>
      <c r="E15" s="2087"/>
      <c r="G15" s="1860"/>
      <c r="J15" s="1740"/>
      <c r="M15" s="1970"/>
      <c r="N15" s="1970"/>
      <c r="O15" s="1970"/>
      <c r="P15" s="1970"/>
      <c r="Q15" s="220"/>
    </row>
    <row r="16" spans="1:24" s="1739" customFormat="1" ht="15" customHeight="1" thickBot="1" x14ac:dyDescent="0.25">
      <c r="A16" s="2087"/>
      <c r="C16" s="1856" t="s">
        <v>5514</v>
      </c>
      <c r="E16" s="2087"/>
      <c r="G16" s="1860"/>
      <c r="J16" s="1740"/>
      <c r="M16" s="221" t="s">
        <v>352</v>
      </c>
      <c r="N16" s="1969"/>
      <c r="O16" s="1969"/>
      <c r="P16" s="1969"/>
      <c r="Q16" s="1969"/>
    </row>
    <row r="17" spans="1:26" s="1739" customFormat="1" ht="15" customHeight="1" x14ac:dyDescent="0.2">
      <c r="A17" s="1855" t="s">
        <v>4295</v>
      </c>
      <c r="C17" s="1856" t="s">
        <v>4816</v>
      </c>
      <c r="E17" s="1855" t="s">
        <v>4297</v>
      </c>
      <c r="G17" s="1856" t="s">
        <v>4298</v>
      </c>
      <c r="J17" s="1740"/>
      <c r="M17" s="1970"/>
      <c r="N17" s="1970"/>
      <c r="O17" s="1970"/>
      <c r="P17" s="1970"/>
      <c r="Q17" s="220" t="s">
        <v>86</v>
      </c>
    </row>
    <row r="18" spans="1:26" s="1739" customFormat="1" ht="15" customHeight="1" thickBot="1" x14ac:dyDescent="0.25">
      <c r="A18" s="1857" t="s">
        <v>808</v>
      </c>
      <c r="C18" s="1858" t="s">
        <v>4299</v>
      </c>
      <c r="E18" s="1857" t="s">
        <v>4300</v>
      </c>
      <c r="G18" s="1858" t="s">
        <v>4300</v>
      </c>
      <c r="I18" s="1748" t="s">
        <v>1156</v>
      </c>
      <c r="K18" s="1748" t="s">
        <v>4591</v>
      </c>
      <c r="L18" s="1747"/>
      <c r="M18" s="224" t="s">
        <v>1198</v>
      </c>
      <c r="N18" s="219"/>
      <c r="O18" s="224" t="s">
        <v>1199</v>
      </c>
      <c r="P18" s="1971"/>
      <c r="Q18" s="224" t="s">
        <v>1200</v>
      </c>
      <c r="R18" s="1747" t="s">
        <v>973</v>
      </c>
      <c r="S18" s="1747"/>
      <c r="T18" s="1747"/>
      <c r="U18" s="1747"/>
      <c r="V18" s="1747"/>
      <c r="W18" s="1747"/>
      <c r="X18" s="1747"/>
    </row>
    <row r="19" spans="1:26" s="1739" customFormat="1" ht="15" customHeight="1" x14ac:dyDescent="0.2">
      <c r="A19" s="1972" t="s">
        <v>4451</v>
      </c>
      <c r="C19" s="1973">
        <v>438101</v>
      </c>
      <c r="E19" s="1974" t="s">
        <v>4457</v>
      </c>
      <c r="G19" s="1973">
        <v>1100</v>
      </c>
      <c r="H19" s="1750"/>
      <c r="I19" s="1975">
        <v>500000</v>
      </c>
      <c r="K19" s="1976" t="s">
        <v>4452</v>
      </c>
      <c r="L19" s="1977"/>
      <c r="M19" s="1978" t="s">
        <v>4592</v>
      </c>
      <c r="N19" s="1979"/>
      <c r="O19" s="1978"/>
      <c r="P19" s="1979"/>
      <c r="Q19" s="1978"/>
      <c r="R19" s="552" t="str">
        <f t="shared" ref="R19:R33" si="0">IF(AND(S19,Y19),"","*")</f>
        <v/>
      </c>
      <c r="S19" s="1752" t="b">
        <f>IF(OR(T19=0,T19=5),TRUE, FALSE)</f>
        <v>1</v>
      </c>
      <c r="T19" s="1752">
        <f>COUNTIF(U19:Z19,FALSE)</f>
        <v>5</v>
      </c>
      <c r="U19" s="1753" t="b">
        <f>ISBLANK(C19)</f>
        <v>0</v>
      </c>
      <c r="V19" s="1753" t="b">
        <f>ISBLANK(E19)</f>
        <v>0</v>
      </c>
      <c r="W19" s="1753" t="b">
        <f>ISBLANK(G19)</f>
        <v>0</v>
      </c>
      <c r="X19" s="1753" t="b">
        <f>ISBLANK(I19)</f>
        <v>0</v>
      </c>
      <c r="Y19" s="1754" t="b">
        <f>IF(ISBLANK(C19),TRUE,OR(TEXT(LEFT(C19,4),"0000")="4381",TEXT(LEFT(C19,4),"0000")="4380",TEXT(LEFT(C19,4),"0000")="438F"))</f>
        <v>1</v>
      </c>
      <c r="Z19" s="1739" t="b">
        <f t="shared" ref="Z19:Z33" si="1">AND(ISBLANK(M19),ISBLANK(O19),ISBLANK(Q19))</f>
        <v>0</v>
      </c>
    </row>
    <row r="20" spans="1:26" s="1739" customFormat="1" ht="15" customHeight="1" x14ac:dyDescent="0.2">
      <c r="A20" s="1862"/>
      <c r="C20" s="1859"/>
      <c r="E20" s="1861"/>
      <c r="G20" s="1859"/>
      <c r="H20" s="1750"/>
      <c r="I20" s="1751"/>
      <c r="K20" s="1749"/>
      <c r="L20" s="1854"/>
      <c r="M20" s="1994"/>
      <c r="N20" s="1995"/>
      <c r="O20" s="1996"/>
      <c r="P20" s="1995"/>
      <c r="Q20" s="1996"/>
      <c r="R20" s="552" t="str">
        <f t="shared" si="0"/>
        <v/>
      </c>
      <c r="S20" s="1752" t="b">
        <f t="shared" ref="S20:S33" si="2">IF(OR(T20=0,T20=5),TRUE, FALSE)</f>
        <v>1</v>
      </c>
      <c r="T20" s="1752">
        <f t="shared" ref="T20:T33" si="3">COUNTIF(U20:Z20,FALSE)</f>
        <v>0</v>
      </c>
      <c r="U20" s="1753" t="b">
        <f t="shared" ref="U20:U33" si="4">ISBLANK(C20)</f>
        <v>1</v>
      </c>
      <c r="V20" s="1753" t="b">
        <f t="shared" ref="V20:V33" si="5">ISBLANK(E20)</f>
        <v>1</v>
      </c>
      <c r="W20" s="1753" t="b">
        <f t="shared" ref="W20:W33" si="6">ISBLANK(G20)</f>
        <v>1</v>
      </c>
      <c r="X20" s="1753" t="b">
        <f t="shared" ref="X20:X33" si="7">ISBLANK(I20)</f>
        <v>1</v>
      </c>
      <c r="Y20" s="1754" t="b">
        <f>IF(ISBLANK(C20),TRUE,OR(TEXT(LEFT(C20,4),"0000")="4381",TEXT(LEFT(C20,4),"0000")="4380",TEXT(LEFT(C20,4),"0000")="438F"))</f>
        <v>1</v>
      </c>
      <c r="Z20" s="1739" t="b">
        <f t="shared" si="1"/>
        <v>1</v>
      </c>
    </row>
    <row r="21" spans="1:26" s="1739" customFormat="1" ht="15" customHeight="1" x14ac:dyDescent="0.2">
      <c r="A21" s="1862"/>
      <c r="C21" s="1859"/>
      <c r="E21" s="1861"/>
      <c r="G21" s="1859"/>
      <c r="H21" s="1750"/>
      <c r="I21" s="1751"/>
      <c r="K21" s="1749"/>
      <c r="L21" s="1854"/>
      <c r="M21" s="1996"/>
      <c r="N21" s="1995"/>
      <c r="O21" s="1996"/>
      <c r="P21" s="1995"/>
      <c r="Q21" s="1996"/>
      <c r="R21" s="552" t="str">
        <f t="shared" si="0"/>
        <v/>
      </c>
      <c r="S21" s="1752" t="b">
        <f t="shared" si="2"/>
        <v>1</v>
      </c>
      <c r="T21" s="1752">
        <f t="shared" si="3"/>
        <v>0</v>
      </c>
      <c r="U21" s="1753" t="b">
        <f t="shared" si="4"/>
        <v>1</v>
      </c>
      <c r="V21" s="1753" t="b">
        <f t="shared" si="5"/>
        <v>1</v>
      </c>
      <c r="W21" s="1753" t="b">
        <f t="shared" si="6"/>
        <v>1</v>
      </c>
      <c r="X21" s="1753" t="b">
        <f t="shared" si="7"/>
        <v>1</v>
      </c>
      <c r="Y21" s="1754" t="b">
        <f>IF(ISBLANK(C21),TRUE,OR(TEXT(LEFT(C21,4),"0000")="4381",TEXT(LEFT(C21,4),"0000")="4380",TEXT(LEFT(C21,4),"0000")="438F"))</f>
        <v>1</v>
      </c>
      <c r="Z21" s="1739" t="b">
        <f t="shared" si="1"/>
        <v>1</v>
      </c>
    </row>
    <row r="22" spans="1:26" s="1739" customFormat="1" ht="15" customHeight="1" x14ac:dyDescent="0.2">
      <c r="A22" s="1862"/>
      <c r="C22" s="1859"/>
      <c r="E22" s="1861"/>
      <c r="G22" s="1859"/>
      <c r="H22" s="1750"/>
      <c r="I22" s="1751"/>
      <c r="K22" s="1749"/>
      <c r="L22" s="1854"/>
      <c r="M22" s="1996"/>
      <c r="N22" s="1995"/>
      <c r="O22" s="1996"/>
      <c r="P22" s="1995"/>
      <c r="Q22" s="1996"/>
      <c r="R22" s="552" t="str">
        <f t="shared" si="0"/>
        <v/>
      </c>
      <c r="S22" s="1752" t="b">
        <f t="shared" si="2"/>
        <v>1</v>
      </c>
      <c r="T22" s="1752">
        <f t="shared" si="3"/>
        <v>0</v>
      </c>
      <c r="U22" s="1753" t="b">
        <f t="shared" si="4"/>
        <v>1</v>
      </c>
      <c r="V22" s="1753" t="b">
        <f t="shared" si="5"/>
        <v>1</v>
      </c>
      <c r="W22" s="1753" t="b">
        <f t="shared" si="6"/>
        <v>1</v>
      </c>
      <c r="X22" s="1753" t="b">
        <f t="shared" si="7"/>
        <v>1</v>
      </c>
      <c r="Y22" s="1754" t="b">
        <f t="shared" ref="Y22:Y33" si="8">IF(ISBLANK(C22),TRUE,OR(TEXT(LEFT(C22,4),"0000")="4381",TEXT(LEFT(C22,4),"0000")="4380",TEXT(LEFT(C22,4),"0000")="438F"))</f>
        <v>1</v>
      </c>
      <c r="Z22" s="1739" t="b">
        <f t="shared" si="1"/>
        <v>1</v>
      </c>
    </row>
    <row r="23" spans="1:26" s="1739" customFormat="1" ht="15" customHeight="1" x14ac:dyDescent="0.2">
      <c r="A23" s="1862"/>
      <c r="C23" s="1859"/>
      <c r="E23" s="1861"/>
      <c r="G23" s="1859"/>
      <c r="H23" s="1750"/>
      <c r="I23" s="1751"/>
      <c r="K23" s="1749"/>
      <c r="L23" s="1854"/>
      <c r="M23" s="1996"/>
      <c r="N23" s="1995"/>
      <c r="O23" s="1996"/>
      <c r="P23" s="1995"/>
      <c r="Q23" s="1996"/>
      <c r="R23" s="552" t="str">
        <f t="shared" si="0"/>
        <v/>
      </c>
      <c r="S23" s="1752" t="b">
        <f t="shared" si="2"/>
        <v>1</v>
      </c>
      <c r="T23" s="1752">
        <f t="shared" si="3"/>
        <v>0</v>
      </c>
      <c r="U23" s="1753" t="b">
        <f t="shared" si="4"/>
        <v>1</v>
      </c>
      <c r="V23" s="1753" t="b">
        <f t="shared" si="5"/>
        <v>1</v>
      </c>
      <c r="W23" s="1753" t="b">
        <f t="shared" si="6"/>
        <v>1</v>
      </c>
      <c r="X23" s="1753" t="b">
        <f t="shared" si="7"/>
        <v>1</v>
      </c>
      <c r="Y23" s="1754" t="b">
        <f t="shared" si="8"/>
        <v>1</v>
      </c>
      <c r="Z23" s="1739" t="b">
        <f t="shared" si="1"/>
        <v>1</v>
      </c>
    </row>
    <row r="24" spans="1:26" s="1739" customFormat="1" ht="15" customHeight="1" x14ac:dyDescent="0.2">
      <c r="A24" s="1862"/>
      <c r="C24" s="1859"/>
      <c r="E24" s="1861"/>
      <c r="G24" s="1859"/>
      <c r="H24" s="1750"/>
      <c r="I24" s="1751"/>
      <c r="K24" s="1749"/>
      <c r="L24" s="1854"/>
      <c r="M24" s="1996"/>
      <c r="N24" s="1995"/>
      <c r="O24" s="1996"/>
      <c r="P24" s="1995"/>
      <c r="Q24" s="1996"/>
      <c r="R24" s="552" t="str">
        <f t="shared" si="0"/>
        <v/>
      </c>
      <c r="S24" s="1752" t="b">
        <f t="shared" si="2"/>
        <v>1</v>
      </c>
      <c r="T24" s="1752">
        <f t="shared" si="3"/>
        <v>0</v>
      </c>
      <c r="U24" s="1753" t="b">
        <f t="shared" si="4"/>
        <v>1</v>
      </c>
      <c r="V24" s="1753" t="b">
        <f t="shared" si="5"/>
        <v>1</v>
      </c>
      <c r="W24" s="1753" t="b">
        <f t="shared" si="6"/>
        <v>1</v>
      </c>
      <c r="X24" s="1753" t="b">
        <f t="shared" si="7"/>
        <v>1</v>
      </c>
      <c r="Y24" s="1754" t="b">
        <f t="shared" si="8"/>
        <v>1</v>
      </c>
      <c r="Z24" s="1739" t="b">
        <f t="shared" si="1"/>
        <v>1</v>
      </c>
    </row>
    <row r="25" spans="1:26" s="1739" customFormat="1" ht="15" customHeight="1" x14ac:dyDescent="0.2">
      <c r="A25" s="1862"/>
      <c r="C25" s="1859"/>
      <c r="E25" s="1861"/>
      <c r="G25" s="1859"/>
      <c r="H25" s="1750"/>
      <c r="I25" s="1751"/>
      <c r="K25" s="1749"/>
      <c r="L25" s="1854"/>
      <c r="M25" s="1996"/>
      <c r="N25" s="1995"/>
      <c r="O25" s="1996"/>
      <c r="P25" s="1995"/>
      <c r="Q25" s="1996"/>
      <c r="R25" s="552" t="str">
        <f t="shared" si="0"/>
        <v/>
      </c>
      <c r="S25" s="1752" t="b">
        <f t="shared" si="2"/>
        <v>1</v>
      </c>
      <c r="T25" s="1752">
        <f t="shared" si="3"/>
        <v>0</v>
      </c>
      <c r="U25" s="1753" t="b">
        <f t="shared" si="4"/>
        <v>1</v>
      </c>
      <c r="V25" s="1753" t="b">
        <f t="shared" si="5"/>
        <v>1</v>
      </c>
      <c r="W25" s="1753" t="b">
        <f t="shared" si="6"/>
        <v>1</v>
      </c>
      <c r="X25" s="1753" t="b">
        <f t="shared" si="7"/>
        <v>1</v>
      </c>
      <c r="Y25" s="1754" t="b">
        <f t="shared" si="8"/>
        <v>1</v>
      </c>
      <c r="Z25" s="1739" t="b">
        <f t="shared" si="1"/>
        <v>1</v>
      </c>
    </row>
    <row r="26" spans="1:26" s="1739" customFormat="1" ht="15" customHeight="1" x14ac:dyDescent="0.2">
      <c r="A26" s="1862"/>
      <c r="C26" s="1859"/>
      <c r="E26" s="1861"/>
      <c r="G26" s="1859"/>
      <c r="H26" s="1750"/>
      <c r="I26" s="1751"/>
      <c r="K26" s="1749"/>
      <c r="L26" s="1854"/>
      <c r="M26" s="1996"/>
      <c r="N26" s="1995"/>
      <c r="O26" s="1996"/>
      <c r="P26" s="1995"/>
      <c r="Q26" s="1996"/>
      <c r="R26" s="552" t="str">
        <f t="shared" si="0"/>
        <v/>
      </c>
      <c r="S26" s="1752" t="b">
        <f t="shared" si="2"/>
        <v>1</v>
      </c>
      <c r="T26" s="1752">
        <f t="shared" si="3"/>
        <v>0</v>
      </c>
      <c r="U26" s="1753" t="b">
        <f t="shared" si="4"/>
        <v>1</v>
      </c>
      <c r="V26" s="1753" t="b">
        <f t="shared" si="5"/>
        <v>1</v>
      </c>
      <c r="W26" s="1753" t="b">
        <f t="shared" si="6"/>
        <v>1</v>
      </c>
      <c r="X26" s="1753" t="b">
        <f t="shared" si="7"/>
        <v>1</v>
      </c>
      <c r="Y26" s="1754" t="b">
        <f t="shared" si="8"/>
        <v>1</v>
      </c>
      <c r="Z26" s="1739" t="b">
        <f t="shared" si="1"/>
        <v>1</v>
      </c>
    </row>
    <row r="27" spans="1:26" s="1739" customFormat="1" ht="15" customHeight="1" x14ac:dyDescent="0.2">
      <c r="A27" s="1862"/>
      <c r="C27" s="1859"/>
      <c r="E27" s="1861"/>
      <c r="G27" s="1859"/>
      <c r="H27" s="1750"/>
      <c r="I27" s="1751"/>
      <c r="K27" s="1749"/>
      <c r="L27" s="1854"/>
      <c r="M27" s="1996"/>
      <c r="N27" s="1995"/>
      <c r="O27" s="1996"/>
      <c r="P27" s="1995"/>
      <c r="Q27" s="1996"/>
      <c r="R27" s="552" t="str">
        <f t="shared" si="0"/>
        <v/>
      </c>
      <c r="S27" s="1752" t="b">
        <f t="shared" si="2"/>
        <v>1</v>
      </c>
      <c r="T27" s="1752">
        <f t="shared" si="3"/>
        <v>0</v>
      </c>
      <c r="U27" s="1753" t="b">
        <f t="shared" si="4"/>
        <v>1</v>
      </c>
      <c r="V27" s="1753" t="b">
        <f t="shared" si="5"/>
        <v>1</v>
      </c>
      <c r="W27" s="1753" t="b">
        <f t="shared" si="6"/>
        <v>1</v>
      </c>
      <c r="X27" s="1753" t="b">
        <f t="shared" si="7"/>
        <v>1</v>
      </c>
      <c r="Y27" s="1754" t="b">
        <f t="shared" si="8"/>
        <v>1</v>
      </c>
      <c r="Z27" s="1739" t="b">
        <f t="shared" si="1"/>
        <v>1</v>
      </c>
    </row>
    <row r="28" spans="1:26" s="1739" customFormat="1" ht="15" customHeight="1" x14ac:dyDescent="0.2">
      <c r="A28" s="1862"/>
      <c r="C28" s="1859"/>
      <c r="E28" s="1861"/>
      <c r="G28" s="1859"/>
      <c r="H28" s="1750"/>
      <c r="I28" s="1751"/>
      <c r="K28" s="1749"/>
      <c r="L28" s="1854"/>
      <c r="M28" s="1996"/>
      <c r="N28" s="1995"/>
      <c r="O28" s="1996"/>
      <c r="P28" s="1995"/>
      <c r="Q28" s="1996"/>
      <c r="R28" s="552" t="str">
        <f t="shared" si="0"/>
        <v/>
      </c>
      <c r="S28" s="1752" t="b">
        <f t="shared" si="2"/>
        <v>1</v>
      </c>
      <c r="T28" s="1752">
        <f t="shared" si="3"/>
        <v>0</v>
      </c>
      <c r="U28" s="1753" t="b">
        <f t="shared" si="4"/>
        <v>1</v>
      </c>
      <c r="V28" s="1753" t="b">
        <f t="shared" si="5"/>
        <v>1</v>
      </c>
      <c r="W28" s="1753" t="b">
        <f t="shared" si="6"/>
        <v>1</v>
      </c>
      <c r="X28" s="1753" t="b">
        <f t="shared" si="7"/>
        <v>1</v>
      </c>
      <c r="Y28" s="1754" t="b">
        <f t="shared" si="8"/>
        <v>1</v>
      </c>
      <c r="Z28" s="1739" t="b">
        <f t="shared" si="1"/>
        <v>1</v>
      </c>
    </row>
    <row r="29" spans="1:26" s="1739" customFormat="1" ht="15" customHeight="1" x14ac:dyDescent="0.2">
      <c r="A29" s="1862"/>
      <c r="C29" s="1859"/>
      <c r="E29" s="1861"/>
      <c r="G29" s="1859"/>
      <c r="H29" s="1750"/>
      <c r="I29" s="1751"/>
      <c r="K29" s="1749"/>
      <c r="L29" s="1854"/>
      <c r="M29" s="1996"/>
      <c r="N29" s="1995"/>
      <c r="O29" s="1996"/>
      <c r="P29" s="1995"/>
      <c r="Q29" s="1996"/>
      <c r="R29" s="552" t="str">
        <f t="shared" si="0"/>
        <v/>
      </c>
      <c r="S29" s="1752" t="b">
        <f t="shared" si="2"/>
        <v>1</v>
      </c>
      <c r="T29" s="1752">
        <f t="shared" si="3"/>
        <v>0</v>
      </c>
      <c r="U29" s="1753" t="b">
        <f t="shared" si="4"/>
        <v>1</v>
      </c>
      <c r="V29" s="1753" t="b">
        <f t="shared" si="5"/>
        <v>1</v>
      </c>
      <c r="W29" s="1753" t="b">
        <f t="shared" si="6"/>
        <v>1</v>
      </c>
      <c r="X29" s="1753" t="b">
        <f t="shared" si="7"/>
        <v>1</v>
      </c>
      <c r="Y29" s="1754" t="b">
        <f t="shared" si="8"/>
        <v>1</v>
      </c>
      <c r="Z29" s="1739" t="b">
        <f t="shared" si="1"/>
        <v>1</v>
      </c>
    </row>
    <row r="30" spans="1:26" s="1739" customFormat="1" ht="15" customHeight="1" x14ac:dyDescent="0.2">
      <c r="A30" s="1862"/>
      <c r="C30" s="1859"/>
      <c r="E30" s="1861"/>
      <c r="G30" s="1859"/>
      <c r="H30" s="1750"/>
      <c r="I30" s="1751"/>
      <c r="K30" s="1749"/>
      <c r="L30" s="1854"/>
      <c r="M30" s="1996"/>
      <c r="N30" s="1995"/>
      <c r="O30" s="1996"/>
      <c r="P30" s="1995"/>
      <c r="Q30" s="1996"/>
      <c r="R30" s="552" t="str">
        <f t="shared" si="0"/>
        <v/>
      </c>
      <c r="S30" s="1752" t="b">
        <f t="shared" si="2"/>
        <v>1</v>
      </c>
      <c r="T30" s="1752">
        <f t="shared" si="3"/>
        <v>0</v>
      </c>
      <c r="U30" s="1753" t="b">
        <f t="shared" si="4"/>
        <v>1</v>
      </c>
      <c r="V30" s="1753" t="b">
        <f t="shared" si="5"/>
        <v>1</v>
      </c>
      <c r="W30" s="1753" t="b">
        <f t="shared" si="6"/>
        <v>1</v>
      </c>
      <c r="X30" s="1753" t="b">
        <f t="shared" si="7"/>
        <v>1</v>
      </c>
      <c r="Y30" s="1754" t="b">
        <f t="shared" si="8"/>
        <v>1</v>
      </c>
      <c r="Z30" s="1739" t="b">
        <f t="shared" si="1"/>
        <v>1</v>
      </c>
    </row>
    <row r="31" spans="1:26" s="1739" customFormat="1" ht="15" customHeight="1" x14ac:dyDescent="0.2">
      <c r="A31" s="1862"/>
      <c r="C31" s="1859"/>
      <c r="E31" s="1861"/>
      <c r="G31" s="1859"/>
      <c r="H31" s="1750"/>
      <c r="I31" s="1751"/>
      <c r="K31" s="1749"/>
      <c r="L31" s="1854"/>
      <c r="M31" s="1996"/>
      <c r="N31" s="1995"/>
      <c r="O31" s="1996"/>
      <c r="P31" s="1995"/>
      <c r="Q31" s="1996"/>
      <c r="R31" s="552" t="str">
        <f t="shared" si="0"/>
        <v/>
      </c>
      <c r="S31" s="1752" t="b">
        <f t="shared" si="2"/>
        <v>1</v>
      </c>
      <c r="T31" s="1752">
        <f t="shared" si="3"/>
        <v>0</v>
      </c>
      <c r="U31" s="1753" t="b">
        <f t="shared" si="4"/>
        <v>1</v>
      </c>
      <c r="V31" s="1753" t="b">
        <f t="shared" si="5"/>
        <v>1</v>
      </c>
      <c r="W31" s="1753" t="b">
        <f t="shared" si="6"/>
        <v>1</v>
      </c>
      <c r="X31" s="1753" t="b">
        <f t="shared" si="7"/>
        <v>1</v>
      </c>
      <c r="Y31" s="1754" t="b">
        <f t="shared" si="8"/>
        <v>1</v>
      </c>
      <c r="Z31" s="1739" t="b">
        <f t="shared" si="1"/>
        <v>1</v>
      </c>
    </row>
    <row r="32" spans="1:26" s="1739" customFormat="1" ht="15" customHeight="1" x14ac:dyDescent="0.2">
      <c r="A32" s="1862"/>
      <c r="C32" s="1859"/>
      <c r="E32" s="1861"/>
      <c r="G32" s="1859"/>
      <c r="H32" s="1750"/>
      <c r="I32" s="1751"/>
      <c r="K32" s="1749"/>
      <c r="L32" s="1854"/>
      <c r="M32" s="1996"/>
      <c r="N32" s="1995"/>
      <c r="O32" s="1996"/>
      <c r="P32" s="1995"/>
      <c r="Q32" s="1996"/>
      <c r="R32" s="552" t="str">
        <f t="shared" si="0"/>
        <v/>
      </c>
      <c r="S32" s="1752" t="b">
        <f t="shared" si="2"/>
        <v>1</v>
      </c>
      <c r="T32" s="1752">
        <f t="shared" si="3"/>
        <v>0</v>
      </c>
      <c r="U32" s="1753" t="b">
        <f t="shared" si="4"/>
        <v>1</v>
      </c>
      <c r="V32" s="1753" t="b">
        <f t="shared" si="5"/>
        <v>1</v>
      </c>
      <c r="W32" s="1753" t="b">
        <f t="shared" si="6"/>
        <v>1</v>
      </c>
      <c r="X32" s="1753" t="b">
        <f t="shared" si="7"/>
        <v>1</v>
      </c>
      <c r="Y32" s="1754" t="b">
        <f t="shared" si="8"/>
        <v>1</v>
      </c>
      <c r="Z32" s="1739" t="b">
        <f t="shared" si="1"/>
        <v>1</v>
      </c>
    </row>
    <row r="33" spans="1:26" s="1739" customFormat="1" ht="15" customHeight="1" x14ac:dyDescent="0.2">
      <c r="A33" s="1862"/>
      <c r="C33" s="1859"/>
      <c r="E33" s="1861"/>
      <c r="G33" s="1859"/>
      <c r="H33" s="1750"/>
      <c r="I33" s="1751"/>
      <c r="K33" s="1749"/>
      <c r="L33" s="1854"/>
      <c r="M33" s="1996"/>
      <c r="N33" s="1995"/>
      <c r="O33" s="1996"/>
      <c r="P33" s="1995"/>
      <c r="Q33" s="1996"/>
      <c r="R33" s="552" t="str">
        <f t="shared" si="0"/>
        <v/>
      </c>
      <c r="S33" s="1752" t="b">
        <f t="shared" si="2"/>
        <v>1</v>
      </c>
      <c r="T33" s="1752">
        <f t="shared" si="3"/>
        <v>0</v>
      </c>
      <c r="U33" s="1753" t="b">
        <f t="shared" si="4"/>
        <v>1</v>
      </c>
      <c r="V33" s="1753" t="b">
        <f t="shared" si="5"/>
        <v>1</v>
      </c>
      <c r="W33" s="1753" t="b">
        <f t="shared" si="6"/>
        <v>1</v>
      </c>
      <c r="X33" s="1753" t="b">
        <f t="shared" si="7"/>
        <v>1</v>
      </c>
      <c r="Y33" s="1754" t="b">
        <f t="shared" si="8"/>
        <v>1</v>
      </c>
      <c r="Z33" s="1739" t="b">
        <f t="shared" si="1"/>
        <v>1</v>
      </c>
    </row>
    <row r="34" spans="1:26" ht="20.100000000000001" customHeight="1" thickBot="1" x14ac:dyDescent="0.3">
      <c r="A34" s="1980"/>
      <c r="B34" s="1981"/>
      <c r="C34" s="1982"/>
      <c r="D34" s="1756"/>
      <c r="E34" s="1983"/>
      <c r="F34" s="1984"/>
      <c r="G34" s="1982"/>
      <c r="H34" s="1757"/>
      <c r="I34" s="1756"/>
      <c r="J34" s="1756"/>
      <c r="K34" s="1756"/>
      <c r="L34" s="1756"/>
      <c r="M34" s="1756"/>
      <c r="N34" s="1756"/>
      <c r="O34" s="1756"/>
      <c r="P34" s="1756"/>
      <c r="Q34" s="1756"/>
      <c r="R34" s="1758"/>
      <c r="S34" s="1752">
        <f>COUNTIF(S19:S33,FALSE)</f>
        <v>0</v>
      </c>
      <c r="T34" s="1758"/>
      <c r="U34" s="1758"/>
      <c r="V34" s="1758"/>
      <c r="W34" s="1758"/>
      <c r="X34" s="1758"/>
      <c r="Y34" s="1759">
        <f>COUNTIF(Y19:Y33,FALSE)</f>
        <v>0</v>
      </c>
    </row>
    <row r="35" spans="1:26" ht="6" customHeight="1" x14ac:dyDescent="0.25">
      <c r="C35" s="1756"/>
      <c r="D35" s="1756"/>
      <c r="E35" s="1756"/>
      <c r="F35" s="1756"/>
      <c r="G35" s="1756"/>
      <c r="H35" s="1757"/>
      <c r="I35" s="1756"/>
      <c r="J35" s="1756"/>
      <c r="K35" s="1756"/>
      <c r="L35" s="1756"/>
      <c r="M35" s="1756"/>
      <c r="N35" s="1756"/>
      <c r="O35" s="1756"/>
      <c r="P35" s="1756"/>
      <c r="Q35" s="1756"/>
      <c r="R35" s="1758"/>
      <c r="S35" s="1752"/>
      <c r="T35" s="1758"/>
      <c r="U35" s="1758"/>
      <c r="V35" s="1758"/>
      <c r="W35" s="1758"/>
      <c r="X35" s="1758"/>
      <c r="Y35" s="1759"/>
    </row>
    <row r="36" spans="1:26" s="1760" customFormat="1" ht="11.25" customHeight="1" x14ac:dyDescent="0.2">
      <c r="A36" s="1783" t="s">
        <v>4784</v>
      </c>
    </row>
    <row r="37" spans="1:26" s="1763" customFormat="1" ht="14.25" customHeight="1" x14ac:dyDescent="0.2">
      <c r="A37" s="1761"/>
      <c r="B37" s="1762"/>
      <c r="C37" s="1762"/>
      <c r="D37" s="1761"/>
      <c r="E37" s="1761"/>
      <c r="F37" s="1761"/>
      <c r="G37" s="1761"/>
      <c r="H37" s="1761"/>
      <c r="I37" s="1761"/>
      <c r="J37" s="1761"/>
      <c r="K37" s="1761"/>
      <c r="L37" s="1761"/>
      <c r="M37" s="1761"/>
      <c r="N37" s="1761"/>
      <c r="O37" s="1761"/>
      <c r="P37" s="1761"/>
      <c r="Q37" s="1761"/>
    </row>
    <row r="38" spans="1:26" s="1763" customFormat="1" ht="15" customHeight="1" x14ac:dyDescent="0.2">
      <c r="A38" s="1761"/>
      <c r="B38" s="1764"/>
      <c r="C38" s="1764"/>
      <c r="D38" s="1761"/>
      <c r="E38" s="1761"/>
      <c r="F38" s="1761"/>
      <c r="G38" s="1761"/>
      <c r="H38" s="1761"/>
      <c r="I38" s="1761"/>
      <c r="J38" s="1761"/>
      <c r="K38" s="1765"/>
      <c r="L38" s="1765"/>
      <c r="M38" s="1765"/>
      <c r="N38" s="1765"/>
      <c r="O38" s="1765"/>
      <c r="P38" s="1765"/>
      <c r="Q38" s="1765"/>
    </row>
    <row r="39" spans="1:26" s="1763" customFormat="1" ht="15" customHeight="1" x14ac:dyDescent="0.2">
      <c r="A39" s="1765"/>
      <c r="B39" s="1762"/>
      <c r="C39" s="1762"/>
      <c r="D39" s="1765"/>
      <c r="E39" s="1765"/>
      <c r="F39" s="1765"/>
      <c r="G39" s="1765"/>
      <c r="H39" s="1765"/>
      <c r="I39" s="1765"/>
      <c r="J39" s="1765"/>
      <c r="K39" s="1765"/>
      <c r="L39" s="1765"/>
      <c r="M39" s="1765"/>
      <c r="N39" s="1765"/>
      <c r="O39" s="1765"/>
      <c r="P39" s="1765"/>
      <c r="Q39" s="1765"/>
    </row>
    <row r="40" spans="1:26" ht="26.1" customHeight="1" x14ac:dyDescent="0.25">
      <c r="F40" s="1756"/>
    </row>
    <row r="41" spans="1:26" ht="20.85" customHeight="1" x14ac:dyDescent="0.25">
      <c r="A41" s="1161" t="s">
        <v>4458</v>
      </c>
      <c r="F41" s="1756"/>
    </row>
    <row r="42" spans="1:26" ht="20.85" customHeight="1" x14ac:dyDescent="0.25">
      <c r="B42" s="794"/>
      <c r="C42" s="794"/>
      <c r="F42" s="1756"/>
    </row>
    <row r="43" spans="1:26" ht="20.85" customHeight="1" x14ac:dyDescent="0.25">
      <c r="F43" s="1756"/>
      <c r="G43" s="1755" t="s">
        <v>973</v>
      </c>
    </row>
    <row r="44" spans="1:26" ht="20.85" customHeight="1" x14ac:dyDescent="0.25">
      <c r="F44" s="1756"/>
    </row>
    <row r="45" spans="1:26" ht="20.85" customHeight="1" x14ac:dyDescent="0.25">
      <c r="F45" s="1756"/>
    </row>
    <row r="46" spans="1:26" ht="20.85" customHeight="1" x14ac:dyDescent="0.25">
      <c r="F46" s="1756"/>
      <c r="G46" s="1766" t="s">
        <v>973</v>
      </c>
      <c r="H46" s="1766"/>
      <c r="R46" s="1766" t="s">
        <v>973</v>
      </c>
      <c r="S46" s="1766"/>
      <c r="T46" s="1766"/>
      <c r="U46" s="1766"/>
      <c r="V46" s="1766"/>
      <c r="W46" s="1766"/>
      <c r="X46" s="1766"/>
    </row>
    <row r="47" spans="1:26" x14ac:dyDescent="0.25">
      <c r="F47" s="1756"/>
    </row>
    <row r="48" spans="1:26" x14ac:dyDescent="0.25">
      <c r="F48" s="1756"/>
    </row>
    <row r="49" spans="6:6" x14ac:dyDescent="0.25">
      <c r="F49" s="1756"/>
    </row>
    <row r="50" spans="6:6" x14ac:dyDescent="0.25">
      <c r="F50" s="1756"/>
    </row>
    <row r="51" spans="6:6" x14ac:dyDescent="0.25">
      <c r="F51" s="1756"/>
    </row>
    <row r="52" spans="6:6" x14ac:dyDescent="0.25">
      <c r="F52" s="1756"/>
    </row>
    <row r="53" spans="6:6" x14ac:dyDescent="0.25">
      <c r="F53" s="1756"/>
    </row>
    <row r="54" spans="6:6" x14ac:dyDescent="0.25">
      <c r="F54" s="1756"/>
    </row>
    <row r="55" spans="6:6" x14ac:dyDescent="0.25">
      <c r="F55" s="1756"/>
    </row>
    <row r="56" spans="6:6" x14ac:dyDescent="0.25">
      <c r="F56" s="1756"/>
    </row>
    <row r="57" spans="6:6" x14ac:dyDescent="0.25">
      <c r="F57" s="1756"/>
    </row>
    <row r="58" spans="6:6" x14ac:dyDescent="0.25">
      <c r="F58" s="1756"/>
    </row>
    <row r="59" spans="6:6" x14ac:dyDescent="0.25">
      <c r="F59" s="1756"/>
    </row>
    <row r="60" spans="6:6" x14ac:dyDescent="0.25">
      <c r="F60" s="1756"/>
    </row>
    <row r="61" spans="6:6" x14ac:dyDescent="0.25">
      <c r="F61" s="1756"/>
    </row>
    <row r="62" spans="6:6" x14ac:dyDescent="0.25">
      <c r="F62" s="1756"/>
    </row>
    <row r="63" spans="6:6" x14ac:dyDescent="0.25">
      <c r="F63" s="1756"/>
    </row>
    <row r="64" spans="6:6" x14ac:dyDescent="0.25">
      <c r="F64" s="1756"/>
    </row>
    <row r="65" spans="6:6" x14ac:dyDescent="0.25">
      <c r="F65" s="1756"/>
    </row>
    <row r="66" spans="6:6" x14ac:dyDescent="0.25">
      <c r="F66" s="1756"/>
    </row>
    <row r="67" spans="6:6" x14ac:dyDescent="0.25">
      <c r="F67" s="1756"/>
    </row>
    <row r="68" spans="6:6" x14ac:dyDescent="0.25">
      <c r="F68" s="1756"/>
    </row>
    <row r="69" spans="6:6" x14ac:dyDescent="0.25">
      <c r="F69" s="1756"/>
    </row>
    <row r="70" spans="6:6" x14ac:dyDescent="0.25">
      <c r="F70" s="1756"/>
    </row>
    <row r="71" spans="6:6" x14ac:dyDescent="0.25">
      <c r="F71" s="1756"/>
    </row>
    <row r="72" spans="6:6" x14ac:dyDescent="0.25">
      <c r="F72" s="1756"/>
    </row>
    <row r="73" spans="6:6" x14ac:dyDescent="0.25">
      <c r="F73" s="1756"/>
    </row>
    <row r="74" spans="6:6" x14ac:dyDescent="0.25">
      <c r="F74" s="1756"/>
    </row>
    <row r="75" spans="6:6" x14ac:dyDescent="0.25">
      <c r="F75" s="1756"/>
    </row>
    <row r="76" spans="6:6" x14ac:dyDescent="0.25">
      <c r="F76" s="1756"/>
    </row>
    <row r="77" spans="6:6" x14ac:dyDescent="0.25">
      <c r="F77" s="1756"/>
    </row>
    <row r="78" spans="6:6" x14ac:dyDescent="0.25">
      <c r="F78" s="1756"/>
    </row>
    <row r="79" spans="6:6" x14ac:dyDescent="0.25">
      <c r="F79" s="1756"/>
    </row>
    <row r="80" spans="6:6" x14ac:dyDescent="0.25">
      <c r="F80" s="1756"/>
    </row>
    <row r="81" spans="6:6" x14ac:dyDescent="0.25">
      <c r="F81" s="1756"/>
    </row>
    <row r="82" spans="6:6" x14ac:dyDescent="0.25">
      <c r="F82" s="1756"/>
    </row>
    <row r="83" spans="6:6" x14ac:dyDescent="0.25">
      <c r="F83" s="1756"/>
    </row>
    <row r="84" spans="6:6" x14ac:dyDescent="0.25">
      <c r="F84" s="1756"/>
    </row>
    <row r="85" spans="6:6" x14ac:dyDescent="0.25">
      <c r="F85" s="1756"/>
    </row>
    <row r="86" spans="6:6" x14ac:dyDescent="0.25">
      <c r="F86" s="1756"/>
    </row>
    <row r="87" spans="6:6" x14ac:dyDescent="0.25">
      <c r="F87" s="1756"/>
    </row>
    <row r="88" spans="6:6" x14ac:dyDescent="0.25">
      <c r="F88" s="1756"/>
    </row>
    <row r="89" spans="6:6" x14ac:dyDescent="0.25">
      <c r="F89" s="1756"/>
    </row>
    <row r="90" spans="6:6" x14ac:dyDescent="0.25">
      <c r="F90" s="1756"/>
    </row>
    <row r="91" spans="6:6" x14ac:dyDescent="0.25">
      <c r="F91" s="1756"/>
    </row>
    <row r="92" spans="6:6" x14ac:dyDescent="0.25">
      <c r="F92" s="1756"/>
    </row>
    <row r="93" spans="6:6" x14ac:dyDescent="0.25">
      <c r="F93" s="1756"/>
    </row>
    <row r="94" spans="6:6" x14ac:dyDescent="0.25">
      <c r="F94" s="1756"/>
    </row>
    <row r="95" spans="6:6" x14ac:dyDescent="0.25">
      <c r="F95" s="1756"/>
    </row>
    <row r="96" spans="6:6" x14ac:dyDescent="0.25">
      <c r="F96" s="1756"/>
    </row>
    <row r="97" spans="6:6" x14ac:dyDescent="0.25">
      <c r="F97" s="1756"/>
    </row>
    <row r="98" spans="6:6" x14ac:dyDescent="0.25">
      <c r="F98" s="1756"/>
    </row>
    <row r="99" spans="6:6" x14ac:dyDescent="0.25">
      <c r="F99" s="1756"/>
    </row>
    <row r="100" spans="6:6" x14ac:dyDescent="0.25">
      <c r="F100" s="1756"/>
    </row>
    <row r="101" spans="6:6" x14ac:dyDescent="0.25">
      <c r="F101" s="1756"/>
    </row>
    <row r="102" spans="6:6" x14ac:dyDescent="0.25">
      <c r="F102" s="1756"/>
    </row>
    <row r="103" spans="6:6" x14ac:dyDescent="0.25">
      <c r="F103" s="1756"/>
    </row>
    <row r="104" spans="6:6" x14ac:dyDescent="0.25">
      <c r="F104" s="1756"/>
    </row>
    <row r="105" spans="6:6" x14ac:dyDescent="0.25">
      <c r="F105" s="1756"/>
    </row>
    <row r="106" spans="6:6" x14ac:dyDescent="0.25">
      <c r="F106" s="1756"/>
    </row>
    <row r="107" spans="6:6" x14ac:dyDescent="0.25">
      <c r="F107" s="1756"/>
    </row>
    <row r="108" spans="6:6" x14ac:dyDescent="0.25">
      <c r="F108" s="1756"/>
    </row>
    <row r="109" spans="6:6" x14ac:dyDescent="0.25">
      <c r="F109" s="1756"/>
    </row>
    <row r="110" spans="6:6" x14ac:dyDescent="0.25">
      <c r="F110" s="1756"/>
    </row>
    <row r="111" spans="6:6" x14ac:dyDescent="0.25">
      <c r="F111" s="1756"/>
    </row>
    <row r="112" spans="6:6" x14ac:dyDescent="0.25">
      <c r="F112" s="1756"/>
    </row>
    <row r="113" spans="6:6" x14ac:dyDescent="0.25">
      <c r="F113" s="1756"/>
    </row>
    <row r="114" spans="6:6" x14ac:dyDescent="0.25">
      <c r="F114" s="1756"/>
    </row>
    <row r="115" spans="6:6" x14ac:dyDescent="0.25">
      <c r="F115" s="1756"/>
    </row>
    <row r="116" spans="6:6" x14ac:dyDescent="0.25">
      <c r="F116" s="1756"/>
    </row>
    <row r="117" spans="6:6" x14ac:dyDescent="0.25">
      <c r="F117" s="1756"/>
    </row>
    <row r="118" spans="6:6" x14ac:dyDescent="0.25">
      <c r="F118" s="1756"/>
    </row>
    <row r="119" spans="6:6" x14ac:dyDescent="0.25">
      <c r="F119" s="1756"/>
    </row>
    <row r="120" spans="6:6" x14ac:dyDescent="0.25">
      <c r="F120" s="1756"/>
    </row>
    <row r="121" spans="6:6" x14ac:dyDescent="0.25">
      <c r="F121" s="1756"/>
    </row>
    <row r="122" spans="6:6" x14ac:dyDescent="0.25">
      <c r="F122" s="1756"/>
    </row>
    <row r="123" spans="6:6" x14ac:dyDescent="0.25">
      <c r="F123" s="1756"/>
    </row>
    <row r="124" spans="6:6" x14ac:dyDescent="0.25">
      <c r="F124" s="1756"/>
    </row>
    <row r="125" spans="6:6" x14ac:dyDescent="0.25">
      <c r="F125" s="1756"/>
    </row>
    <row r="126" spans="6:6" x14ac:dyDescent="0.25">
      <c r="F126" s="1756"/>
    </row>
    <row r="127" spans="6:6" x14ac:dyDescent="0.25">
      <c r="F127" s="1756"/>
    </row>
    <row r="128" spans="6:6" x14ac:dyDescent="0.25">
      <c r="F128" s="1756"/>
    </row>
    <row r="129" spans="6:6" x14ac:dyDescent="0.25">
      <c r="F129" s="1756"/>
    </row>
    <row r="130" spans="6:6" x14ac:dyDescent="0.25">
      <c r="F130" s="1756"/>
    </row>
    <row r="131" spans="6:6" x14ac:dyDescent="0.25">
      <c r="F131" s="1756"/>
    </row>
    <row r="132" spans="6:6" x14ac:dyDescent="0.25">
      <c r="F132" s="1756"/>
    </row>
    <row r="133" spans="6:6" x14ac:dyDescent="0.25">
      <c r="F133" s="1756"/>
    </row>
    <row r="134" spans="6:6" x14ac:dyDescent="0.25">
      <c r="F134" s="1756"/>
    </row>
    <row r="135" spans="6:6" x14ac:dyDescent="0.25">
      <c r="F135" s="1756"/>
    </row>
    <row r="136" spans="6:6" x14ac:dyDescent="0.25">
      <c r="F136" s="1756"/>
    </row>
    <row r="137" spans="6:6" x14ac:dyDescent="0.25">
      <c r="F137" s="1756"/>
    </row>
    <row r="138" spans="6:6" x14ac:dyDescent="0.25">
      <c r="F138" s="1756"/>
    </row>
    <row r="139" spans="6:6" x14ac:dyDescent="0.25">
      <c r="F139" s="1756"/>
    </row>
    <row r="140" spans="6:6" x14ac:dyDescent="0.25">
      <c r="F140" s="1756"/>
    </row>
    <row r="141" spans="6:6" x14ac:dyDescent="0.25">
      <c r="F141" s="1756"/>
    </row>
    <row r="142" spans="6:6" x14ac:dyDescent="0.25">
      <c r="F142" s="1756"/>
    </row>
    <row r="143" spans="6:6" x14ac:dyDescent="0.25">
      <c r="F143" s="1756"/>
    </row>
    <row r="144" spans="6:6" x14ac:dyDescent="0.25">
      <c r="F144" s="1756"/>
    </row>
    <row r="145" spans="6:6" x14ac:dyDescent="0.25">
      <c r="F145" s="1756"/>
    </row>
    <row r="146" spans="6:6" x14ac:dyDescent="0.25">
      <c r="F146" s="1756"/>
    </row>
    <row r="147" spans="6:6" x14ac:dyDescent="0.25">
      <c r="F147" s="1756"/>
    </row>
    <row r="148" spans="6:6" x14ac:dyDescent="0.25">
      <c r="F148" s="1756"/>
    </row>
    <row r="149" spans="6:6" x14ac:dyDescent="0.25">
      <c r="F149" s="1756"/>
    </row>
    <row r="150" spans="6:6" x14ac:dyDescent="0.25">
      <c r="F150" s="1756"/>
    </row>
    <row r="151" spans="6:6" x14ac:dyDescent="0.25">
      <c r="F151" s="1756"/>
    </row>
    <row r="152" spans="6:6" x14ac:dyDescent="0.25">
      <c r="F152" s="1756"/>
    </row>
    <row r="153" spans="6:6" x14ac:dyDescent="0.25">
      <c r="F153" s="1756"/>
    </row>
    <row r="154" spans="6:6" x14ac:dyDescent="0.25">
      <c r="F154" s="1756"/>
    </row>
    <row r="155" spans="6:6" x14ac:dyDescent="0.25">
      <c r="F155" s="1756"/>
    </row>
    <row r="156" spans="6:6" x14ac:dyDescent="0.25">
      <c r="F156" s="1756"/>
    </row>
    <row r="157" spans="6:6" x14ac:dyDescent="0.25">
      <c r="F157" s="1756"/>
    </row>
    <row r="158" spans="6:6" x14ac:dyDescent="0.25">
      <c r="F158" s="1756"/>
    </row>
    <row r="159" spans="6:6" x14ac:dyDescent="0.25">
      <c r="F159" s="1756"/>
    </row>
    <row r="160" spans="6:6" x14ac:dyDescent="0.25">
      <c r="F160" s="1756"/>
    </row>
    <row r="161" spans="6:6" x14ac:dyDescent="0.25">
      <c r="F161" s="1756"/>
    </row>
    <row r="162" spans="6:6" x14ac:dyDescent="0.25">
      <c r="F162" s="1756"/>
    </row>
    <row r="163" spans="6:6" x14ac:dyDescent="0.25">
      <c r="F163" s="1756"/>
    </row>
    <row r="164" spans="6:6" x14ac:dyDescent="0.25">
      <c r="F164" s="1756"/>
    </row>
    <row r="165" spans="6:6" x14ac:dyDescent="0.25">
      <c r="F165" s="1756"/>
    </row>
    <row r="166" spans="6:6" x14ac:dyDescent="0.25">
      <c r="F166" s="1756"/>
    </row>
    <row r="167" spans="6:6" x14ac:dyDescent="0.25">
      <c r="F167" s="1756"/>
    </row>
    <row r="168" spans="6:6" x14ac:dyDescent="0.25">
      <c r="F168" s="1756"/>
    </row>
    <row r="169" spans="6:6" x14ac:dyDescent="0.25">
      <c r="F169" s="1756"/>
    </row>
    <row r="170" spans="6:6" x14ac:dyDescent="0.25">
      <c r="F170" s="1756"/>
    </row>
    <row r="171" spans="6:6" x14ac:dyDescent="0.25">
      <c r="F171" s="1756"/>
    </row>
  </sheetData>
  <sheetProtection algorithmName="SHA-512" hashValue="FUa1GKvDK5SCOMpjWvtN3yfv812W2d6HzhJpy/8IqCNpYFe/7V8GS1t4X3OJQ5Aryos4DIjTPfJwZzZ/aVo9iw==" saltValue="KOUUeXZFp/eWlrM+NYuV0w==" spinCount="100000" sheet="1" objects="1" scenarios="1" autoFilter="0"/>
  <dataConsolidate link="1"/>
  <mergeCells count="11">
    <mergeCell ref="A10:C10"/>
    <mergeCell ref="E10:G10"/>
    <mergeCell ref="C7:E7"/>
    <mergeCell ref="C8:E8"/>
    <mergeCell ref="M7:Q7"/>
    <mergeCell ref="R1:R3"/>
    <mergeCell ref="A2:Q2"/>
    <mergeCell ref="A3:Q3"/>
    <mergeCell ref="A4:Q4"/>
    <mergeCell ref="M6:Q6"/>
    <mergeCell ref="A1:Q1"/>
  </mergeCells>
  <conditionalFormatting sqref="S1:X3">
    <cfRule type="cellIs" dxfId="57" priority="2" stopIfTrue="1" operator="equal">
      <formula>"na"</formula>
    </cfRule>
  </conditionalFormatting>
  <conditionalFormatting sqref="R1:R3">
    <cfRule type="cellIs" dxfId="56" priority="1" stopIfTrue="1" operator="equal">
      <formula>"na"</formula>
    </cfRule>
  </conditionalFormatting>
  <dataValidations xWindow="160" yWindow="702" count="4">
    <dataValidation type="textLength" operator="equal" allowBlank="1" showInputMessage="1" showErrorMessage="1" errorTitle="Invalid data!" error="GASB number must be 4 digits." sqref="WVU983048:WVV983062 JF8:JG8 TB8:TC8 ACX8:ACY8 AMT8:AMU8 AWP8:AWQ8 BGL8:BGM8 BQH8:BQI8 CAD8:CAE8 CJZ8:CKA8 CTV8:CTW8 DDR8:DDS8 DNN8:DNO8 DXJ8:DXK8 EHF8:EHG8 ERB8:ERC8 FAX8:FAY8 FKT8:FKU8 FUP8:FUQ8 GEL8:GEM8 GOH8:GOI8 GYD8:GYE8 HHZ8:HIA8 HRV8:HRW8 IBR8:IBS8 ILN8:ILO8 IVJ8:IVK8 JFF8:JFG8 JPB8:JPC8 JYX8:JYY8 KIT8:KIU8 KSP8:KSQ8 LCL8:LCM8 LMH8:LMI8 LWD8:LWE8 MFZ8:MGA8 MPV8:MPW8 MZR8:MZS8 NJN8:NJO8 NTJ8:NTK8 ODF8:ODG8 ONB8:ONC8 OWX8:OWY8 PGT8:PGU8 PQP8:PQQ8 QAL8:QAM8 QKH8:QKI8 QUD8:QUE8 RDZ8:REA8 RNV8:RNW8 RXR8:RXS8 SHN8:SHO8 SRJ8:SRK8 TBF8:TBG8 TLB8:TLC8 TUX8:TUY8 UET8:UEU8 UOP8:UOQ8 UYL8:UYM8 VIH8:VII8 VSD8:VSE8 WBZ8:WCA8 WLV8:WLW8 WVR8:WVS8 D65538:E65538 JF65538:JG65538 TB65538:TC65538 ACX65538:ACY65538 AMT65538:AMU65538 AWP65538:AWQ65538 BGL65538:BGM65538 BQH65538:BQI65538 CAD65538:CAE65538 CJZ65538:CKA65538 CTV65538:CTW65538 DDR65538:DDS65538 DNN65538:DNO65538 DXJ65538:DXK65538 EHF65538:EHG65538 ERB65538:ERC65538 FAX65538:FAY65538 FKT65538:FKU65538 FUP65538:FUQ65538 GEL65538:GEM65538 GOH65538:GOI65538 GYD65538:GYE65538 HHZ65538:HIA65538 HRV65538:HRW65538 IBR65538:IBS65538 ILN65538:ILO65538 IVJ65538:IVK65538 JFF65538:JFG65538 JPB65538:JPC65538 JYX65538:JYY65538 KIT65538:KIU65538 KSP65538:KSQ65538 LCL65538:LCM65538 LMH65538:LMI65538 LWD65538:LWE65538 MFZ65538:MGA65538 MPV65538:MPW65538 MZR65538:MZS65538 NJN65538:NJO65538 NTJ65538:NTK65538 ODF65538:ODG65538 ONB65538:ONC65538 OWX65538:OWY65538 PGT65538:PGU65538 PQP65538:PQQ65538 QAL65538:QAM65538 QKH65538:QKI65538 QUD65538:QUE65538 RDZ65538:REA65538 RNV65538:RNW65538 RXR65538:RXS65538 SHN65538:SHO65538 SRJ65538:SRK65538 TBF65538:TBG65538 TLB65538:TLC65538 TUX65538:TUY65538 UET65538:UEU65538 UOP65538:UOQ65538 UYL65538:UYM65538 VIH65538:VII65538 VSD65538:VSE65538 WBZ65538:WCA65538 WLV65538:WLW65538 WVR65538:WVS65538 D131074:E131074 JF131074:JG131074 TB131074:TC131074 ACX131074:ACY131074 AMT131074:AMU131074 AWP131074:AWQ131074 BGL131074:BGM131074 BQH131074:BQI131074 CAD131074:CAE131074 CJZ131074:CKA131074 CTV131074:CTW131074 DDR131074:DDS131074 DNN131074:DNO131074 DXJ131074:DXK131074 EHF131074:EHG131074 ERB131074:ERC131074 FAX131074:FAY131074 FKT131074:FKU131074 FUP131074:FUQ131074 GEL131074:GEM131074 GOH131074:GOI131074 GYD131074:GYE131074 HHZ131074:HIA131074 HRV131074:HRW131074 IBR131074:IBS131074 ILN131074:ILO131074 IVJ131074:IVK131074 JFF131074:JFG131074 JPB131074:JPC131074 JYX131074:JYY131074 KIT131074:KIU131074 KSP131074:KSQ131074 LCL131074:LCM131074 LMH131074:LMI131074 LWD131074:LWE131074 MFZ131074:MGA131074 MPV131074:MPW131074 MZR131074:MZS131074 NJN131074:NJO131074 NTJ131074:NTK131074 ODF131074:ODG131074 ONB131074:ONC131074 OWX131074:OWY131074 PGT131074:PGU131074 PQP131074:PQQ131074 QAL131074:QAM131074 QKH131074:QKI131074 QUD131074:QUE131074 RDZ131074:REA131074 RNV131074:RNW131074 RXR131074:RXS131074 SHN131074:SHO131074 SRJ131074:SRK131074 TBF131074:TBG131074 TLB131074:TLC131074 TUX131074:TUY131074 UET131074:UEU131074 UOP131074:UOQ131074 UYL131074:UYM131074 VIH131074:VII131074 VSD131074:VSE131074 WBZ131074:WCA131074 WLV131074:WLW131074 WVR131074:WVS131074 D196610:E196610 JF196610:JG196610 TB196610:TC196610 ACX196610:ACY196610 AMT196610:AMU196610 AWP196610:AWQ196610 BGL196610:BGM196610 BQH196610:BQI196610 CAD196610:CAE196610 CJZ196610:CKA196610 CTV196610:CTW196610 DDR196610:DDS196610 DNN196610:DNO196610 DXJ196610:DXK196610 EHF196610:EHG196610 ERB196610:ERC196610 FAX196610:FAY196610 FKT196610:FKU196610 FUP196610:FUQ196610 GEL196610:GEM196610 GOH196610:GOI196610 GYD196610:GYE196610 HHZ196610:HIA196610 HRV196610:HRW196610 IBR196610:IBS196610 ILN196610:ILO196610 IVJ196610:IVK196610 JFF196610:JFG196610 JPB196610:JPC196610 JYX196610:JYY196610 KIT196610:KIU196610 KSP196610:KSQ196610 LCL196610:LCM196610 LMH196610:LMI196610 LWD196610:LWE196610 MFZ196610:MGA196610 MPV196610:MPW196610 MZR196610:MZS196610 NJN196610:NJO196610 NTJ196610:NTK196610 ODF196610:ODG196610 ONB196610:ONC196610 OWX196610:OWY196610 PGT196610:PGU196610 PQP196610:PQQ196610 QAL196610:QAM196610 QKH196610:QKI196610 QUD196610:QUE196610 RDZ196610:REA196610 RNV196610:RNW196610 RXR196610:RXS196610 SHN196610:SHO196610 SRJ196610:SRK196610 TBF196610:TBG196610 TLB196610:TLC196610 TUX196610:TUY196610 UET196610:UEU196610 UOP196610:UOQ196610 UYL196610:UYM196610 VIH196610:VII196610 VSD196610:VSE196610 WBZ196610:WCA196610 WLV196610:WLW196610 WVR196610:WVS196610 D262146:E262146 JF262146:JG262146 TB262146:TC262146 ACX262146:ACY262146 AMT262146:AMU262146 AWP262146:AWQ262146 BGL262146:BGM262146 BQH262146:BQI262146 CAD262146:CAE262146 CJZ262146:CKA262146 CTV262146:CTW262146 DDR262146:DDS262146 DNN262146:DNO262146 DXJ262146:DXK262146 EHF262146:EHG262146 ERB262146:ERC262146 FAX262146:FAY262146 FKT262146:FKU262146 FUP262146:FUQ262146 GEL262146:GEM262146 GOH262146:GOI262146 GYD262146:GYE262146 HHZ262146:HIA262146 HRV262146:HRW262146 IBR262146:IBS262146 ILN262146:ILO262146 IVJ262146:IVK262146 JFF262146:JFG262146 JPB262146:JPC262146 JYX262146:JYY262146 KIT262146:KIU262146 KSP262146:KSQ262146 LCL262146:LCM262146 LMH262146:LMI262146 LWD262146:LWE262146 MFZ262146:MGA262146 MPV262146:MPW262146 MZR262146:MZS262146 NJN262146:NJO262146 NTJ262146:NTK262146 ODF262146:ODG262146 ONB262146:ONC262146 OWX262146:OWY262146 PGT262146:PGU262146 PQP262146:PQQ262146 QAL262146:QAM262146 QKH262146:QKI262146 QUD262146:QUE262146 RDZ262146:REA262146 RNV262146:RNW262146 RXR262146:RXS262146 SHN262146:SHO262146 SRJ262146:SRK262146 TBF262146:TBG262146 TLB262146:TLC262146 TUX262146:TUY262146 UET262146:UEU262146 UOP262146:UOQ262146 UYL262146:UYM262146 VIH262146:VII262146 VSD262146:VSE262146 WBZ262146:WCA262146 WLV262146:WLW262146 WVR262146:WVS262146 D327682:E327682 JF327682:JG327682 TB327682:TC327682 ACX327682:ACY327682 AMT327682:AMU327682 AWP327682:AWQ327682 BGL327682:BGM327682 BQH327682:BQI327682 CAD327682:CAE327682 CJZ327682:CKA327682 CTV327682:CTW327682 DDR327682:DDS327682 DNN327682:DNO327682 DXJ327682:DXK327682 EHF327682:EHG327682 ERB327682:ERC327682 FAX327682:FAY327682 FKT327682:FKU327682 FUP327682:FUQ327682 GEL327682:GEM327682 GOH327682:GOI327682 GYD327682:GYE327682 HHZ327682:HIA327682 HRV327682:HRW327682 IBR327682:IBS327682 ILN327682:ILO327682 IVJ327682:IVK327682 JFF327682:JFG327682 JPB327682:JPC327682 JYX327682:JYY327682 KIT327682:KIU327682 KSP327682:KSQ327682 LCL327682:LCM327682 LMH327682:LMI327682 LWD327682:LWE327682 MFZ327682:MGA327682 MPV327682:MPW327682 MZR327682:MZS327682 NJN327682:NJO327682 NTJ327682:NTK327682 ODF327682:ODG327682 ONB327682:ONC327682 OWX327682:OWY327682 PGT327682:PGU327682 PQP327682:PQQ327682 QAL327682:QAM327682 QKH327682:QKI327682 QUD327682:QUE327682 RDZ327682:REA327682 RNV327682:RNW327682 RXR327682:RXS327682 SHN327682:SHO327682 SRJ327682:SRK327682 TBF327682:TBG327682 TLB327682:TLC327682 TUX327682:TUY327682 UET327682:UEU327682 UOP327682:UOQ327682 UYL327682:UYM327682 VIH327682:VII327682 VSD327682:VSE327682 WBZ327682:WCA327682 WLV327682:WLW327682 WVR327682:WVS327682 D393218:E393218 JF393218:JG393218 TB393218:TC393218 ACX393218:ACY393218 AMT393218:AMU393218 AWP393218:AWQ393218 BGL393218:BGM393218 BQH393218:BQI393218 CAD393218:CAE393218 CJZ393218:CKA393218 CTV393218:CTW393218 DDR393218:DDS393218 DNN393218:DNO393218 DXJ393218:DXK393218 EHF393218:EHG393218 ERB393218:ERC393218 FAX393218:FAY393218 FKT393218:FKU393218 FUP393218:FUQ393218 GEL393218:GEM393218 GOH393218:GOI393218 GYD393218:GYE393218 HHZ393218:HIA393218 HRV393218:HRW393218 IBR393218:IBS393218 ILN393218:ILO393218 IVJ393218:IVK393218 JFF393218:JFG393218 JPB393218:JPC393218 JYX393218:JYY393218 KIT393218:KIU393218 KSP393218:KSQ393218 LCL393218:LCM393218 LMH393218:LMI393218 LWD393218:LWE393218 MFZ393218:MGA393218 MPV393218:MPW393218 MZR393218:MZS393218 NJN393218:NJO393218 NTJ393218:NTK393218 ODF393218:ODG393218 ONB393218:ONC393218 OWX393218:OWY393218 PGT393218:PGU393218 PQP393218:PQQ393218 QAL393218:QAM393218 QKH393218:QKI393218 QUD393218:QUE393218 RDZ393218:REA393218 RNV393218:RNW393218 RXR393218:RXS393218 SHN393218:SHO393218 SRJ393218:SRK393218 TBF393218:TBG393218 TLB393218:TLC393218 TUX393218:TUY393218 UET393218:UEU393218 UOP393218:UOQ393218 UYL393218:UYM393218 VIH393218:VII393218 VSD393218:VSE393218 WBZ393218:WCA393218 WLV393218:WLW393218 WVR393218:WVS393218 D458754:E458754 JF458754:JG458754 TB458754:TC458754 ACX458754:ACY458754 AMT458754:AMU458754 AWP458754:AWQ458754 BGL458754:BGM458754 BQH458754:BQI458754 CAD458754:CAE458754 CJZ458754:CKA458754 CTV458754:CTW458754 DDR458754:DDS458754 DNN458754:DNO458754 DXJ458754:DXK458754 EHF458754:EHG458754 ERB458754:ERC458754 FAX458754:FAY458754 FKT458754:FKU458754 FUP458754:FUQ458754 GEL458754:GEM458754 GOH458754:GOI458754 GYD458754:GYE458754 HHZ458754:HIA458754 HRV458754:HRW458754 IBR458754:IBS458754 ILN458754:ILO458754 IVJ458754:IVK458754 JFF458754:JFG458754 JPB458754:JPC458754 JYX458754:JYY458754 KIT458754:KIU458754 KSP458754:KSQ458754 LCL458754:LCM458754 LMH458754:LMI458754 LWD458754:LWE458754 MFZ458754:MGA458754 MPV458754:MPW458754 MZR458754:MZS458754 NJN458754:NJO458754 NTJ458754:NTK458754 ODF458754:ODG458754 ONB458754:ONC458754 OWX458754:OWY458754 PGT458754:PGU458754 PQP458754:PQQ458754 QAL458754:QAM458754 QKH458754:QKI458754 QUD458754:QUE458754 RDZ458754:REA458754 RNV458754:RNW458754 RXR458754:RXS458754 SHN458754:SHO458754 SRJ458754:SRK458754 TBF458754:TBG458754 TLB458754:TLC458754 TUX458754:TUY458754 UET458754:UEU458754 UOP458754:UOQ458754 UYL458754:UYM458754 VIH458754:VII458754 VSD458754:VSE458754 WBZ458754:WCA458754 WLV458754:WLW458754 WVR458754:WVS458754 D524290:E524290 JF524290:JG524290 TB524290:TC524290 ACX524290:ACY524290 AMT524290:AMU524290 AWP524290:AWQ524290 BGL524290:BGM524290 BQH524290:BQI524290 CAD524290:CAE524290 CJZ524290:CKA524290 CTV524290:CTW524290 DDR524290:DDS524290 DNN524290:DNO524290 DXJ524290:DXK524290 EHF524290:EHG524290 ERB524290:ERC524290 FAX524290:FAY524290 FKT524290:FKU524290 FUP524290:FUQ524290 GEL524290:GEM524290 GOH524290:GOI524290 GYD524290:GYE524290 HHZ524290:HIA524290 HRV524290:HRW524290 IBR524290:IBS524290 ILN524290:ILO524290 IVJ524290:IVK524290 JFF524290:JFG524290 JPB524290:JPC524290 JYX524290:JYY524290 KIT524290:KIU524290 KSP524290:KSQ524290 LCL524290:LCM524290 LMH524290:LMI524290 LWD524290:LWE524290 MFZ524290:MGA524290 MPV524290:MPW524290 MZR524290:MZS524290 NJN524290:NJO524290 NTJ524290:NTK524290 ODF524290:ODG524290 ONB524290:ONC524290 OWX524290:OWY524290 PGT524290:PGU524290 PQP524290:PQQ524290 QAL524290:QAM524290 QKH524290:QKI524290 QUD524290:QUE524290 RDZ524290:REA524290 RNV524290:RNW524290 RXR524290:RXS524290 SHN524290:SHO524290 SRJ524290:SRK524290 TBF524290:TBG524290 TLB524290:TLC524290 TUX524290:TUY524290 UET524290:UEU524290 UOP524290:UOQ524290 UYL524290:UYM524290 VIH524290:VII524290 VSD524290:VSE524290 WBZ524290:WCA524290 WLV524290:WLW524290 WVR524290:WVS524290 D589826:E589826 JF589826:JG589826 TB589826:TC589826 ACX589826:ACY589826 AMT589826:AMU589826 AWP589826:AWQ589826 BGL589826:BGM589826 BQH589826:BQI589826 CAD589826:CAE589826 CJZ589826:CKA589826 CTV589826:CTW589826 DDR589826:DDS589826 DNN589826:DNO589826 DXJ589826:DXK589826 EHF589826:EHG589826 ERB589826:ERC589826 FAX589826:FAY589826 FKT589826:FKU589826 FUP589826:FUQ589826 GEL589826:GEM589826 GOH589826:GOI589826 GYD589826:GYE589826 HHZ589826:HIA589826 HRV589826:HRW589826 IBR589826:IBS589826 ILN589826:ILO589826 IVJ589826:IVK589826 JFF589826:JFG589826 JPB589826:JPC589826 JYX589826:JYY589826 KIT589826:KIU589826 KSP589826:KSQ589826 LCL589826:LCM589826 LMH589826:LMI589826 LWD589826:LWE589826 MFZ589826:MGA589826 MPV589826:MPW589826 MZR589826:MZS589826 NJN589826:NJO589826 NTJ589826:NTK589826 ODF589826:ODG589826 ONB589826:ONC589826 OWX589826:OWY589826 PGT589826:PGU589826 PQP589826:PQQ589826 QAL589826:QAM589826 QKH589826:QKI589826 QUD589826:QUE589826 RDZ589826:REA589826 RNV589826:RNW589826 RXR589826:RXS589826 SHN589826:SHO589826 SRJ589826:SRK589826 TBF589826:TBG589826 TLB589826:TLC589826 TUX589826:TUY589826 UET589826:UEU589826 UOP589826:UOQ589826 UYL589826:UYM589826 VIH589826:VII589826 VSD589826:VSE589826 WBZ589826:WCA589826 WLV589826:WLW589826 WVR589826:WVS589826 D655362:E655362 JF655362:JG655362 TB655362:TC655362 ACX655362:ACY655362 AMT655362:AMU655362 AWP655362:AWQ655362 BGL655362:BGM655362 BQH655362:BQI655362 CAD655362:CAE655362 CJZ655362:CKA655362 CTV655362:CTW655362 DDR655362:DDS655362 DNN655362:DNO655362 DXJ655362:DXK655362 EHF655362:EHG655362 ERB655362:ERC655362 FAX655362:FAY655362 FKT655362:FKU655362 FUP655362:FUQ655362 GEL655362:GEM655362 GOH655362:GOI655362 GYD655362:GYE655362 HHZ655362:HIA655362 HRV655362:HRW655362 IBR655362:IBS655362 ILN655362:ILO655362 IVJ655362:IVK655362 JFF655362:JFG655362 JPB655362:JPC655362 JYX655362:JYY655362 KIT655362:KIU655362 KSP655362:KSQ655362 LCL655362:LCM655362 LMH655362:LMI655362 LWD655362:LWE655362 MFZ655362:MGA655362 MPV655362:MPW655362 MZR655362:MZS655362 NJN655362:NJO655362 NTJ655362:NTK655362 ODF655362:ODG655362 ONB655362:ONC655362 OWX655362:OWY655362 PGT655362:PGU655362 PQP655362:PQQ655362 QAL655362:QAM655362 QKH655362:QKI655362 QUD655362:QUE655362 RDZ655362:REA655362 RNV655362:RNW655362 RXR655362:RXS655362 SHN655362:SHO655362 SRJ655362:SRK655362 TBF655362:TBG655362 TLB655362:TLC655362 TUX655362:TUY655362 UET655362:UEU655362 UOP655362:UOQ655362 UYL655362:UYM655362 VIH655362:VII655362 VSD655362:VSE655362 WBZ655362:WCA655362 WLV655362:WLW655362 WVR655362:WVS655362 D720898:E720898 JF720898:JG720898 TB720898:TC720898 ACX720898:ACY720898 AMT720898:AMU720898 AWP720898:AWQ720898 BGL720898:BGM720898 BQH720898:BQI720898 CAD720898:CAE720898 CJZ720898:CKA720898 CTV720898:CTW720898 DDR720898:DDS720898 DNN720898:DNO720898 DXJ720898:DXK720898 EHF720898:EHG720898 ERB720898:ERC720898 FAX720898:FAY720898 FKT720898:FKU720898 FUP720898:FUQ720898 GEL720898:GEM720898 GOH720898:GOI720898 GYD720898:GYE720898 HHZ720898:HIA720898 HRV720898:HRW720898 IBR720898:IBS720898 ILN720898:ILO720898 IVJ720898:IVK720898 JFF720898:JFG720898 JPB720898:JPC720898 JYX720898:JYY720898 KIT720898:KIU720898 KSP720898:KSQ720898 LCL720898:LCM720898 LMH720898:LMI720898 LWD720898:LWE720898 MFZ720898:MGA720898 MPV720898:MPW720898 MZR720898:MZS720898 NJN720898:NJO720898 NTJ720898:NTK720898 ODF720898:ODG720898 ONB720898:ONC720898 OWX720898:OWY720898 PGT720898:PGU720898 PQP720898:PQQ720898 QAL720898:QAM720898 QKH720898:QKI720898 QUD720898:QUE720898 RDZ720898:REA720898 RNV720898:RNW720898 RXR720898:RXS720898 SHN720898:SHO720898 SRJ720898:SRK720898 TBF720898:TBG720898 TLB720898:TLC720898 TUX720898:TUY720898 UET720898:UEU720898 UOP720898:UOQ720898 UYL720898:UYM720898 VIH720898:VII720898 VSD720898:VSE720898 WBZ720898:WCA720898 WLV720898:WLW720898 WVR720898:WVS720898 D786434:E786434 JF786434:JG786434 TB786434:TC786434 ACX786434:ACY786434 AMT786434:AMU786434 AWP786434:AWQ786434 BGL786434:BGM786434 BQH786434:BQI786434 CAD786434:CAE786434 CJZ786434:CKA786434 CTV786434:CTW786434 DDR786434:DDS786434 DNN786434:DNO786434 DXJ786434:DXK786434 EHF786434:EHG786434 ERB786434:ERC786434 FAX786434:FAY786434 FKT786434:FKU786434 FUP786434:FUQ786434 GEL786434:GEM786434 GOH786434:GOI786434 GYD786434:GYE786434 HHZ786434:HIA786434 HRV786434:HRW786434 IBR786434:IBS786434 ILN786434:ILO786434 IVJ786434:IVK786434 JFF786434:JFG786434 JPB786434:JPC786434 JYX786434:JYY786434 KIT786434:KIU786434 KSP786434:KSQ786434 LCL786434:LCM786434 LMH786434:LMI786434 LWD786434:LWE786434 MFZ786434:MGA786434 MPV786434:MPW786434 MZR786434:MZS786434 NJN786434:NJO786434 NTJ786434:NTK786434 ODF786434:ODG786434 ONB786434:ONC786434 OWX786434:OWY786434 PGT786434:PGU786434 PQP786434:PQQ786434 QAL786434:QAM786434 QKH786434:QKI786434 QUD786434:QUE786434 RDZ786434:REA786434 RNV786434:RNW786434 RXR786434:RXS786434 SHN786434:SHO786434 SRJ786434:SRK786434 TBF786434:TBG786434 TLB786434:TLC786434 TUX786434:TUY786434 UET786434:UEU786434 UOP786434:UOQ786434 UYL786434:UYM786434 VIH786434:VII786434 VSD786434:VSE786434 WBZ786434:WCA786434 WLV786434:WLW786434 WVR786434:WVS786434 D851970:E851970 JF851970:JG851970 TB851970:TC851970 ACX851970:ACY851970 AMT851970:AMU851970 AWP851970:AWQ851970 BGL851970:BGM851970 BQH851970:BQI851970 CAD851970:CAE851970 CJZ851970:CKA851970 CTV851970:CTW851970 DDR851970:DDS851970 DNN851970:DNO851970 DXJ851970:DXK851970 EHF851970:EHG851970 ERB851970:ERC851970 FAX851970:FAY851970 FKT851970:FKU851970 FUP851970:FUQ851970 GEL851970:GEM851970 GOH851970:GOI851970 GYD851970:GYE851970 HHZ851970:HIA851970 HRV851970:HRW851970 IBR851970:IBS851970 ILN851970:ILO851970 IVJ851970:IVK851970 JFF851970:JFG851970 JPB851970:JPC851970 JYX851970:JYY851970 KIT851970:KIU851970 KSP851970:KSQ851970 LCL851970:LCM851970 LMH851970:LMI851970 LWD851970:LWE851970 MFZ851970:MGA851970 MPV851970:MPW851970 MZR851970:MZS851970 NJN851970:NJO851970 NTJ851970:NTK851970 ODF851970:ODG851970 ONB851970:ONC851970 OWX851970:OWY851970 PGT851970:PGU851970 PQP851970:PQQ851970 QAL851970:QAM851970 QKH851970:QKI851970 QUD851970:QUE851970 RDZ851970:REA851970 RNV851970:RNW851970 RXR851970:RXS851970 SHN851970:SHO851970 SRJ851970:SRK851970 TBF851970:TBG851970 TLB851970:TLC851970 TUX851970:TUY851970 UET851970:UEU851970 UOP851970:UOQ851970 UYL851970:UYM851970 VIH851970:VII851970 VSD851970:VSE851970 WBZ851970:WCA851970 WLV851970:WLW851970 WVR851970:WVS851970 D917506:E917506 JF917506:JG917506 TB917506:TC917506 ACX917506:ACY917506 AMT917506:AMU917506 AWP917506:AWQ917506 BGL917506:BGM917506 BQH917506:BQI917506 CAD917506:CAE917506 CJZ917506:CKA917506 CTV917506:CTW917506 DDR917506:DDS917506 DNN917506:DNO917506 DXJ917506:DXK917506 EHF917506:EHG917506 ERB917506:ERC917506 FAX917506:FAY917506 FKT917506:FKU917506 FUP917506:FUQ917506 GEL917506:GEM917506 GOH917506:GOI917506 GYD917506:GYE917506 HHZ917506:HIA917506 HRV917506:HRW917506 IBR917506:IBS917506 ILN917506:ILO917506 IVJ917506:IVK917506 JFF917506:JFG917506 JPB917506:JPC917506 JYX917506:JYY917506 KIT917506:KIU917506 KSP917506:KSQ917506 LCL917506:LCM917506 LMH917506:LMI917506 LWD917506:LWE917506 MFZ917506:MGA917506 MPV917506:MPW917506 MZR917506:MZS917506 NJN917506:NJO917506 NTJ917506:NTK917506 ODF917506:ODG917506 ONB917506:ONC917506 OWX917506:OWY917506 PGT917506:PGU917506 PQP917506:PQQ917506 QAL917506:QAM917506 QKH917506:QKI917506 QUD917506:QUE917506 RDZ917506:REA917506 RNV917506:RNW917506 RXR917506:RXS917506 SHN917506:SHO917506 SRJ917506:SRK917506 TBF917506:TBG917506 TLB917506:TLC917506 TUX917506:TUY917506 UET917506:UEU917506 UOP917506:UOQ917506 UYL917506:UYM917506 VIH917506:VII917506 VSD917506:VSE917506 WBZ917506:WCA917506 WLV917506:WLW917506 WVR917506:WVS917506 D983042:E983042 JF983042:JG983042 TB983042:TC983042 ACX983042:ACY983042 AMT983042:AMU983042 AWP983042:AWQ983042 BGL983042:BGM983042 BQH983042:BQI983042 CAD983042:CAE983042 CJZ983042:CKA983042 CTV983042:CTW983042 DDR983042:DDS983042 DNN983042:DNO983042 DXJ983042:DXK983042 EHF983042:EHG983042 ERB983042:ERC983042 FAX983042:FAY983042 FKT983042:FKU983042 FUP983042:FUQ983042 GEL983042:GEM983042 GOH983042:GOI983042 GYD983042:GYE983042 HHZ983042:HIA983042 HRV983042:HRW983042 IBR983042:IBS983042 ILN983042:ILO983042 IVJ983042:IVK983042 JFF983042:JFG983042 JPB983042:JPC983042 JYX983042:JYY983042 KIT983042:KIU983042 KSP983042:KSQ983042 LCL983042:LCM983042 LMH983042:LMI983042 LWD983042:LWE983042 MFZ983042:MGA983042 MPV983042:MPW983042 MZR983042:MZS983042 NJN983042:NJO983042 NTJ983042:NTK983042 ODF983042:ODG983042 ONB983042:ONC983042 OWX983042:OWY983042 PGT983042:PGU983042 PQP983042:PQQ983042 QAL983042:QAM983042 QKH983042:QKI983042 QUD983042:QUE983042 RDZ983042:REA983042 RNV983042:RNW983042 RXR983042:RXS983042 SHN983042:SHO983042 SRJ983042:SRK983042 TBF983042:TBG983042 TLB983042:TLC983042 TUX983042:TUY983042 UET983042:UEU983042 UOP983042:UOQ983042 UYL983042:UYM983042 VIH983042:VII983042 VSD983042:VSE983042 WBZ983042:WCA983042 WLV983042:WLW983042 WVR983042:WVS983042 C8 JI19:JJ33 TE19:TF33 ADA19:ADB33 AMW19:AMX33 AWS19:AWT33 BGO19:BGP33 BQK19:BQL33 CAG19:CAH33 CKC19:CKD33 CTY19:CTZ33 DDU19:DDV33 DNQ19:DNR33 DXM19:DXN33 EHI19:EHJ33 ERE19:ERF33 FBA19:FBB33 FKW19:FKX33 FUS19:FUT33 GEO19:GEP33 GOK19:GOL33 GYG19:GYH33 HIC19:HID33 HRY19:HRZ33 IBU19:IBV33 ILQ19:ILR33 IVM19:IVN33 JFI19:JFJ33 JPE19:JPF33 JZA19:JZB33 KIW19:KIX33 KSS19:KST33 LCO19:LCP33 LMK19:LML33 LWG19:LWH33 MGC19:MGD33 MPY19:MPZ33 MZU19:MZV33 NJQ19:NJR33 NTM19:NTN33 ODI19:ODJ33 ONE19:ONF33 OXA19:OXB33 PGW19:PGX33 PQS19:PQT33 QAO19:QAP33 QKK19:QKL33 QUG19:QUH33 REC19:RED33 RNY19:RNZ33 RXU19:RXV33 SHQ19:SHR33 SRM19:SRN33 TBI19:TBJ33 TLE19:TLF33 TVA19:TVB33 UEW19:UEX33 UOS19:UOT33 UYO19:UYP33 VIK19:VIL33 VSG19:VSH33 WCC19:WCD33 WLY19:WLZ33 WVU19:WVV33 G65544:H65558 JI65544:JJ65558 TE65544:TF65558 ADA65544:ADB65558 AMW65544:AMX65558 AWS65544:AWT65558 BGO65544:BGP65558 BQK65544:BQL65558 CAG65544:CAH65558 CKC65544:CKD65558 CTY65544:CTZ65558 DDU65544:DDV65558 DNQ65544:DNR65558 DXM65544:DXN65558 EHI65544:EHJ65558 ERE65544:ERF65558 FBA65544:FBB65558 FKW65544:FKX65558 FUS65544:FUT65558 GEO65544:GEP65558 GOK65544:GOL65558 GYG65544:GYH65558 HIC65544:HID65558 HRY65544:HRZ65558 IBU65544:IBV65558 ILQ65544:ILR65558 IVM65544:IVN65558 JFI65544:JFJ65558 JPE65544:JPF65558 JZA65544:JZB65558 KIW65544:KIX65558 KSS65544:KST65558 LCO65544:LCP65558 LMK65544:LML65558 LWG65544:LWH65558 MGC65544:MGD65558 MPY65544:MPZ65558 MZU65544:MZV65558 NJQ65544:NJR65558 NTM65544:NTN65558 ODI65544:ODJ65558 ONE65544:ONF65558 OXA65544:OXB65558 PGW65544:PGX65558 PQS65544:PQT65558 QAO65544:QAP65558 QKK65544:QKL65558 QUG65544:QUH65558 REC65544:RED65558 RNY65544:RNZ65558 RXU65544:RXV65558 SHQ65544:SHR65558 SRM65544:SRN65558 TBI65544:TBJ65558 TLE65544:TLF65558 TVA65544:TVB65558 UEW65544:UEX65558 UOS65544:UOT65558 UYO65544:UYP65558 VIK65544:VIL65558 VSG65544:VSH65558 WCC65544:WCD65558 WLY65544:WLZ65558 WVU65544:WVV65558 G131080:H131094 JI131080:JJ131094 TE131080:TF131094 ADA131080:ADB131094 AMW131080:AMX131094 AWS131080:AWT131094 BGO131080:BGP131094 BQK131080:BQL131094 CAG131080:CAH131094 CKC131080:CKD131094 CTY131080:CTZ131094 DDU131080:DDV131094 DNQ131080:DNR131094 DXM131080:DXN131094 EHI131080:EHJ131094 ERE131080:ERF131094 FBA131080:FBB131094 FKW131080:FKX131094 FUS131080:FUT131094 GEO131080:GEP131094 GOK131080:GOL131094 GYG131080:GYH131094 HIC131080:HID131094 HRY131080:HRZ131094 IBU131080:IBV131094 ILQ131080:ILR131094 IVM131080:IVN131094 JFI131080:JFJ131094 JPE131080:JPF131094 JZA131080:JZB131094 KIW131080:KIX131094 KSS131080:KST131094 LCO131080:LCP131094 LMK131080:LML131094 LWG131080:LWH131094 MGC131080:MGD131094 MPY131080:MPZ131094 MZU131080:MZV131094 NJQ131080:NJR131094 NTM131080:NTN131094 ODI131080:ODJ131094 ONE131080:ONF131094 OXA131080:OXB131094 PGW131080:PGX131094 PQS131080:PQT131094 QAO131080:QAP131094 QKK131080:QKL131094 QUG131080:QUH131094 REC131080:RED131094 RNY131080:RNZ131094 RXU131080:RXV131094 SHQ131080:SHR131094 SRM131080:SRN131094 TBI131080:TBJ131094 TLE131080:TLF131094 TVA131080:TVB131094 UEW131080:UEX131094 UOS131080:UOT131094 UYO131080:UYP131094 VIK131080:VIL131094 VSG131080:VSH131094 WCC131080:WCD131094 WLY131080:WLZ131094 WVU131080:WVV131094 G196616:H196630 JI196616:JJ196630 TE196616:TF196630 ADA196616:ADB196630 AMW196616:AMX196630 AWS196616:AWT196630 BGO196616:BGP196630 BQK196616:BQL196630 CAG196616:CAH196630 CKC196616:CKD196630 CTY196616:CTZ196630 DDU196616:DDV196630 DNQ196616:DNR196630 DXM196616:DXN196630 EHI196616:EHJ196630 ERE196616:ERF196630 FBA196616:FBB196630 FKW196616:FKX196630 FUS196616:FUT196630 GEO196616:GEP196630 GOK196616:GOL196630 GYG196616:GYH196630 HIC196616:HID196630 HRY196616:HRZ196630 IBU196616:IBV196630 ILQ196616:ILR196630 IVM196616:IVN196630 JFI196616:JFJ196630 JPE196616:JPF196630 JZA196616:JZB196630 KIW196616:KIX196630 KSS196616:KST196630 LCO196616:LCP196630 LMK196616:LML196630 LWG196616:LWH196630 MGC196616:MGD196630 MPY196616:MPZ196630 MZU196616:MZV196630 NJQ196616:NJR196630 NTM196616:NTN196630 ODI196616:ODJ196630 ONE196616:ONF196630 OXA196616:OXB196630 PGW196616:PGX196630 PQS196616:PQT196630 QAO196616:QAP196630 QKK196616:QKL196630 QUG196616:QUH196630 REC196616:RED196630 RNY196616:RNZ196630 RXU196616:RXV196630 SHQ196616:SHR196630 SRM196616:SRN196630 TBI196616:TBJ196630 TLE196616:TLF196630 TVA196616:TVB196630 UEW196616:UEX196630 UOS196616:UOT196630 UYO196616:UYP196630 VIK196616:VIL196630 VSG196616:VSH196630 WCC196616:WCD196630 WLY196616:WLZ196630 WVU196616:WVV196630 G262152:H262166 JI262152:JJ262166 TE262152:TF262166 ADA262152:ADB262166 AMW262152:AMX262166 AWS262152:AWT262166 BGO262152:BGP262166 BQK262152:BQL262166 CAG262152:CAH262166 CKC262152:CKD262166 CTY262152:CTZ262166 DDU262152:DDV262166 DNQ262152:DNR262166 DXM262152:DXN262166 EHI262152:EHJ262166 ERE262152:ERF262166 FBA262152:FBB262166 FKW262152:FKX262166 FUS262152:FUT262166 GEO262152:GEP262166 GOK262152:GOL262166 GYG262152:GYH262166 HIC262152:HID262166 HRY262152:HRZ262166 IBU262152:IBV262166 ILQ262152:ILR262166 IVM262152:IVN262166 JFI262152:JFJ262166 JPE262152:JPF262166 JZA262152:JZB262166 KIW262152:KIX262166 KSS262152:KST262166 LCO262152:LCP262166 LMK262152:LML262166 LWG262152:LWH262166 MGC262152:MGD262166 MPY262152:MPZ262166 MZU262152:MZV262166 NJQ262152:NJR262166 NTM262152:NTN262166 ODI262152:ODJ262166 ONE262152:ONF262166 OXA262152:OXB262166 PGW262152:PGX262166 PQS262152:PQT262166 QAO262152:QAP262166 QKK262152:QKL262166 QUG262152:QUH262166 REC262152:RED262166 RNY262152:RNZ262166 RXU262152:RXV262166 SHQ262152:SHR262166 SRM262152:SRN262166 TBI262152:TBJ262166 TLE262152:TLF262166 TVA262152:TVB262166 UEW262152:UEX262166 UOS262152:UOT262166 UYO262152:UYP262166 VIK262152:VIL262166 VSG262152:VSH262166 WCC262152:WCD262166 WLY262152:WLZ262166 WVU262152:WVV262166 G327688:H327702 JI327688:JJ327702 TE327688:TF327702 ADA327688:ADB327702 AMW327688:AMX327702 AWS327688:AWT327702 BGO327688:BGP327702 BQK327688:BQL327702 CAG327688:CAH327702 CKC327688:CKD327702 CTY327688:CTZ327702 DDU327688:DDV327702 DNQ327688:DNR327702 DXM327688:DXN327702 EHI327688:EHJ327702 ERE327688:ERF327702 FBA327688:FBB327702 FKW327688:FKX327702 FUS327688:FUT327702 GEO327688:GEP327702 GOK327688:GOL327702 GYG327688:GYH327702 HIC327688:HID327702 HRY327688:HRZ327702 IBU327688:IBV327702 ILQ327688:ILR327702 IVM327688:IVN327702 JFI327688:JFJ327702 JPE327688:JPF327702 JZA327688:JZB327702 KIW327688:KIX327702 KSS327688:KST327702 LCO327688:LCP327702 LMK327688:LML327702 LWG327688:LWH327702 MGC327688:MGD327702 MPY327688:MPZ327702 MZU327688:MZV327702 NJQ327688:NJR327702 NTM327688:NTN327702 ODI327688:ODJ327702 ONE327688:ONF327702 OXA327688:OXB327702 PGW327688:PGX327702 PQS327688:PQT327702 QAO327688:QAP327702 QKK327688:QKL327702 QUG327688:QUH327702 REC327688:RED327702 RNY327688:RNZ327702 RXU327688:RXV327702 SHQ327688:SHR327702 SRM327688:SRN327702 TBI327688:TBJ327702 TLE327688:TLF327702 TVA327688:TVB327702 UEW327688:UEX327702 UOS327688:UOT327702 UYO327688:UYP327702 VIK327688:VIL327702 VSG327688:VSH327702 WCC327688:WCD327702 WLY327688:WLZ327702 WVU327688:WVV327702 G393224:H393238 JI393224:JJ393238 TE393224:TF393238 ADA393224:ADB393238 AMW393224:AMX393238 AWS393224:AWT393238 BGO393224:BGP393238 BQK393224:BQL393238 CAG393224:CAH393238 CKC393224:CKD393238 CTY393224:CTZ393238 DDU393224:DDV393238 DNQ393224:DNR393238 DXM393224:DXN393238 EHI393224:EHJ393238 ERE393224:ERF393238 FBA393224:FBB393238 FKW393224:FKX393238 FUS393224:FUT393238 GEO393224:GEP393238 GOK393224:GOL393238 GYG393224:GYH393238 HIC393224:HID393238 HRY393224:HRZ393238 IBU393224:IBV393238 ILQ393224:ILR393238 IVM393224:IVN393238 JFI393224:JFJ393238 JPE393224:JPF393238 JZA393224:JZB393238 KIW393224:KIX393238 KSS393224:KST393238 LCO393224:LCP393238 LMK393224:LML393238 LWG393224:LWH393238 MGC393224:MGD393238 MPY393224:MPZ393238 MZU393224:MZV393238 NJQ393224:NJR393238 NTM393224:NTN393238 ODI393224:ODJ393238 ONE393224:ONF393238 OXA393224:OXB393238 PGW393224:PGX393238 PQS393224:PQT393238 QAO393224:QAP393238 QKK393224:QKL393238 QUG393224:QUH393238 REC393224:RED393238 RNY393224:RNZ393238 RXU393224:RXV393238 SHQ393224:SHR393238 SRM393224:SRN393238 TBI393224:TBJ393238 TLE393224:TLF393238 TVA393224:TVB393238 UEW393224:UEX393238 UOS393224:UOT393238 UYO393224:UYP393238 VIK393224:VIL393238 VSG393224:VSH393238 WCC393224:WCD393238 WLY393224:WLZ393238 WVU393224:WVV393238 G458760:H458774 JI458760:JJ458774 TE458760:TF458774 ADA458760:ADB458774 AMW458760:AMX458774 AWS458760:AWT458774 BGO458760:BGP458774 BQK458760:BQL458774 CAG458760:CAH458774 CKC458760:CKD458774 CTY458760:CTZ458774 DDU458760:DDV458774 DNQ458760:DNR458774 DXM458760:DXN458774 EHI458760:EHJ458774 ERE458760:ERF458774 FBA458760:FBB458774 FKW458760:FKX458774 FUS458760:FUT458774 GEO458760:GEP458774 GOK458760:GOL458774 GYG458760:GYH458774 HIC458760:HID458774 HRY458760:HRZ458774 IBU458760:IBV458774 ILQ458760:ILR458774 IVM458760:IVN458774 JFI458760:JFJ458774 JPE458760:JPF458774 JZA458760:JZB458774 KIW458760:KIX458774 KSS458760:KST458774 LCO458760:LCP458774 LMK458760:LML458774 LWG458760:LWH458774 MGC458760:MGD458774 MPY458760:MPZ458774 MZU458760:MZV458774 NJQ458760:NJR458774 NTM458760:NTN458774 ODI458760:ODJ458774 ONE458760:ONF458774 OXA458760:OXB458774 PGW458760:PGX458774 PQS458760:PQT458774 QAO458760:QAP458774 QKK458760:QKL458774 QUG458760:QUH458774 REC458760:RED458774 RNY458760:RNZ458774 RXU458760:RXV458774 SHQ458760:SHR458774 SRM458760:SRN458774 TBI458760:TBJ458774 TLE458760:TLF458774 TVA458760:TVB458774 UEW458760:UEX458774 UOS458760:UOT458774 UYO458760:UYP458774 VIK458760:VIL458774 VSG458760:VSH458774 WCC458760:WCD458774 WLY458760:WLZ458774 WVU458760:WVV458774 G524296:H524310 JI524296:JJ524310 TE524296:TF524310 ADA524296:ADB524310 AMW524296:AMX524310 AWS524296:AWT524310 BGO524296:BGP524310 BQK524296:BQL524310 CAG524296:CAH524310 CKC524296:CKD524310 CTY524296:CTZ524310 DDU524296:DDV524310 DNQ524296:DNR524310 DXM524296:DXN524310 EHI524296:EHJ524310 ERE524296:ERF524310 FBA524296:FBB524310 FKW524296:FKX524310 FUS524296:FUT524310 GEO524296:GEP524310 GOK524296:GOL524310 GYG524296:GYH524310 HIC524296:HID524310 HRY524296:HRZ524310 IBU524296:IBV524310 ILQ524296:ILR524310 IVM524296:IVN524310 JFI524296:JFJ524310 JPE524296:JPF524310 JZA524296:JZB524310 KIW524296:KIX524310 KSS524296:KST524310 LCO524296:LCP524310 LMK524296:LML524310 LWG524296:LWH524310 MGC524296:MGD524310 MPY524296:MPZ524310 MZU524296:MZV524310 NJQ524296:NJR524310 NTM524296:NTN524310 ODI524296:ODJ524310 ONE524296:ONF524310 OXA524296:OXB524310 PGW524296:PGX524310 PQS524296:PQT524310 QAO524296:QAP524310 QKK524296:QKL524310 QUG524296:QUH524310 REC524296:RED524310 RNY524296:RNZ524310 RXU524296:RXV524310 SHQ524296:SHR524310 SRM524296:SRN524310 TBI524296:TBJ524310 TLE524296:TLF524310 TVA524296:TVB524310 UEW524296:UEX524310 UOS524296:UOT524310 UYO524296:UYP524310 VIK524296:VIL524310 VSG524296:VSH524310 WCC524296:WCD524310 WLY524296:WLZ524310 WVU524296:WVV524310 G589832:H589846 JI589832:JJ589846 TE589832:TF589846 ADA589832:ADB589846 AMW589832:AMX589846 AWS589832:AWT589846 BGO589832:BGP589846 BQK589832:BQL589846 CAG589832:CAH589846 CKC589832:CKD589846 CTY589832:CTZ589846 DDU589832:DDV589846 DNQ589832:DNR589846 DXM589832:DXN589846 EHI589832:EHJ589846 ERE589832:ERF589846 FBA589832:FBB589846 FKW589832:FKX589846 FUS589832:FUT589846 GEO589832:GEP589846 GOK589832:GOL589846 GYG589832:GYH589846 HIC589832:HID589846 HRY589832:HRZ589846 IBU589832:IBV589846 ILQ589832:ILR589846 IVM589832:IVN589846 JFI589832:JFJ589846 JPE589832:JPF589846 JZA589832:JZB589846 KIW589832:KIX589846 KSS589832:KST589846 LCO589832:LCP589846 LMK589832:LML589846 LWG589832:LWH589846 MGC589832:MGD589846 MPY589832:MPZ589846 MZU589832:MZV589846 NJQ589832:NJR589846 NTM589832:NTN589846 ODI589832:ODJ589846 ONE589832:ONF589846 OXA589832:OXB589846 PGW589832:PGX589846 PQS589832:PQT589846 QAO589832:QAP589846 QKK589832:QKL589846 QUG589832:QUH589846 REC589832:RED589846 RNY589832:RNZ589846 RXU589832:RXV589846 SHQ589832:SHR589846 SRM589832:SRN589846 TBI589832:TBJ589846 TLE589832:TLF589846 TVA589832:TVB589846 UEW589832:UEX589846 UOS589832:UOT589846 UYO589832:UYP589846 VIK589832:VIL589846 VSG589832:VSH589846 WCC589832:WCD589846 WLY589832:WLZ589846 WVU589832:WVV589846 G655368:H655382 JI655368:JJ655382 TE655368:TF655382 ADA655368:ADB655382 AMW655368:AMX655382 AWS655368:AWT655382 BGO655368:BGP655382 BQK655368:BQL655382 CAG655368:CAH655382 CKC655368:CKD655382 CTY655368:CTZ655382 DDU655368:DDV655382 DNQ655368:DNR655382 DXM655368:DXN655382 EHI655368:EHJ655382 ERE655368:ERF655382 FBA655368:FBB655382 FKW655368:FKX655382 FUS655368:FUT655382 GEO655368:GEP655382 GOK655368:GOL655382 GYG655368:GYH655382 HIC655368:HID655382 HRY655368:HRZ655382 IBU655368:IBV655382 ILQ655368:ILR655382 IVM655368:IVN655382 JFI655368:JFJ655382 JPE655368:JPF655382 JZA655368:JZB655382 KIW655368:KIX655382 KSS655368:KST655382 LCO655368:LCP655382 LMK655368:LML655382 LWG655368:LWH655382 MGC655368:MGD655382 MPY655368:MPZ655382 MZU655368:MZV655382 NJQ655368:NJR655382 NTM655368:NTN655382 ODI655368:ODJ655382 ONE655368:ONF655382 OXA655368:OXB655382 PGW655368:PGX655382 PQS655368:PQT655382 QAO655368:QAP655382 QKK655368:QKL655382 QUG655368:QUH655382 REC655368:RED655382 RNY655368:RNZ655382 RXU655368:RXV655382 SHQ655368:SHR655382 SRM655368:SRN655382 TBI655368:TBJ655382 TLE655368:TLF655382 TVA655368:TVB655382 UEW655368:UEX655382 UOS655368:UOT655382 UYO655368:UYP655382 VIK655368:VIL655382 VSG655368:VSH655382 WCC655368:WCD655382 WLY655368:WLZ655382 WVU655368:WVV655382 G720904:H720918 JI720904:JJ720918 TE720904:TF720918 ADA720904:ADB720918 AMW720904:AMX720918 AWS720904:AWT720918 BGO720904:BGP720918 BQK720904:BQL720918 CAG720904:CAH720918 CKC720904:CKD720918 CTY720904:CTZ720918 DDU720904:DDV720918 DNQ720904:DNR720918 DXM720904:DXN720918 EHI720904:EHJ720918 ERE720904:ERF720918 FBA720904:FBB720918 FKW720904:FKX720918 FUS720904:FUT720918 GEO720904:GEP720918 GOK720904:GOL720918 GYG720904:GYH720918 HIC720904:HID720918 HRY720904:HRZ720918 IBU720904:IBV720918 ILQ720904:ILR720918 IVM720904:IVN720918 JFI720904:JFJ720918 JPE720904:JPF720918 JZA720904:JZB720918 KIW720904:KIX720918 KSS720904:KST720918 LCO720904:LCP720918 LMK720904:LML720918 LWG720904:LWH720918 MGC720904:MGD720918 MPY720904:MPZ720918 MZU720904:MZV720918 NJQ720904:NJR720918 NTM720904:NTN720918 ODI720904:ODJ720918 ONE720904:ONF720918 OXA720904:OXB720918 PGW720904:PGX720918 PQS720904:PQT720918 QAO720904:QAP720918 QKK720904:QKL720918 QUG720904:QUH720918 REC720904:RED720918 RNY720904:RNZ720918 RXU720904:RXV720918 SHQ720904:SHR720918 SRM720904:SRN720918 TBI720904:TBJ720918 TLE720904:TLF720918 TVA720904:TVB720918 UEW720904:UEX720918 UOS720904:UOT720918 UYO720904:UYP720918 VIK720904:VIL720918 VSG720904:VSH720918 WCC720904:WCD720918 WLY720904:WLZ720918 WVU720904:WVV720918 G786440:H786454 JI786440:JJ786454 TE786440:TF786454 ADA786440:ADB786454 AMW786440:AMX786454 AWS786440:AWT786454 BGO786440:BGP786454 BQK786440:BQL786454 CAG786440:CAH786454 CKC786440:CKD786454 CTY786440:CTZ786454 DDU786440:DDV786454 DNQ786440:DNR786454 DXM786440:DXN786454 EHI786440:EHJ786454 ERE786440:ERF786454 FBA786440:FBB786454 FKW786440:FKX786454 FUS786440:FUT786454 GEO786440:GEP786454 GOK786440:GOL786454 GYG786440:GYH786454 HIC786440:HID786454 HRY786440:HRZ786454 IBU786440:IBV786454 ILQ786440:ILR786454 IVM786440:IVN786454 JFI786440:JFJ786454 JPE786440:JPF786454 JZA786440:JZB786454 KIW786440:KIX786454 KSS786440:KST786454 LCO786440:LCP786454 LMK786440:LML786454 LWG786440:LWH786454 MGC786440:MGD786454 MPY786440:MPZ786454 MZU786440:MZV786454 NJQ786440:NJR786454 NTM786440:NTN786454 ODI786440:ODJ786454 ONE786440:ONF786454 OXA786440:OXB786454 PGW786440:PGX786454 PQS786440:PQT786454 QAO786440:QAP786454 QKK786440:QKL786454 QUG786440:QUH786454 REC786440:RED786454 RNY786440:RNZ786454 RXU786440:RXV786454 SHQ786440:SHR786454 SRM786440:SRN786454 TBI786440:TBJ786454 TLE786440:TLF786454 TVA786440:TVB786454 UEW786440:UEX786454 UOS786440:UOT786454 UYO786440:UYP786454 VIK786440:VIL786454 VSG786440:VSH786454 WCC786440:WCD786454 WLY786440:WLZ786454 WVU786440:WVV786454 G851976:H851990 JI851976:JJ851990 TE851976:TF851990 ADA851976:ADB851990 AMW851976:AMX851990 AWS851976:AWT851990 BGO851976:BGP851990 BQK851976:BQL851990 CAG851976:CAH851990 CKC851976:CKD851990 CTY851976:CTZ851990 DDU851976:DDV851990 DNQ851976:DNR851990 DXM851976:DXN851990 EHI851976:EHJ851990 ERE851976:ERF851990 FBA851976:FBB851990 FKW851976:FKX851990 FUS851976:FUT851990 GEO851976:GEP851990 GOK851976:GOL851990 GYG851976:GYH851990 HIC851976:HID851990 HRY851976:HRZ851990 IBU851976:IBV851990 ILQ851976:ILR851990 IVM851976:IVN851990 JFI851976:JFJ851990 JPE851976:JPF851990 JZA851976:JZB851990 KIW851976:KIX851990 KSS851976:KST851990 LCO851976:LCP851990 LMK851976:LML851990 LWG851976:LWH851990 MGC851976:MGD851990 MPY851976:MPZ851990 MZU851976:MZV851990 NJQ851976:NJR851990 NTM851976:NTN851990 ODI851976:ODJ851990 ONE851976:ONF851990 OXA851976:OXB851990 PGW851976:PGX851990 PQS851976:PQT851990 QAO851976:QAP851990 QKK851976:QKL851990 QUG851976:QUH851990 REC851976:RED851990 RNY851976:RNZ851990 RXU851976:RXV851990 SHQ851976:SHR851990 SRM851976:SRN851990 TBI851976:TBJ851990 TLE851976:TLF851990 TVA851976:TVB851990 UEW851976:UEX851990 UOS851976:UOT851990 UYO851976:UYP851990 VIK851976:VIL851990 VSG851976:VSH851990 WCC851976:WCD851990 WLY851976:WLZ851990 WVU851976:WVV851990 G917512:H917526 JI917512:JJ917526 TE917512:TF917526 ADA917512:ADB917526 AMW917512:AMX917526 AWS917512:AWT917526 BGO917512:BGP917526 BQK917512:BQL917526 CAG917512:CAH917526 CKC917512:CKD917526 CTY917512:CTZ917526 DDU917512:DDV917526 DNQ917512:DNR917526 DXM917512:DXN917526 EHI917512:EHJ917526 ERE917512:ERF917526 FBA917512:FBB917526 FKW917512:FKX917526 FUS917512:FUT917526 GEO917512:GEP917526 GOK917512:GOL917526 GYG917512:GYH917526 HIC917512:HID917526 HRY917512:HRZ917526 IBU917512:IBV917526 ILQ917512:ILR917526 IVM917512:IVN917526 JFI917512:JFJ917526 JPE917512:JPF917526 JZA917512:JZB917526 KIW917512:KIX917526 KSS917512:KST917526 LCO917512:LCP917526 LMK917512:LML917526 LWG917512:LWH917526 MGC917512:MGD917526 MPY917512:MPZ917526 MZU917512:MZV917526 NJQ917512:NJR917526 NTM917512:NTN917526 ODI917512:ODJ917526 ONE917512:ONF917526 OXA917512:OXB917526 PGW917512:PGX917526 PQS917512:PQT917526 QAO917512:QAP917526 QKK917512:QKL917526 QUG917512:QUH917526 REC917512:RED917526 RNY917512:RNZ917526 RXU917512:RXV917526 SHQ917512:SHR917526 SRM917512:SRN917526 TBI917512:TBJ917526 TLE917512:TLF917526 TVA917512:TVB917526 UEW917512:UEX917526 UOS917512:UOT917526 UYO917512:UYP917526 VIK917512:VIL917526 VSG917512:VSH917526 WCC917512:WCD917526 WLY917512:WLZ917526 WVU917512:WVV917526 G983048:H983062 JI983048:JJ983062 TE983048:TF983062 ADA983048:ADB983062 AMW983048:AMX983062 AWS983048:AWT983062 BGO983048:BGP983062 BQK983048:BQL983062 CAG983048:CAH983062 CKC983048:CKD983062 CTY983048:CTZ983062 DDU983048:DDV983062 DNQ983048:DNR983062 DXM983048:DXN983062 EHI983048:EHJ983062 ERE983048:ERF983062 FBA983048:FBB983062 FKW983048:FKX983062 FUS983048:FUT983062 GEO983048:GEP983062 GOK983048:GOL983062 GYG983048:GYH983062 HIC983048:HID983062 HRY983048:HRZ983062 IBU983048:IBV983062 ILQ983048:ILR983062 IVM983048:IVN983062 JFI983048:JFJ983062 JPE983048:JPF983062 JZA983048:JZB983062 KIW983048:KIX983062 KSS983048:KST983062 LCO983048:LCP983062 LMK983048:LML983062 LWG983048:LWH983062 MGC983048:MGD983062 MPY983048:MPZ983062 MZU983048:MZV983062 NJQ983048:NJR983062 NTM983048:NTN983062 ODI983048:ODJ983062 ONE983048:ONF983062 OXA983048:OXB983062 PGW983048:PGX983062 PQS983048:PQT983062 QAO983048:QAP983062 QKK983048:QKL983062 QUG983048:QUH983062 REC983048:RED983062 RNY983048:RNZ983062 RXU983048:RXV983062 SHQ983048:SHR983062 SRM983048:SRN983062 TBI983048:TBJ983062 TLE983048:TLF983062 TVA983048:TVB983062 UEW983048:UEX983062 UOS983048:UOT983062 UYO983048:UYP983062 VIK983048:VIL983062 VSG983048:VSH983062 WCC983048:WCD983062 WLY983048:WLZ983062 G19:H33" xr:uid="{8D64AB9F-C57D-4746-9072-CC7B132C503D}">
      <formula1>4</formula1>
    </dataValidation>
    <dataValidation type="textLength" operator="equal" allowBlank="1" showInputMessage="1" showErrorMessage="1" error="Company number must be 4 digits." sqref="A20:A33" xr:uid="{75792F3D-BC90-471F-9CBE-BEF8BADA4448}">
      <formula1>4</formula1>
    </dataValidation>
    <dataValidation type="whole" operator="notEqual" allowBlank="1" showInputMessage="1" showErrorMessage="1" errorTitle="Wrong Account" error="NCAS Account 438030 is NOT a transfer account. Contact your OSC analyst before proceeding._x000a_" sqref="C34" xr:uid="{48BD0CCC-1A47-4DF5-B5D7-937D66FE0DB1}">
      <formula1>438030</formula1>
    </dataValidation>
    <dataValidation operator="notEqual" allowBlank="1" showInputMessage="1" showErrorMessage="1" errorTitle="Incorrect Account" error="Account 438030 should not be used.  It is not a transfer account.  Contact your OSC analyst before proceeding." promptTitle="Correct Transfer Accounts " prompt="Transfer accounts listed here must begin with 4380, 438C, 438F, 438P, 438S, 4381._x000a_Account 438030 should not be listed here.  It is not a transfer account." sqref="C20:C33" xr:uid="{6108BAF5-901B-4C65-BD69-137960DAB22A}"/>
  </dataValidations>
  <hyperlinks>
    <hyperlink ref="A41" r:id="rId1" xr:uid="{A012704D-4B60-4702-8DBC-FE22DF58B901}"/>
    <hyperlink ref="A1:Q1" location="Index!A1" display="Index!A1" xr:uid="{64E3F3C2-7E9A-4B8D-9379-A0BF63FEDE61}"/>
  </hyperlinks>
  <printOptions horizontalCentered="1"/>
  <pageMargins left="0.5" right="0.5" top="0.75" bottom="0.5" header="0.5" footer="0.5"/>
  <pageSetup scale="72" orientation="landscape" blackAndWhite="1" r:id="rId2"/>
  <headerFooter alignWithMargins="0">
    <oddFooter>&amp;R&amp;A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8">
    <pageSetUpPr fitToPage="1"/>
  </sheetPr>
  <dimension ref="A1:Z170"/>
  <sheetViews>
    <sheetView showGridLines="0" zoomScaleNormal="100" workbookViewId="0">
      <selection sqref="A1:Q1"/>
    </sheetView>
  </sheetViews>
  <sheetFormatPr defaultRowHeight="15.75" x14ac:dyDescent="0.25"/>
  <cols>
    <col min="1" max="1" width="11.5703125" style="1755" customWidth="1"/>
    <col min="2" max="2" width="1.5703125" style="1755" customWidth="1"/>
    <col min="3" max="3" width="15.42578125" style="1755" customWidth="1"/>
    <col min="4" max="4" width="1.5703125" style="1755" customWidth="1"/>
    <col min="5" max="5" width="24" style="1755" customWidth="1"/>
    <col min="6" max="6" width="1.5703125" style="1755" customWidth="1"/>
    <col min="7" max="7" width="17.42578125" style="1755" customWidth="1"/>
    <col min="8" max="8" width="1.5703125" style="1755" customWidth="1"/>
    <col min="9" max="9" width="18.42578125" style="1755" customWidth="1"/>
    <col min="10" max="10" width="1.5703125" style="1755" customWidth="1"/>
    <col min="11" max="11" width="32.42578125" style="1755" customWidth="1"/>
    <col min="12" max="12" width="2.42578125" style="1755" customWidth="1"/>
    <col min="13" max="13" width="14.5703125" style="1755" customWidth="1"/>
    <col min="14" max="14" width="3" style="1755" customWidth="1"/>
    <col min="15" max="15" width="11" style="1755" customWidth="1"/>
    <col min="16" max="16" width="2.42578125" style="1755" customWidth="1"/>
    <col min="17" max="17" width="10.42578125" style="1755" customWidth="1"/>
    <col min="18" max="18" width="6.5703125" style="1755" customWidth="1"/>
    <col min="19" max="19" width="7" style="1755" hidden="1" customWidth="1"/>
    <col min="20" max="20" width="2" style="1755" hidden="1" customWidth="1"/>
    <col min="21" max="24" width="7" style="1755" hidden="1" customWidth="1"/>
    <col min="25" max="25" width="6.42578125" style="1755" hidden="1" customWidth="1"/>
    <col min="26" max="26" width="9.42578125" style="1755" hidden="1" customWidth="1"/>
    <col min="27" max="263" width="9.42578125" style="1755"/>
    <col min="264" max="264" width="0" style="1755" hidden="1" customWidth="1"/>
    <col min="265" max="265" width="15.42578125" style="1755" customWidth="1"/>
    <col min="266" max="266" width="1.5703125" style="1755" customWidth="1"/>
    <col min="267" max="267" width="22.5703125" style="1755" customWidth="1"/>
    <col min="268" max="268" width="1.5703125" style="1755" customWidth="1"/>
    <col min="269" max="269" width="17.42578125" style="1755" customWidth="1"/>
    <col min="270" max="270" width="1.5703125" style="1755" customWidth="1"/>
    <col min="271" max="271" width="14.42578125" style="1755" customWidth="1"/>
    <col min="272" max="272" width="1.5703125" style="1755" customWidth="1"/>
    <col min="273" max="273" width="28.5703125" style="1755" customWidth="1"/>
    <col min="274" max="274" width="4.5703125" style="1755" customWidth="1"/>
    <col min="275" max="281" width="0" style="1755" hidden="1" customWidth="1"/>
    <col min="282" max="519" width="9.42578125" style="1755"/>
    <col min="520" max="520" width="0" style="1755" hidden="1" customWidth="1"/>
    <col min="521" max="521" width="15.42578125" style="1755" customWidth="1"/>
    <col min="522" max="522" width="1.5703125" style="1755" customWidth="1"/>
    <col min="523" max="523" width="22.5703125" style="1755" customWidth="1"/>
    <col min="524" max="524" width="1.5703125" style="1755" customWidth="1"/>
    <col min="525" max="525" width="17.42578125" style="1755" customWidth="1"/>
    <col min="526" max="526" width="1.5703125" style="1755" customWidth="1"/>
    <col min="527" max="527" width="14.42578125" style="1755" customWidth="1"/>
    <col min="528" max="528" width="1.5703125" style="1755" customWidth="1"/>
    <col min="529" max="529" width="28.5703125" style="1755" customWidth="1"/>
    <col min="530" max="530" width="4.5703125" style="1755" customWidth="1"/>
    <col min="531" max="537" width="0" style="1755" hidden="1" customWidth="1"/>
    <col min="538" max="775" width="9.42578125" style="1755"/>
    <col min="776" max="776" width="0" style="1755" hidden="1" customWidth="1"/>
    <col min="777" max="777" width="15.42578125" style="1755" customWidth="1"/>
    <col min="778" max="778" width="1.5703125" style="1755" customWidth="1"/>
    <col min="779" max="779" width="22.5703125" style="1755" customWidth="1"/>
    <col min="780" max="780" width="1.5703125" style="1755" customWidth="1"/>
    <col min="781" max="781" width="17.42578125" style="1755" customWidth="1"/>
    <col min="782" max="782" width="1.5703125" style="1755" customWidth="1"/>
    <col min="783" max="783" width="14.42578125" style="1755" customWidth="1"/>
    <col min="784" max="784" width="1.5703125" style="1755" customWidth="1"/>
    <col min="785" max="785" width="28.5703125" style="1755" customWidth="1"/>
    <col min="786" max="786" width="4.5703125" style="1755" customWidth="1"/>
    <col min="787" max="793" width="0" style="1755" hidden="1" customWidth="1"/>
    <col min="794" max="1031" width="9.42578125" style="1755"/>
    <col min="1032" max="1032" width="0" style="1755" hidden="1" customWidth="1"/>
    <col min="1033" max="1033" width="15.42578125" style="1755" customWidth="1"/>
    <col min="1034" max="1034" width="1.5703125" style="1755" customWidth="1"/>
    <col min="1035" max="1035" width="22.5703125" style="1755" customWidth="1"/>
    <col min="1036" max="1036" width="1.5703125" style="1755" customWidth="1"/>
    <col min="1037" max="1037" width="17.42578125" style="1755" customWidth="1"/>
    <col min="1038" max="1038" width="1.5703125" style="1755" customWidth="1"/>
    <col min="1039" max="1039" width="14.42578125" style="1755" customWidth="1"/>
    <col min="1040" max="1040" width="1.5703125" style="1755" customWidth="1"/>
    <col min="1041" max="1041" width="28.5703125" style="1755" customWidth="1"/>
    <col min="1042" max="1042" width="4.5703125" style="1755" customWidth="1"/>
    <col min="1043" max="1049" width="0" style="1755" hidden="1" customWidth="1"/>
    <col min="1050" max="1287" width="9.42578125" style="1755"/>
    <col min="1288" max="1288" width="0" style="1755" hidden="1" customWidth="1"/>
    <col min="1289" max="1289" width="15.42578125" style="1755" customWidth="1"/>
    <col min="1290" max="1290" width="1.5703125" style="1755" customWidth="1"/>
    <col min="1291" max="1291" width="22.5703125" style="1755" customWidth="1"/>
    <col min="1292" max="1292" width="1.5703125" style="1755" customWidth="1"/>
    <col min="1293" max="1293" width="17.42578125" style="1755" customWidth="1"/>
    <col min="1294" max="1294" width="1.5703125" style="1755" customWidth="1"/>
    <col min="1295" max="1295" width="14.42578125" style="1755" customWidth="1"/>
    <col min="1296" max="1296" width="1.5703125" style="1755" customWidth="1"/>
    <col min="1297" max="1297" width="28.5703125" style="1755" customWidth="1"/>
    <col min="1298" max="1298" width="4.5703125" style="1755" customWidth="1"/>
    <col min="1299" max="1305" width="0" style="1755" hidden="1" customWidth="1"/>
    <col min="1306" max="1543" width="9.42578125" style="1755"/>
    <col min="1544" max="1544" width="0" style="1755" hidden="1" customWidth="1"/>
    <col min="1545" max="1545" width="15.42578125" style="1755" customWidth="1"/>
    <col min="1546" max="1546" width="1.5703125" style="1755" customWidth="1"/>
    <col min="1547" max="1547" width="22.5703125" style="1755" customWidth="1"/>
    <col min="1548" max="1548" width="1.5703125" style="1755" customWidth="1"/>
    <col min="1549" max="1549" width="17.42578125" style="1755" customWidth="1"/>
    <col min="1550" max="1550" width="1.5703125" style="1755" customWidth="1"/>
    <col min="1551" max="1551" width="14.42578125" style="1755" customWidth="1"/>
    <col min="1552" max="1552" width="1.5703125" style="1755" customWidth="1"/>
    <col min="1553" max="1553" width="28.5703125" style="1755" customWidth="1"/>
    <col min="1554" max="1554" width="4.5703125" style="1755" customWidth="1"/>
    <col min="1555" max="1561" width="0" style="1755" hidden="1" customWidth="1"/>
    <col min="1562" max="1799" width="9.42578125" style="1755"/>
    <col min="1800" max="1800" width="0" style="1755" hidden="1" customWidth="1"/>
    <col min="1801" max="1801" width="15.42578125" style="1755" customWidth="1"/>
    <col min="1802" max="1802" width="1.5703125" style="1755" customWidth="1"/>
    <col min="1803" max="1803" width="22.5703125" style="1755" customWidth="1"/>
    <col min="1804" max="1804" width="1.5703125" style="1755" customWidth="1"/>
    <col min="1805" max="1805" width="17.42578125" style="1755" customWidth="1"/>
    <col min="1806" max="1806" width="1.5703125" style="1755" customWidth="1"/>
    <col min="1807" max="1807" width="14.42578125" style="1755" customWidth="1"/>
    <col min="1808" max="1808" width="1.5703125" style="1755" customWidth="1"/>
    <col min="1809" max="1809" width="28.5703125" style="1755" customWidth="1"/>
    <col min="1810" max="1810" width="4.5703125" style="1755" customWidth="1"/>
    <col min="1811" max="1817" width="0" style="1755" hidden="1" customWidth="1"/>
    <col min="1818" max="2055" width="9.42578125" style="1755"/>
    <col min="2056" max="2056" width="0" style="1755" hidden="1" customWidth="1"/>
    <col min="2057" max="2057" width="15.42578125" style="1755" customWidth="1"/>
    <col min="2058" max="2058" width="1.5703125" style="1755" customWidth="1"/>
    <col min="2059" max="2059" width="22.5703125" style="1755" customWidth="1"/>
    <col min="2060" max="2060" width="1.5703125" style="1755" customWidth="1"/>
    <col min="2061" max="2061" width="17.42578125" style="1755" customWidth="1"/>
    <col min="2062" max="2062" width="1.5703125" style="1755" customWidth="1"/>
    <col min="2063" max="2063" width="14.42578125" style="1755" customWidth="1"/>
    <col min="2064" max="2064" width="1.5703125" style="1755" customWidth="1"/>
    <col min="2065" max="2065" width="28.5703125" style="1755" customWidth="1"/>
    <col min="2066" max="2066" width="4.5703125" style="1755" customWidth="1"/>
    <col min="2067" max="2073" width="0" style="1755" hidden="1" customWidth="1"/>
    <col min="2074" max="2311" width="9.42578125" style="1755"/>
    <col min="2312" max="2312" width="0" style="1755" hidden="1" customWidth="1"/>
    <col min="2313" max="2313" width="15.42578125" style="1755" customWidth="1"/>
    <col min="2314" max="2314" width="1.5703125" style="1755" customWidth="1"/>
    <col min="2315" max="2315" width="22.5703125" style="1755" customWidth="1"/>
    <col min="2316" max="2316" width="1.5703125" style="1755" customWidth="1"/>
    <col min="2317" max="2317" width="17.42578125" style="1755" customWidth="1"/>
    <col min="2318" max="2318" width="1.5703125" style="1755" customWidth="1"/>
    <col min="2319" max="2319" width="14.42578125" style="1755" customWidth="1"/>
    <col min="2320" max="2320" width="1.5703125" style="1755" customWidth="1"/>
    <col min="2321" max="2321" width="28.5703125" style="1755" customWidth="1"/>
    <col min="2322" max="2322" width="4.5703125" style="1755" customWidth="1"/>
    <col min="2323" max="2329" width="0" style="1755" hidden="1" customWidth="1"/>
    <col min="2330" max="2567" width="9.42578125" style="1755"/>
    <col min="2568" max="2568" width="0" style="1755" hidden="1" customWidth="1"/>
    <col min="2569" max="2569" width="15.42578125" style="1755" customWidth="1"/>
    <col min="2570" max="2570" width="1.5703125" style="1755" customWidth="1"/>
    <col min="2571" max="2571" width="22.5703125" style="1755" customWidth="1"/>
    <col min="2572" max="2572" width="1.5703125" style="1755" customWidth="1"/>
    <col min="2573" max="2573" width="17.42578125" style="1755" customWidth="1"/>
    <col min="2574" max="2574" width="1.5703125" style="1755" customWidth="1"/>
    <col min="2575" max="2575" width="14.42578125" style="1755" customWidth="1"/>
    <col min="2576" max="2576" width="1.5703125" style="1755" customWidth="1"/>
    <col min="2577" max="2577" width="28.5703125" style="1755" customWidth="1"/>
    <col min="2578" max="2578" width="4.5703125" style="1755" customWidth="1"/>
    <col min="2579" max="2585" width="0" style="1755" hidden="1" customWidth="1"/>
    <col min="2586" max="2823" width="9.42578125" style="1755"/>
    <col min="2824" max="2824" width="0" style="1755" hidden="1" customWidth="1"/>
    <col min="2825" max="2825" width="15.42578125" style="1755" customWidth="1"/>
    <col min="2826" max="2826" width="1.5703125" style="1755" customWidth="1"/>
    <col min="2827" max="2827" width="22.5703125" style="1755" customWidth="1"/>
    <col min="2828" max="2828" width="1.5703125" style="1755" customWidth="1"/>
    <col min="2829" max="2829" width="17.42578125" style="1755" customWidth="1"/>
    <col min="2830" max="2830" width="1.5703125" style="1755" customWidth="1"/>
    <col min="2831" max="2831" width="14.42578125" style="1755" customWidth="1"/>
    <col min="2832" max="2832" width="1.5703125" style="1755" customWidth="1"/>
    <col min="2833" max="2833" width="28.5703125" style="1755" customWidth="1"/>
    <col min="2834" max="2834" width="4.5703125" style="1755" customWidth="1"/>
    <col min="2835" max="2841" width="0" style="1755" hidden="1" customWidth="1"/>
    <col min="2842" max="3079" width="9.42578125" style="1755"/>
    <col min="3080" max="3080" width="0" style="1755" hidden="1" customWidth="1"/>
    <col min="3081" max="3081" width="15.42578125" style="1755" customWidth="1"/>
    <col min="3082" max="3082" width="1.5703125" style="1755" customWidth="1"/>
    <col min="3083" max="3083" width="22.5703125" style="1755" customWidth="1"/>
    <col min="3084" max="3084" width="1.5703125" style="1755" customWidth="1"/>
    <col min="3085" max="3085" width="17.42578125" style="1755" customWidth="1"/>
    <col min="3086" max="3086" width="1.5703125" style="1755" customWidth="1"/>
    <col min="3087" max="3087" width="14.42578125" style="1755" customWidth="1"/>
    <col min="3088" max="3088" width="1.5703125" style="1755" customWidth="1"/>
    <col min="3089" max="3089" width="28.5703125" style="1755" customWidth="1"/>
    <col min="3090" max="3090" width="4.5703125" style="1755" customWidth="1"/>
    <col min="3091" max="3097" width="0" style="1755" hidden="1" customWidth="1"/>
    <col min="3098" max="3335" width="9.42578125" style="1755"/>
    <col min="3336" max="3336" width="0" style="1755" hidden="1" customWidth="1"/>
    <col min="3337" max="3337" width="15.42578125" style="1755" customWidth="1"/>
    <col min="3338" max="3338" width="1.5703125" style="1755" customWidth="1"/>
    <col min="3339" max="3339" width="22.5703125" style="1755" customWidth="1"/>
    <col min="3340" max="3340" width="1.5703125" style="1755" customWidth="1"/>
    <col min="3341" max="3341" width="17.42578125" style="1755" customWidth="1"/>
    <col min="3342" max="3342" width="1.5703125" style="1755" customWidth="1"/>
    <col min="3343" max="3343" width="14.42578125" style="1755" customWidth="1"/>
    <col min="3344" max="3344" width="1.5703125" style="1755" customWidth="1"/>
    <col min="3345" max="3345" width="28.5703125" style="1755" customWidth="1"/>
    <col min="3346" max="3346" width="4.5703125" style="1755" customWidth="1"/>
    <col min="3347" max="3353" width="0" style="1755" hidden="1" customWidth="1"/>
    <col min="3354" max="3591" width="9.42578125" style="1755"/>
    <col min="3592" max="3592" width="0" style="1755" hidden="1" customWidth="1"/>
    <col min="3593" max="3593" width="15.42578125" style="1755" customWidth="1"/>
    <col min="3594" max="3594" width="1.5703125" style="1755" customWidth="1"/>
    <col min="3595" max="3595" width="22.5703125" style="1755" customWidth="1"/>
    <col min="3596" max="3596" width="1.5703125" style="1755" customWidth="1"/>
    <col min="3597" max="3597" width="17.42578125" style="1755" customWidth="1"/>
    <col min="3598" max="3598" width="1.5703125" style="1755" customWidth="1"/>
    <col min="3599" max="3599" width="14.42578125" style="1755" customWidth="1"/>
    <col min="3600" max="3600" width="1.5703125" style="1755" customWidth="1"/>
    <col min="3601" max="3601" width="28.5703125" style="1755" customWidth="1"/>
    <col min="3602" max="3602" width="4.5703125" style="1755" customWidth="1"/>
    <col min="3603" max="3609" width="0" style="1755" hidden="1" customWidth="1"/>
    <col min="3610" max="3847" width="9.42578125" style="1755"/>
    <col min="3848" max="3848" width="0" style="1755" hidden="1" customWidth="1"/>
    <col min="3849" max="3849" width="15.42578125" style="1755" customWidth="1"/>
    <col min="3850" max="3850" width="1.5703125" style="1755" customWidth="1"/>
    <col min="3851" max="3851" width="22.5703125" style="1755" customWidth="1"/>
    <col min="3852" max="3852" width="1.5703125" style="1755" customWidth="1"/>
    <col min="3853" max="3853" width="17.42578125" style="1755" customWidth="1"/>
    <col min="3854" max="3854" width="1.5703125" style="1755" customWidth="1"/>
    <col min="3855" max="3855" width="14.42578125" style="1755" customWidth="1"/>
    <col min="3856" max="3856" width="1.5703125" style="1755" customWidth="1"/>
    <col min="3857" max="3857" width="28.5703125" style="1755" customWidth="1"/>
    <col min="3858" max="3858" width="4.5703125" style="1755" customWidth="1"/>
    <col min="3859" max="3865" width="0" style="1755" hidden="1" customWidth="1"/>
    <col min="3866" max="4103" width="9.42578125" style="1755"/>
    <col min="4104" max="4104" width="0" style="1755" hidden="1" customWidth="1"/>
    <col min="4105" max="4105" width="15.42578125" style="1755" customWidth="1"/>
    <col min="4106" max="4106" width="1.5703125" style="1755" customWidth="1"/>
    <col min="4107" max="4107" width="22.5703125" style="1755" customWidth="1"/>
    <col min="4108" max="4108" width="1.5703125" style="1755" customWidth="1"/>
    <col min="4109" max="4109" width="17.42578125" style="1755" customWidth="1"/>
    <col min="4110" max="4110" width="1.5703125" style="1755" customWidth="1"/>
    <col min="4111" max="4111" width="14.42578125" style="1755" customWidth="1"/>
    <col min="4112" max="4112" width="1.5703125" style="1755" customWidth="1"/>
    <col min="4113" max="4113" width="28.5703125" style="1755" customWidth="1"/>
    <col min="4114" max="4114" width="4.5703125" style="1755" customWidth="1"/>
    <col min="4115" max="4121" width="0" style="1755" hidden="1" customWidth="1"/>
    <col min="4122" max="4359" width="9.42578125" style="1755"/>
    <col min="4360" max="4360" width="0" style="1755" hidden="1" customWidth="1"/>
    <col min="4361" max="4361" width="15.42578125" style="1755" customWidth="1"/>
    <col min="4362" max="4362" width="1.5703125" style="1755" customWidth="1"/>
    <col min="4363" max="4363" width="22.5703125" style="1755" customWidth="1"/>
    <col min="4364" max="4364" width="1.5703125" style="1755" customWidth="1"/>
    <col min="4365" max="4365" width="17.42578125" style="1755" customWidth="1"/>
    <col min="4366" max="4366" width="1.5703125" style="1755" customWidth="1"/>
    <col min="4367" max="4367" width="14.42578125" style="1755" customWidth="1"/>
    <col min="4368" max="4368" width="1.5703125" style="1755" customWidth="1"/>
    <col min="4369" max="4369" width="28.5703125" style="1755" customWidth="1"/>
    <col min="4370" max="4370" width="4.5703125" style="1755" customWidth="1"/>
    <col min="4371" max="4377" width="0" style="1755" hidden="1" customWidth="1"/>
    <col min="4378" max="4615" width="9.42578125" style="1755"/>
    <col min="4616" max="4616" width="0" style="1755" hidden="1" customWidth="1"/>
    <col min="4617" max="4617" width="15.42578125" style="1755" customWidth="1"/>
    <col min="4618" max="4618" width="1.5703125" style="1755" customWidth="1"/>
    <col min="4619" max="4619" width="22.5703125" style="1755" customWidth="1"/>
    <col min="4620" max="4620" width="1.5703125" style="1755" customWidth="1"/>
    <col min="4621" max="4621" width="17.42578125" style="1755" customWidth="1"/>
    <col min="4622" max="4622" width="1.5703125" style="1755" customWidth="1"/>
    <col min="4623" max="4623" width="14.42578125" style="1755" customWidth="1"/>
    <col min="4624" max="4624" width="1.5703125" style="1755" customWidth="1"/>
    <col min="4625" max="4625" width="28.5703125" style="1755" customWidth="1"/>
    <col min="4626" max="4626" width="4.5703125" style="1755" customWidth="1"/>
    <col min="4627" max="4633" width="0" style="1755" hidden="1" customWidth="1"/>
    <col min="4634" max="4871" width="9.42578125" style="1755"/>
    <col min="4872" max="4872" width="0" style="1755" hidden="1" customWidth="1"/>
    <col min="4873" max="4873" width="15.42578125" style="1755" customWidth="1"/>
    <col min="4874" max="4874" width="1.5703125" style="1755" customWidth="1"/>
    <col min="4875" max="4875" width="22.5703125" style="1755" customWidth="1"/>
    <col min="4876" max="4876" width="1.5703125" style="1755" customWidth="1"/>
    <col min="4877" max="4877" width="17.42578125" style="1755" customWidth="1"/>
    <col min="4878" max="4878" width="1.5703125" style="1755" customWidth="1"/>
    <col min="4879" max="4879" width="14.42578125" style="1755" customWidth="1"/>
    <col min="4880" max="4880" width="1.5703125" style="1755" customWidth="1"/>
    <col min="4881" max="4881" width="28.5703125" style="1755" customWidth="1"/>
    <col min="4882" max="4882" width="4.5703125" style="1755" customWidth="1"/>
    <col min="4883" max="4889" width="0" style="1755" hidden="1" customWidth="1"/>
    <col min="4890" max="5127" width="9.42578125" style="1755"/>
    <col min="5128" max="5128" width="0" style="1755" hidden="1" customWidth="1"/>
    <col min="5129" max="5129" width="15.42578125" style="1755" customWidth="1"/>
    <col min="5130" max="5130" width="1.5703125" style="1755" customWidth="1"/>
    <col min="5131" max="5131" width="22.5703125" style="1755" customWidth="1"/>
    <col min="5132" max="5132" width="1.5703125" style="1755" customWidth="1"/>
    <col min="5133" max="5133" width="17.42578125" style="1755" customWidth="1"/>
    <col min="5134" max="5134" width="1.5703125" style="1755" customWidth="1"/>
    <col min="5135" max="5135" width="14.42578125" style="1755" customWidth="1"/>
    <col min="5136" max="5136" width="1.5703125" style="1755" customWidth="1"/>
    <col min="5137" max="5137" width="28.5703125" style="1755" customWidth="1"/>
    <col min="5138" max="5138" width="4.5703125" style="1755" customWidth="1"/>
    <col min="5139" max="5145" width="0" style="1755" hidden="1" customWidth="1"/>
    <col min="5146" max="5383" width="9.42578125" style="1755"/>
    <col min="5384" max="5384" width="0" style="1755" hidden="1" customWidth="1"/>
    <col min="5385" max="5385" width="15.42578125" style="1755" customWidth="1"/>
    <col min="5386" max="5386" width="1.5703125" style="1755" customWidth="1"/>
    <col min="5387" max="5387" width="22.5703125" style="1755" customWidth="1"/>
    <col min="5388" max="5388" width="1.5703125" style="1755" customWidth="1"/>
    <col min="5389" max="5389" width="17.42578125" style="1755" customWidth="1"/>
    <col min="5390" max="5390" width="1.5703125" style="1755" customWidth="1"/>
    <col min="5391" max="5391" width="14.42578125" style="1755" customWidth="1"/>
    <col min="5392" max="5392" width="1.5703125" style="1755" customWidth="1"/>
    <col min="5393" max="5393" width="28.5703125" style="1755" customWidth="1"/>
    <col min="5394" max="5394" width="4.5703125" style="1755" customWidth="1"/>
    <col min="5395" max="5401" width="0" style="1755" hidden="1" customWidth="1"/>
    <col min="5402" max="5639" width="9.42578125" style="1755"/>
    <col min="5640" max="5640" width="0" style="1755" hidden="1" customWidth="1"/>
    <col min="5641" max="5641" width="15.42578125" style="1755" customWidth="1"/>
    <col min="5642" max="5642" width="1.5703125" style="1755" customWidth="1"/>
    <col min="5643" max="5643" width="22.5703125" style="1755" customWidth="1"/>
    <col min="5644" max="5644" width="1.5703125" style="1755" customWidth="1"/>
    <col min="5645" max="5645" width="17.42578125" style="1755" customWidth="1"/>
    <col min="5646" max="5646" width="1.5703125" style="1755" customWidth="1"/>
    <col min="5647" max="5647" width="14.42578125" style="1755" customWidth="1"/>
    <col min="5648" max="5648" width="1.5703125" style="1755" customWidth="1"/>
    <col min="5649" max="5649" width="28.5703125" style="1755" customWidth="1"/>
    <col min="5650" max="5650" width="4.5703125" style="1755" customWidth="1"/>
    <col min="5651" max="5657" width="0" style="1755" hidden="1" customWidth="1"/>
    <col min="5658" max="5895" width="9.42578125" style="1755"/>
    <col min="5896" max="5896" width="0" style="1755" hidden="1" customWidth="1"/>
    <col min="5897" max="5897" width="15.42578125" style="1755" customWidth="1"/>
    <col min="5898" max="5898" width="1.5703125" style="1755" customWidth="1"/>
    <col min="5899" max="5899" width="22.5703125" style="1755" customWidth="1"/>
    <col min="5900" max="5900" width="1.5703125" style="1755" customWidth="1"/>
    <col min="5901" max="5901" width="17.42578125" style="1755" customWidth="1"/>
    <col min="5902" max="5902" width="1.5703125" style="1755" customWidth="1"/>
    <col min="5903" max="5903" width="14.42578125" style="1755" customWidth="1"/>
    <col min="5904" max="5904" width="1.5703125" style="1755" customWidth="1"/>
    <col min="5905" max="5905" width="28.5703125" style="1755" customWidth="1"/>
    <col min="5906" max="5906" width="4.5703125" style="1755" customWidth="1"/>
    <col min="5907" max="5913" width="0" style="1755" hidden="1" customWidth="1"/>
    <col min="5914" max="6151" width="9.42578125" style="1755"/>
    <col min="6152" max="6152" width="0" style="1755" hidden="1" customWidth="1"/>
    <col min="6153" max="6153" width="15.42578125" style="1755" customWidth="1"/>
    <col min="6154" max="6154" width="1.5703125" style="1755" customWidth="1"/>
    <col min="6155" max="6155" width="22.5703125" style="1755" customWidth="1"/>
    <col min="6156" max="6156" width="1.5703125" style="1755" customWidth="1"/>
    <col min="6157" max="6157" width="17.42578125" style="1755" customWidth="1"/>
    <col min="6158" max="6158" width="1.5703125" style="1755" customWidth="1"/>
    <col min="6159" max="6159" width="14.42578125" style="1755" customWidth="1"/>
    <col min="6160" max="6160" width="1.5703125" style="1755" customWidth="1"/>
    <col min="6161" max="6161" width="28.5703125" style="1755" customWidth="1"/>
    <col min="6162" max="6162" width="4.5703125" style="1755" customWidth="1"/>
    <col min="6163" max="6169" width="0" style="1755" hidden="1" customWidth="1"/>
    <col min="6170" max="6407" width="9.42578125" style="1755"/>
    <col min="6408" max="6408" width="0" style="1755" hidden="1" customWidth="1"/>
    <col min="6409" max="6409" width="15.42578125" style="1755" customWidth="1"/>
    <col min="6410" max="6410" width="1.5703125" style="1755" customWidth="1"/>
    <col min="6411" max="6411" width="22.5703125" style="1755" customWidth="1"/>
    <col min="6412" max="6412" width="1.5703125" style="1755" customWidth="1"/>
    <col min="6413" max="6413" width="17.42578125" style="1755" customWidth="1"/>
    <col min="6414" max="6414" width="1.5703125" style="1755" customWidth="1"/>
    <col min="6415" max="6415" width="14.42578125" style="1755" customWidth="1"/>
    <col min="6416" max="6416" width="1.5703125" style="1755" customWidth="1"/>
    <col min="6417" max="6417" width="28.5703125" style="1755" customWidth="1"/>
    <col min="6418" max="6418" width="4.5703125" style="1755" customWidth="1"/>
    <col min="6419" max="6425" width="0" style="1755" hidden="1" customWidth="1"/>
    <col min="6426" max="6663" width="9.42578125" style="1755"/>
    <col min="6664" max="6664" width="0" style="1755" hidden="1" customWidth="1"/>
    <col min="6665" max="6665" width="15.42578125" style="1755" customWidth="1"/>
    <col min="6666" max="6666" width="1.5703125" style="1755" customWidth="1"/>
    <col min="6667" max="6667" width="22.5703125" style="1755" customWidth="1"/>
    <col min="6668" max="6668" width="1.5703125" style="1755" customWidth="1"/>
    <col min="6669" max="6669" width="17.42578125" style="1755" customWidth="1"/>
    <col min="6670" max="6670" width="1.5703125" style="1755" customWidth="1"/>
    <col min="6671" max="6671" width="14.42578125" style="1755" customWidth="1"/>
    <col min="6672" max="6672" width="1.5703125" style="1755" customWidth="1"/>
    <col min="6673" max="6673" width="28.5703125" style="1755" customWidth="1"/>
    <col min="6674" max="6674" width="4.5703125" style="1755" customWidth="1"/>
    <col min="6675" max="6681" width="0" style="1755" hidden="1" customWidth="1"/>
    <col min="6682" max="6919" width="9.42578125" style="1755"/>
    <col min="6920" max="6920" width="0" style="1755" hidden="1" customWidth="1"/>
    <col min="6921" max="6921" width="15.42578125" style="1755" customWidth="1"/>
    <col min="6922" max="6922" width="1.5703125" style="1755" customWidth="1"/>
    <col min="6923" max="6923" width="22.5703125" style="1755" customWidth="1"/>
    <col min="6924" max="6924" width="1.5703125" style="1755" customWidth="1"/>
    <col min="6925" max="6925" width="17.42578125" style="1755" customWidth="1"/>
    <col min="6926" max="6926" width="1.5703125" style="1755" customWidth="1"/>
    <col min="6927" max="6927" width="14.42578125" style="1755" customWidth="1"/>
    <col min="6928" max="6928" width="1.5703125" style="1755" customWidth="1"/>
    <col min="6929" max="6929" width="28.5703125" style="1755" customWidth="1"/>
    <col min="6930" max="6930" width="4.5703125" style="1755" customWidth="1"/>
    <col min="6931" max="6937" width="0" style="1755" hidden="1" customWidth="1"/>
    <col min="6938" max="7175" width="9.42578125" style="1755"/>
    <col min="7176" max="7176" width="0" style="1755" hidden="1" customWidth="1"/>
    <col min="7177" max="7177" width="15.42578125" style="1755" customWidth="1"/>
    <col min="7178" max="7178" width="1.5703125" style="1755" customWidth="1"/>
    <col min="7179" max="7179" width="22.5703125" style="1755" customWidth="1"/>
    <col min="7180" max="7180" width="1.5703125" style="1755" customWidth="1"/>
    <col min="7181" max="7181" width="17.42578125" style="1755" customWidth="1"/>
    <col min="7182" max="7182" width="1.5703125" style="1755" customWidth="1"/>
    <col min="7183" max="7183" width="14.42578125" style="1755" customWidth="1"/>
    <col min="7184" max="7184" width="1.5703125" style="1755" customWidth="1"/>
    <col min="7185" max="7185" width="28.5703125" style="1755" customWidth="1"/>
    <col min="7186" max="7186" width="4.5703125" style="1755" customWidth="1"/>
    <col min="7187" max="7193" width="0" style="1755" hidden="1" customWidth="1"/>
    <col min="7194" max="7431" width="9.42578125" style="1755"/>
    <col min="7432" max="7432" width="0" style="1755" hidden="1" customWidth="1"/>
    <col min="7433" max="7433" width="15.42578125" style="1755" customWidth="1"/>
    <col min="7434" max="7434" width="1.5703125" style="1755" customWidth="1"/>
    <col min="7435" max="7435" width="22.5703125" style="1755" customWidth="1"/>
    <col min="7436" max="7436" width="1.5703125" style="1755" customWidth="1"/>
    <col min="7437" max="7437" width="17.42578125" style="1755" customWidth="1"/>
    <col min="7438" max="7438" width="1.5703125" style="1755" customWidth="1"/>
    <col min="7439" max="7439" width="14.42578125" style="1755" customWidth="1"/>
    <col min="7440" max="7440" width="1.5703125" style="1755" customWidth="1"/>
    <col min="7441" max="7441" width="28.5703125" style="1755" customWidth="1"/>
    <col min="7442" max="7442" width="4.5703125" style="1755" customWidth="1"/>
    <col min="7443" max="7449" width="0" style="1755" hidden="1" customWidth="1"/>
    <col min="7450" max="7687" width="9.42578125" style="1755"/>
    <col min="7688" max="7688" width="0" style="1755" hidden="1" customWidth="1"/>
    <col min="7689" max="7689" width="15.42578125" style="1755" customWidth="1"/>
    <col min="7690" max="7690" width="1.5703125" style="1755" customWidth="1"/>
    <col min="7691" max="7691" width="22.5703125" style="1755" customWidth="1"/>
    <col min="7692" max="7692" width="1.5703125" style="1755" customWidth="1"/>
    <col min="7693" max="7693" width="17.42578125" style="1755" customWidth="1"/>
    <col min="7694" max="7694" width="1.5703125" style="1755" customWidth="1"/>
    <col min="7695" max="7695" width="14.42578125" style="1755" customWidth="1"/>
    <col min="7696" max="7696" width="1.5703125" style="1755" customWidth="1"/>
    <col min="7697" max="7697" width="28.5703125" style="1755" customWidth="1"/>
    <col min="7698" max="7698" width="4.5703125" style="1755" customWidth="1"/>
    <col min="7699" max="7705" width="0" style="1755" hidden="1" customWidth="1"/>
    <col min="7706" max="7943" width="9.42578125" style="1755"/>
    <col min="7944" max="7944" width="0" style="1755" hidden="1" customWidth="1"/>
    <col min="7945" max="7945" width="15.42578125" style="1755" customWidth="1"/>
    <col min="7946" max="7946" width="1.5703125" style="1755" customWidth="1"/>
    <col min="7947" max="7947" width="22.5703125" style="1755" customWidth="1"/>
    <col min="7948" max="7948" width="1.5703125" style="1755" customWidth="1"/>
    <col min="7949" max="7949" width="17.42578125" style="1755" customWidth="1"/>
    <col min="7950" max="7950" width="1.5703125" style="1755" customWidth="1"/>
    <col min="7951" max="7951" width="14.42578125" style="1755" customWidth="1"/>
    <col min="7952" max="7952" width="1.5703125" style="1755" customWidth="1"/>
    <col min="7953" max="7953" width="28.5703125" style="1755" customWidth="1"/>
    <col min="7954" max="7954" width="4.5703125" style="1755" customWidth="1"/>
    <col min="7955" max="7961" width="0" style="1755" hidden="1" customWidth="1"/>
    <col min="7962" max="8199" width="9.42578125" style="1755"/>
    <col min="8200" max="8200" width="0" style="1755" hidden="1" customWidth="1"/>
    <col min="8201" max="8201" width="15.42578125" style="1755" customWidth="1"/>
    <col min="8202" max="8202" width="1.5703125" style="1755" customWidth="1"/>
    <col min="8203" max="8203" width="22.5703125" style="1755" customWidth="1"/>
    <col min="8204" max="8204" width="1.5703125" style="1755" customWidth="1"/>
    <col min="8205" max="8205" width="17.42578125" style="1755" customWidth="1"/>
    <col min="8206" max="8206" width="1.5703125" style="1755" customWidth="1"/>
    <col min="8207" max="8207" width="14.42578125" style="1755" customWidth="1"/>
    <col min="8208" max="8208" width="1.5703125" style="1755" customWidth="1"/>
    <col min="8209" max="8209" width="28.5703125" style="1755" customWidth="1"/>
    <col min="8210" max="8210" width="4.5703125" style="1755" customWidth="1"/>
    <col min="8211" max="8217" width="0" style="1755" hidden="1" customWidth="1"/>
    <col min="8218" max="8455" width="9.42578125" style="1755"/>
    <col min="8456" max="8456" width="0" style="1755" hidden="1" customWidth="1"/>
    <col min="8457" max="8457" width="15.42578125" style="1755" customWidth="1"/>
    <col min="8458" max="8458" width="1.5703125" style="1755" customWidth="1"/>
    <col min="8459" max="8459" width="22.5703125" style="1755" customWidth="1"/>
    <col min="8460" max="8460" width="1.5703125" style="1755" customWidth="1"/>
    <col min="8461" max="8461" width="17.42578125" style="1755" customWidth="1"/>
    <col min="8462" max="8462" width="1.5703125" style="1755" customWidth="1"/>
    <col min="8463" max="8463" width="14.42578125" style="1755" customWidth="1"/>
    <col min="8464" max="8464" width="1.5703125" style="1755" customWidth="1"/>
    <col min="8465" max="8465" width="28.5703125" style="1755" customWidth="1"/>
    <col min="8466" max="8466" width="4.5703125" style="1755" customWidth="1"/>
    <col min="8467" max="8473" width="0" style="1755" hidden="1" customWidth="1"/>
    <col min="8474" max="8711" width="9.42578125" style="1755"/>
    <col min="8712" max="8712" width="0" style="1755" hidden="1" customWidth="1"/>
    <col min="8713" max="8713" width="15.42578125" style="1755" customWidth="1"/>
    <col min="8714" max="8714" width="1.5703125" style="1755" customWidth="1"/>
    <col min="8715" max="8715" width="22.5703125" style="1755" customWidth="1"/>
    <col min="8716" max="8716" width="1.5703125" style="1755" customWidth="1"/>
    <col min="8717" max="8717" width="17.42578125" style="1755" customWidth="1"/>
    <col min="8718" max="8718" width="1.5703125" style="1755" customWidth="1"/>
    <col min="8719" max="8719" width="14.42578125" style="1755" customWidth="1"/>
    <col min="8720" max="8720" width="1.5703125" style="1755" customWidth="1"/>
    <col min="8721" max="8721" width="28.5703125" style="1755" customWidth="1"/>
    <col min="8722" max="8722" width="4.5703125" style="1755" customWidth="1"/>
    <col min="8723" max="8729" width="0" style="1755" hidden="1" customWidth="1"/>
    <col min="8730" max="8967" width="9.42578125" style="1755"/>
    <col min="8968" max="8968" width="0" style="1755" hidden="1" customWidth="1"/>
    <col min="8969" max="8969" width="15.42578125" style="1755" customWidth="1"/>
    <col min="8970" max="8970" width="1.5703125" style="1755" customWidth="1"/>
    <col min="8971" max="8971" width="22.5703125" style="1755" customWidth="1"/>
    <col min="8972" max="8972" width="1.5703125" style="1755" customWidth="1"/>
    <col min="8973" max="8973" width="17.42578125" style="1755" customWidth="1"/>
    <col min="8974" max="8974" width="1.5703125" style="1755" customWidth="1"/>
    <col min="8975" max="8975" width="14.42578125" style="1755" customWidth="1"/>
    <col min="8976" max="8976" width="1.5703125" style="1755" customWidth="1"/>
    <col min="8977" max="8977" width="28.5703125" style="1755" customWidth="1"/>
    <col min="8978" max="8978" width="4.5703125" style="1755" customWidth="1"/>
    <col min="8979" max="8985" width="0" style="1755" hidden="1" customWidth="1"/>
    <col min="8986" max="9223" width="9.42578125" style="1755"/>
    <col min="9224" max="9224" width="0" style="1755" hidden="1" customWidth="1"/>
    <col min="9225" max="9225" width="15.42578125" style="1755" customWidth="1"/>
    <col min="9226" max="9226" width="1.5703125" style="1755" customWidth="1"/>
    <col min="9227" max="9227" width="22.5703125" style="1755" customWidth="1"/>
    <col min="9228" max="9228" width="1.5703125" style="1755" customWidth="1"/>
    <col min="9229" max="9229" width="17.42578125" style="1755" customWidth="1"/>
    <col min="9230" max="9230" width="1.5703125" style="1755" customWidth="1"/>
    <col min="9231" max="9231" width="14.42578125" style="1755" customWidth="1"/>
    <col min="9232" max="9232" width="1.5703125" style="1755" customWidth="1"/>
    <col min="9233" max="9233" width="28.5703125" style="1755" customWidth="1"/>
    <col min="9234" max="9234" width="4.5703125" style="1755" customWidth="1"/>
    <col min="9235" max="9241" width="0" style="1755" hidden="1" customWidth="1"/>
    <col min="9242" max="9479" width="9.42578125" style="1755"/>
    <col min="9480" max="9480" width="0" style="1755" hidden="1" customWidth="1"/>
    <col min="9481" max="9481" width="15.42578125" style="1755" customWidth="1"/>
    <col min="9482" max="9482" width="1.5703125" style="1755" customWidth="1"/>
    <col min="9483" max="9483" width="22.5703125" style="1755" customWidth="1"/>
    <col min="9484" max="9484" width="1.5703125" style="1755" customWidth="1"/>
    <col min="9485" max="9485" width="17.42578125" style="1755" customWidth="1"/>
    <col min="9486" max="9486" width="1.5703125" style="1755" customWidth="1"/>
    <col min="9487" max="9487" width="14.42578125" style="1755" customWidth="1"/>
    <col min="9488" max="9488" width="1.5703125" style="1755" customWidth="1"/>
    <col min="9489" max="9489" width="28.5703125" style="1755" customWidth="1"/>
    <col min="9490" max="9490" width="4.5703125" style="1755" customWidth="1"/>
    <col min="9491" max="9497" width="0" style="1755" hidden="1" customWidth="1"/>
    <col min="9498" max="9735" width="9.42578125" style="1755"/>
    <col min="9736" max="9736" width="0" style="1755" hidden="1" customWidth="1"/>
    <col min="9737" max="9737" width="15.42578125" style="1755" customWidth="1"/>
    <col min="9738" max="9738" width="1.5703125" style="1755" customWidth="1"/>
    <col min="9739" max="9739" width="22.5703125" style="1755" customWidth="1"/>
    <col min="9740" max="9740" width="1.5703125" style="1755" customWidth="1"/>
    <col min="9741" max="9741" width="17.42578125" style="1755" customWidth="1"/>
    <col min="9742" max="9742" width="1.5703125" style="1755" customWidth="1"/>
    <col min="9743" max="9743" width="14.42578125" style="1755" customWidth="1"/>
    <col min="9744" max="9744" width="1.5703125" style="1755" customWidth="1"/>
    <col min="9745" max="9745" width="28.5703125" style="1755" customWidth="1"/>
    <col min="9746" max="9746" width="4.5703125" style="1755" customWidth="1"/>
    <col min="9747" max="9753" width="0" style="1755" hidden="1" customWidth="1"/>
    <col min="9754" max="9991" width="9.42578125" style="1755"/>
    <col min="9992" max="9992" width="0" style="1755" hidden="1" customWidth="1"/>
    <col min="9993" max="9993" width="15.42578125" style="1755" customWidth="1"/>
    <col min="9994" max="9994" width="1.5703125" style="1755" customWidth="1"/>
    <col min="9995" max="9995" width="22.5703125" style="1755" customWidth="1"/>
    <col min="9996" max="9996" width="1.5703125" style="1755" customWidth="1"/>
    <col min="9997" max="9997" width="17.42578125" style="1755" customWidth="1"/>
    <col min="9998" max="9998" width="1.5703125" style="1755" customWidth="1"/>
    <col min="9999" max="9999" width="14.42578125" style="1755" customWidth="1"/>
    <col min="10000" max="10000" width="1.5703125" style="1755" customWidth="1"/>
    <col min="10001" max="10001" width="28.5703125" style="1755" customWidth="1"/>
    <col min="10002" max="10002" width="4.5703125" style="1755" customWidth="1"/>
    <col min="10003" max="10009" width="0" style="1755" hidden="1" customWidth="1"/>
    <col min="10010" max="10247" width="9.42578125" style="1755"/>
    <col min="10248" max="10248" width="0" style="1755" hidden="1" customWidth="1"/>
    <col min="10249" max="10249" width="15.42578125" style="1755" customWidth="1"/>
    <col min="10250" max="10250" width="1.5703125" style="1755" customWidth="1"/>
    <col min="10251" max="10251" width="22.5703125" style="1755" customWidth="1"/>
    <col min="10252" max="10252" width="1.5703125" style="1755" customWidth="1"/>
    <col min="10253" max="10253" width="17.42578125" style="1755" customWidth="1"/>
    <col min="10254" max="10254" width="1.5703125" style="1755" customWidth="1"/>
    <col min="10255" max="10255" width="14.42578125" style="1755" customWidth="1"/>
    <col min="10256" max="10256" width="1.5703125" style="1755" customWidth="1"/>
    <col min="10257" max="10257" width="28.5703125" style="1755" customWidth="1"/>
    <col min="10258" max="10258" width="4.5703125" style="1755" customWidth="1"/>
    <col min="10259" max="10265" width="0" style="1755" hidden="1" customWidth="1"/>
    <col min="10266" max="10503" width="9.42578125" style="1755"/>
    <col min="10504" max="10504" width="0" style="1755" hidden="1" customWidth="1"/>
    <col min="10505" max="10505" width="15.42578125" style="1755" customWidth="1"/>
    <col min="10506" max="10506" width="1.5703125" style="1755" customWidth="1"/>
    <col min="10507" max="10507" width="22.5703125" style="1755" customWidth="1"/>
    <col min="10508" max="10508" width="1.5703125" style="1755" customWidth="1"/>
    <col min="10509" max="10509" width="17.42578125" style="1755" customWidth="1"/>
    <col min="10510" max="10510" width="1.5703125" style="1755" customWidth="1"/>
    <col min="10511" max="10511" width="14.42578125" style="1755" customWidth="1"/>
    <col min="10512" max="10512" width="1.5703125" style="1755" customWidth="1"/>
    <col min="10513" max="10513" width="28.5703125" style="1755" customWidth="1"/>
    <col min="10514" max="10514" width="4.5703125" style="1755" customWidth="1"/>
    <col min="10515" max="10521" width="0" style="1755" hidden="1" customWidth="1"/>
    <col min="10522" max="10759" width="9.42578125" style="1755"/>
    <col min="10760" max="10760" width="0" style="1755" hidden="1" customWidth="1"/>
    <col min="10761" max="10761" width="15.42578125" style="1755" customWidth="1"/>
    <col min="10762" max="10762" width="1.5703125" style="1755" customWidth="1"/>
    <col min="10763" max="10763" width="22.5703125" style="1755" customWidth="1"/>
    <col min="10764" max="10764" width="1.5703125" style="1755" customWidth="1"/>
    <col min="10765" max="10765" width="17.42578125" style="1755" customWidth="1"/>
    <col min="10766" max="10766" width="1.5703125" style="1755" customWidth="1"/>
    <col min="10767" max="10767" width="14.42578125" style="1755" customWidth="1"/>
    <col min="10768" max="10768" width="1.5703125" style="1755" customWidth="1"/>
    <col min="10769" max="10769" width="28.5703125" style="1755" customWidth="1"/>
    <col min="10770" max="10770" width="4.5703125" style="1755" customWidth="1"/>
    <col min="10771" max="10777" width="0" style="1755" hidden="1" customWidth="1"/>
    <col min="10778" max="11015" width="9.42578125" style="1755"/>
    <col min="11016" max="11016" width="0" style="1755" hidden="1" customWidth="1"/>
    <col min="11017" max="11017" width="15.42578125" style="1755" customWidth="1"/>
    <col min="11018" max="11018" width="1.5703125" style="1755" customWidth="1"/>
    <col min="11019" max="11019" width="22.5703125" style="1755" customWidth="1"/>
    <col min="11020" max="11020" width="1.5703125" style="1755" customWidth="1"/>
    <col min="11021" max="11021" width="17.42578125" style="1755" customWidth="1"/>
    <col min="11022" max="11022" width="1.5703125" style="1755" customWidth="1"/>
    <col min="11023" max="11023" width="14.42578125" style="1755" customWidth="1"/>
    <col min="11024" max="11024" width="1.5703125" style="1755" customWidth="1"/>
    <col min="11025" max="11025" width="28.5703125" style="1755" customWidth="1"/>
    <col min="11026" max="11026" width="4.5703125" style="1755" customWidth="1"/>
    <col min="11027" max="11033" width="0" style="1755" hidden="1" customWidth="1"/>
    <col min="11034" max="11271" width="9.42578125" style="1755"/>
    <col min="11272" max="11272" width="0" style="1755" hidden="1" customWidth="1"/>
    <col min="11273" max="11273" width="15.42578125" style="1755" customWidth="1"/>
    <col min="11274" max="11274" width="1.5703125" style="1755" customWidth="1"/>
    <col min="11275" max="11275" width="22.5703125" style="1755" customWidth="1"/>
    <col min="11276" max="11276" width="1.5703125" style="1755" customWidth="1"/>
    <col min="11277" max="11277" width="17.42578125" style="1755" customWidth="1"/>
    <col min="11278" max="11278" width="1.5703125" style="1755" customWidth="1"/>
    <col min="11279" max="11279" width="14.42578125" style="1755" customWidth="1"/>
    <col min="11280" max="11280" width="1.5703125" style="1755" customWidth="1"/>
    <col min="11281" max="11281" width="28.5703125" style="1755" customWidth="1"/>
    <col min="11282" max="11282" width="4.5703125" style="1755" customWidth="1"/>
    <col min="11283" max="11289" width="0" style="1755" hidden="1" customWidth="1"/>
    <col min="11290" max="11527" width="9.42578125" style="1755"/>
    <col min="11528" max="11528" width="0" style="1755" hidden="1" customWidth="1"/>
    <col min="11529" max="11529" width="15.42578125" style="1755" customWidth="1"/>
    <col min="11530" max="11530" width="1.5703125" style="1755" customWidth="1"/>
    <col min="11531" max="11531" width="22.5703125" style="1755" customWidth="1"/>
    <col min="11532" max="11532" width="1.5703125" style="1755" customWidth="1"/>
    <col min="11533" max="11533" width="17.42578125" style="1755" customWidth="1"/>
    <col min="11534" max="11534" width="1.5703125" style="1755" customWidth="1"/>
    <col min="11535" max="11535" width="14.42578125" style="1755" customWidth="1"/>
    <col min="11536" max="11536" width="1.5703125" style="1755" customWidth="1"/>
    <col min="11537" max="11537" width="28.5703125" style="1755" customWidth="1"/>
    <col min="11538" max="11538" width="4.5703125" style="1755" customWidth="1"/>
    <col min="11539" max="11545" width="0" style="1755" hidden="1" customWidth="1"/>
    <col min="11546" max="11783" width="9.42578125" style="1755"/>
    <col min="11784" max="11784" width="0" style="1755" hidden="1" customWidth="1"/>
    <col min="11785" max="11785" width="15.42578125" style="1755" customWidth="1"/>
    <col min="11786" max="11786" width="1.5703125" style="1755" customWidth="1"/>
    <col min="11787" max="11787" width="22.5703125" style="1755" customWidth="1"/>
    <col min="11788" max="11788" width="1.5703125" style="1755" customWidth="1"/>
    <col min="11789" max="11789" width="17.42578125" style="1755" customWidth="1"/>
    <col min="11790" max="11790" width="1.5703125" style="1755" customWidth="1"/>
    <col min="11791" max="11791" width="14.42578125" style="1755" customWidth="1"/>
    <col min="11792" max="11792" width="1.5703125" style="1755" customWidth="1"/>
    <col min="11793" max="11793" width="28.5703125" style="1755" customWidth="1"/>
    <col min="11794" max="11794" width="4.5703125" style="1755" customWidth="1"/>
    <col min="11795" max="11801" width="0" style="1755" hidden="1" customWidth="1"/>
    <col min="11802" max="12039" width="9.42578125" style="1755"/>
    <col min="12040" max="12040" width="0" style="1755" hidden="1" customWidth="1"/>
    <col min="12041" max="12041" width="15.42578125" style="1755" customWidth="1"/>
    <col min="12042" max="12042" width="1.5703125" style="1755" customWidth="1"/>
    <col min="12043" max="12043" width="22.5703125" style="1755" customWidth="1"/>
    <col min="12044" max="12044" width="1.5703125" style="1755" customWidth="1"/>
    <col min="12045" max="12045" width="17.42578125" style="1755" customWidth="1"/>
    <col min="12046" max="12046" width="1.5703125" style="1755" customWidth="1"/>
    <col min="12047" max="12047" width="14.42578125" style="1755" customWidth="1"/>
    <col min="12048" max="12048" width="1.5703125" style="1755" customWidth="1"/>
    <col min="12049" max="12049" width="28.5703125" style="1755" customWidth="1"/>
    <col min="12050" max="12050" width="4.5703125" style="1755" customWidth="1"/>
    <col min="12051" max="12057" width="0" style="1755" hidden="1" customWidth="1"/>
    <col min="12058" max="12295" width="9.42578125" style="1755"/>
    <col min="12296" max="12296" width="0" style="1755" hidden="1" customWidth="1"/>
    <col min="12297" max="12297" width="15.42578125" style="1755" customWidth="1"/>
    <col min="12298" max="12298" width="1.5703125" style="1755" customWidth="1"/>
    <col min="12299" max="12299" width="22.5703125" style="1755" customWidth="1"/>
    <col min="12300" max="12300" width="1.5703125" style="1755" customWidth="1"/>
    <col min="12301" max="12301" width="17.42578125" style="1755" customWidth="1"/>
    <col min="12302" max="12302" width="1.5703125" style="1755" customWidth="1"/>
    <col min="12303" max="12303" width="14.42578125" style="1755" customWidth="1"/>
    <col min="12304" max="12304" width="1.5703125" style="1755" customWidth="1"/>
    <col min="12305" max="12305" width="28.5703125" style="1755" customWidth="1"/>
    <col min="12306" max="12306" width="4.5703125" style="1755" customWidth="1"/>
    <col min="12307" max="12313" width="0" style="1755" hidden="1" customWidth="1"/>
    <col min="12314" max="12551" width="9.42578125" style="1755"/>
    <col min="12552" max="12552" width="0" style="1755" hidden="1" customWidth="1"/>
    <col min="12553" max="12553" width="15.42578125" style="1755" customWidth="1"/>
    <col min="12554" max="12554" width="1.5703125" style="1755" customWidth="1"/>
    <col min="12555" max="12555" width="22.5703125" style="1755" customWidth="1"/>
    <col min="12556" max="12556" width="1.5703125" style="1755" customWidth="1"/>
    <col min="12557" max="12557" width="17.42578125" style="1755" customWidth="1"/>
    <col min="12558" max="12558" width="1.5703125" style="1755" customWidth="1"/>
    <col min="12559" max="12559" width="14.42578125" style="1755" customWidth="1"/>
    <col min="12560" max="12560" width="1.5703125" style="1755" customWidth="1"/>
    <col min="12561" max="12561" width="28.5703125" style="1755" customWidth="1"/>
    <col min="12562" max="12562" width="4.5703125" style="1755" customWidth="1"/>
    <col min="12563" max="12569" width="0" style="1755" hidden="1" customWidth="1"/>
    <col min="12570" max="12807" width="9.42578125" style="1755"/>
    <col min="12808" max="12808" width="0" style="1755" hidden="1" customWidth="1"/>
    <col min="12809" max="12809" width="15.42578125" style="1755" customWidth="1"/>
    <col min="12810" max="12810" width="1.5703125" style="1755" customWidth="1"/>
    <col min="12811" max="12811" width="22.5703125" style="1755" customWidth="1"/>
    <col min="12812" max="12812" width="1.5703125" style="1755" customWidth="1"/>
    <col min="12813" max="12813" width="17.42578125" style="1755" customWidth="1"/>
    <col min="12814" max="12814" width="1.5703125" style="1755" customWidth="1"/>
    <col min="12815" max="12815" width="14.42578125" style="1755" customWidth="1"/>
    <col min="12816" max="12816" width="1.5703125" style="1755" customWidth="1"/>
    <col min="12817" max="12817" width="28.5703125" style="1755" customWidth="1"/>
    <col min="12818" max="12818" width="4.5703125" style="1755" customWidth="1"/>
    <col min="12819" max="12825" width="0" style="1755" hidden="1" customWidth="1"/>
    <col min="12826" max="13063" width="9.42578125" style="1755"/>
    <col min="13064" max="13064" width="0" style="1755" hidden="1" customWidth="1"/>
    <col min="13065" max="13065" width="15.42578125" style="1755" customWidth="1"/>
    <col min="13066" max="13066" width="1.5703125" style="1755" customWidth="1"/>
    <col min="13067" max="13067" width="22.5703125" style="1755" customWidth="1"/>
    <col min="13068" max="13068" width="1.5703125" style="1755" customWidth="1"/>
    <col min="13069" max="13069" width="17.42578125" style="1755" customWidth="1"/>
    <col min="13070" max="13070" width="1.5703125" style="1755" customWidth="1"/>
    <col min="13071" max="13071" width="14.42578125" style="1755" customWidth="1"/>
    <col min="13072" max="13072" width="1.5703125" style="1755" customWidth="1"/>
    <col min="13073" max="13073" width="28.5703125" style="1755" customWidth="1"/>
    <col min="13074" max="13074" width="4.5703125" style="1755" customWidth="1"/>
    <col min="13075" max="13081" width="0" style="1755" hidden="1" customWidth="1"/>
    <col min="13082" max="13319" width="9.42578125" style="1755"/>
    <col min="13320" max="13320" width="0" style="1755" hidden="1" customWidth="1"/>
    <col min="13321" max="13321" width="15.42578125" style="1755" customWidth="1"/>
    <col min="13322" max="13322" width="1.5703125" style="1755" customWidth="1"/>
    <col min="13323" max="13323" width="22.5703125" style="1755" customWidth="1"/>
    <col min="13324" max="13324" width="1.5703125" style="1755" customWidth="1"/>
    <col min="13325" max="13325" width="17.42578125" style="1755" customWidth="1"/>
    <col min="13326" max="13326" width="1.5703125" style="1755" customWidth="1"/>
    <col min="13327" max="13327" width="14.42578125" style="1755" customWidth="1"/>
    <col min="13328" max="13328" width="1.5703125" style="1755" customWidth="1"/>
    <col min="13329" max="13329" width="28.5703125" style="1755" customWidth="1"/>
    <col min="13330" max="13330" width="4.5703125" style="1755" customWidth="1"/>
    <col min="13331" max="13337" width="0" style="1755" hidden="1" customWidth="1"/>
    <col min="13338" max="13575" width="9.42578125" style="1755"/>
    <col min="13576" max="13576" width="0" style="1755" hidden="1" customWidth="1"/>
    <col min="13577" max="13577" width="15.42578125" style="1755" customWidth="1"/>
    <col min="13578" max="13578" width="1.5703125" style="1755" customWidth="1"/>
    <col min="13579" max="13579" width="22.5703125" style="1755" customWidth="1"/>
    <col min="13580" max="13580" width="1.5703125" style="1755" customWidth="1"/>
    <col min="13581" max="13581" width="17.42578125" style="1755" customWidth="1"/>
    <col min="13582" max="13582" width="1.5703125" style="1755" customWidth="1"/>
    <col min="13583" max="13583" width="14.42578125" style="1755" customWidth="1"/>
    <col min="13584" max="13584" width="1.5703125" style="1755" customWidth="1"/>
    <col min="13585" max="13585" width="28.5703125" style="1755" customWidth="1"/>
    <col min="13586" max="13586" width="4.5703125" style="1755" customWidth="1"/>
    <col min="13587" max="13593" width="0" style="1755" hidden="1" customWidth="1"/>
    <col min="13594" max="13831" width="9.42578125" style="1755"/>
    <col min="13832" max="13832" width="0" style="1755" hidden="1" customWidth="1"/>
    <col min="13833" max="13833" width="15.42578125" style="1755" customWidth="1"/>
    <col min="13834" max="13834" width="1.5703125" style="1755" customWidth="1"/>
    <col min="13835" max="13835" width="22.5703125" style="1755" customWidth="1"/>
    <col min="13836" max="13836" width="1.5703125" style="1755" customWidth="1"/>
    <col min="13837" max="13837" width="17.42578125" style="1755" customWidth="1"/>
    <col min="13838" max="13838" width="1.5703125" style="1755" customWidth="1"/>
    <col min="13839" max="13839" width="14.42578125" style="1755" customWidth="1"/>
    <col min="13840" max="13840" width="1.5703125" style="1755" customWidth="1"/>
    <col min="13841" max="13841" width="28.5703125" style="1755" customWidth="1"/>
    <col min="13842" max="13842" width="4.5703125" style="1755" customWidth="1"/>
    <col min="13843" max="13849" width="0" style="1755" hidden="1" customWidth="1"/>
    <col min="13850" max="14087" width="9.42578125" style="1755"/>
    <col min="14088" max="14088" width="0" style="1755" hidden="1" customWidth="1"/>
    <col min="14089" max="14089" width="15.42578125" style="1755" customWidth="1"/>
    <col min="14090" max="14090" width="1.5703125" style="1755" customWidth="1"/>
    <col min="14091" max="14091" width="22.5703125" style="1755" customWidth="1"/>
    <col min="14092" max="14092" width="1.5703125" style="1755" customWidth="1"/>
    <col min="14093" max="14093" width="17.42578125" style="1755" customWidth="1"/>
    <col min="14094" max="14094" width="1.5703125" style="1755" customWidth="1"/>
    <col min="14095" max="14095" width="14.42578125" style="1755" customWidth="1"/>
    <col min="14096" max="14096" width="1.5703125" style="1755" customWidth="1"/>
    <col min="14097" max="14097" width="28.5703125" style="1755" customWidth="1"/>
    <col min="14098" max="14098" width="4.5703125" style="1755" customWidth="1"/>
    <col min="14099" max="14105" width="0" style="1755" hidden="1" customWidth="1"/>
    <col min="14106" max="14343" width="9.42578125" style="1755"/>
    <col min="14344" max="14344" width="0" style="1755" hidden="1" customWidth="1"/>
    <col min="14345" max="14345" width="15.42578125" style="1755" customWidth="1"/>
    <col min="14346" max="14346" width="1.5703125" style="1755" customWidth="1"/>
    <col min="14347" max="14347" width="22.5703125" style="1755" customWidth="1"/>
    <col min="14348" max="14348" width="1.5703125" style="1755" customWidth="1"/>
    <col min="14349" max="14349" width="17.42578125" style="1755" customWidth="1"/>
    <col min="14350" max="14350" width="1.5703125" style="1755" customWidth="1"/>
    <col min="14351" max="14351" width="14.42578125" style="1755" customWidth="1"/>
    <col min="14352" max="14352" width="1.5703125" style="1755" customWidth="1"/>
    <col min="14353" max="14353" width="28.5703125" style="1755" customWidth="1"/>
    <col min="14354" max="14354" width="4.5703125" style="1755" customWidth="1"/>
    <col min="14355" max="14361" width="0" style="1755" hidden="1" customWidth="1"/>
    <col min="14362" max="14599" width="9.42578125" style="1755"/>
    <col min="14600" max="14600" width="0" style="1755" hidden="1" customWidth="1"/>
    <col min="14601" max="14601" width="15.42578125" style="1755" customWidth="1"/>
    <col min="14602" max="14602" width="1.5703125" style="1755" customWidth="1"/>
    <col min="14603" max="14603" width="22.5703125" style="1755" customWidth="1"/>
    <col min="14604" max="14604" width="1.5703125" style="1755" customWidth="1"/>
    <col min="14605" max="14605" width="17.42578125" style="1755" customWidth="1"/>
    <col min="14606" max="14606" width="1.5703125" style="1755" customWidth="1"/>
    <col min="14607" max="14607" width="14.42578125" style="1755" customWidth="1"/>
    <col min="14608" max="14608" width="1.5703125" style="1755" customWidth="1"/>
    <col min="14609" max="14609" width="28.5703125" style="1755" customWidth="1"/>
    <col min="14610" max="14610" width="4.5703125" style="1755" customWidth="1"/>
    <col min="14611" max="14617" width="0" style="1755" hidden="1" customWidth="1"/>
    <col min="14618" max="14855" width="9.42578125" style="1755"/>
    <col min="14856" max="14856" width="0" style="1755" hidden="1" customWidth="1"/>
    <col min="14857" max="14857" width="15.42578125" style="1755" customWidth="1"/>
    <col min="14858" max="14858" width="1.5703125" style="1755" customWidth="1"/>
    <col min="14859" max="14859" width="22.5703125" style="1755" customWidth="1"/>
    <col min="14860" max="14860" width="1.5703125" style="1755" customWidth="1"/>
    <col min="14861" max="14861" width="17.42578125" style="1755" customWidth="1"/>
    <col min="14862" max="14862" width="1.5703125" style="1755" customWidth="1"/>
    <col min="14863" max="14863" width="14.42578125" style="1755" customWidth="1"/>
    <col min="14864" max="14864" width="1.5703125" style="1755" customWidth="1"/>
    <col min="14865" max="14865" width="28.5703125" style="1755" customWidth="1"/>
    <col min="14866" max="14866" width="4.5703125" style="1755" customWidth="1"/>
    <col min="14867" max="14873" width="0" style="1755" hidden="1" customWidth="1"/>
    <col min="14874" max="15111" width="9.42578125" style="1755"/>
    <col min="15112" max="15112" width="0" style="1755" hidden="1" customWidth="1"/>
    <col min="15113" max="15113" width="15.42578125" style="1755" customWidth="1"/>
    <col min="15114" max="15114" width="1.5703125" style="1755" customWidth="1"/>
    <col min="15115" max="15115" width="22.5703125" style="1755" customWidth="1"/>
    <col min="15116" max="15116" width="1.5703125" style="1755" customWidth="1"/>
    <col min="15117" max="15117" width="17.42578125" style="1755" customWidth="1"/>
    <col min="15118" max="15118" width="1.5703125" style="1755" customWidth="1"/>
    <col min="15119" max="15119" width="14.42578125" style="1755" customWidth="1"/>
    <col min="15120" max="15120" width="1.5703125" style="1755" customWidth="1"/>
    <col min="15121" max="15121" width="28.5703125" style="1755" customWidth="1"/>
    <col min="15122" max="15122" width="4.5703125" style="1755" customWidth="1"/>
    <col min="15123" max="15129" width="0" style="1755" hidden="1" customWidth="1"/>
    <col min="15130" max="15367" width="9.42578125" style="1755"/>
    <col min="15368" max="15368" width="0" style="1755" hidden="1" customWidth="1"/>
    <col min="15369" max="15369" width="15.42578125" style="1755" customWidth="1"/>
    <col min="15370" max="15370" width="1.5703125" style="1755" customWidth="1"/>
    <col min="15371" max="15371" width="22.5703125" style="1755" customWidth="1"/>
    <col min="15372" max="15372" width="1.5703125" style="1755" customWidth="1"/>
    <col min="15373" max="15373" width="17.42578125" style="1755" customWidth="1"/>
    <col min="15374" max="15374" width="1.5703125" style="1755" customWidth="1"/>
    <col min="15375" max="15375" width="14.42578125" style="1755" customWidth="1"/>
    <col min="15376" max="15376" width="1.5703125" style="1755" customWidth="1"/>
    <col min="15377" max="15377" width="28.5703125" style="1755" customWidth="1"/>
    <col min="15378" max="15378" width="4.5703125" style="1755" customWidth="1"/>
    <col min="15379" max="15385" width="0" style="1755" hidden="1" customWidth="1"/>
    <col min="15386" max="15623" width="9.42578125" style="1755"/>
    <col min="15624" max="15624" width="0" style="1755" hidden="1" customWidth="1"/>
    <col min="15625" max="15625" width="15.42578125" style="1755" customWidth="1"/>
    <col min="15626" max="15626" width="1.5703125" style="1755" customWidth="1"/>
    <col min="15627" max="15627" width="22.5703125" style="1755" customWidth="1"/>
    <col min="15628" max="15628" width="1.5703125" style="1755" customWidth="1"/>
    <col min="15629" max="15629" width="17.42578125" style="1755" customWidth="1"/>
    <col min="15630" max="15630" width="1.5703125" style="1755" customWidth="1"/>
    <col min="15631" max="15631" width="14.42578125" style="1755" customWidth="1"/>
    <col min="15632" max="15632" width="1.5703125" style="1755" customWidth="1"/>
    <col min="15633" max="15633" width="28.5703125" style="1755" customWidth="1"/>
    <col min="15634" max="15634" width="4.5703125" style="1755" customWidth="1"/>
    <col min="15635" max="15641" width="0" style="1755" hidden="1" customWidth="1"/>
    <col min="15642" max="15879" width="9.42578125" style="1755"/>
    <col min="15880" max="15880" width="0" style="1755" hidden="1" customWidth="1"/>
    <col min="15881" max="15881" width="15.42578125" style="1755" customWidth="1"/>
    <col min="15882" max="15882" width="1.5703125" style="1755" customWidth="1"/>
    <col min="15883" max="15883" width="22.5703125" style="1755" customWidth="1"/>
    <col min="15884" max="15884" width="1.5703125" style="1755" customWidth="1"/>
    <col min="15885" max="15885" width="17.42578125" style="1755" customWidth="1"/>
    <col min="15886" max="15886" width="1.5703125" style="1755" customWidth="1"/>
    <col min="15887" max="15887" width="14.42578125" style="1755" customWidth="1"/>
    <col min="15888" max="15888" width="1.5703125" style="1755" customWidth="1"/>
    <col min="15889" max="15889" width="28.5703125" style="1755" customWidth="1"/>
    <col min="15890" max="15890" width="4.5703125" style="1755" customWidth="1"/>
    <col min="15891" max="15897" width="0" style="1755" hidden="1" customWidth="1"/>
    <col min="15898" max="16135" width="9.42578125" style="1755"/>
    <col min="16136" max="16136" width="0" style="1755" hidden="1" customWidth="1"/>
    <col min="16137" max="16137" width="15.42578125" style="1755" customWidth="1"/>
    <col min="16138" max="16138" width="1.5703125" style="1755" customWidth="1"/>
    <col min="16139" max="16139" width="22.5703125" style="1755" customWidth="1"/>
    <col min="16140" max="16140" width="1.5703125" style="1755" customWidth="1"/>
    <col min="16141" max="16141" width="17.42578125" style="1755" customWidth="1"/>
    <col min="16142" max="16142" width="1.5703125" style="1755" customWidth="1"/>
    <col min="16143" max="16143" width="14.42578125" style="1755" customWidth="1"/>
    <col min="16144" max="16144" width="1.5703125" style="1755" customWidth="1"/>
    <col min="16145" max="16145" width="28.5703125" style="1755" customWidth="1"/>
    <col min="16146" max="16146" width="4.5703125" style="1755" customWidth="1"/>
    <col min="16147" max="16153" width="0" style="1755" hidden="1" customWidth="1"/>
    <col min="16154" max="16384" width="9.42578125" style="1755"/>
  </cols>
  <sheetData>
    <row r="1" spans="1:24" s="1738" customFormat="1" ht="15" customHeight="1" x14ac:dyDescent="0.25">
      <c r="A1" s="2449" t="str">
        <f>Index!A1</f>
        <v xml:space="preserve">                                                               Office of the State Controller                                                                </v>
      </c>
      <c r="B1" s="2449"/>
      <c r="C1" s="2449"/>
      <c r="D1" s="2449"/>
      <c r="E1" s="2449"/>
      <c r="F1" s="2449"/>
      <c r="G1" s="2449"/>
      <c r="H1" s="2449"/>
      <c r="I1" s="2449"/>
      <c r="J1" s="2449"/>
      <c r="K1" s="2449"/>
      <c r="L1" s="2449"/>
      <c r="M1" s="2449"/>
      <c r="N1" s="2449"/>
      <c r="O1" s="2449"/>
      <c r="P1" s="2449"/>
      <c r="Q1" s="2449"/>
      <c r="R1" s="2510" t="str">
        <f>IF(Index!$B$74="na","NA","")</f>
        <v/>
      </c>
      <c r="S1" s="182"/>
      <c r="T1" s="182"/>
      <c r="U1" s="182"/>
      <c r="V1" s="182"/>
      <c r="W1" s="182"/>
      <c r="X1" s="182"/>
    </row>
    <row r="2" spans="1:24" s="1738" customFormat="1" ht="15" customHeight="1" x14ac:dyDescent="0.25">
      <c r="A2" s="2769" t="str">
        <f>Index!A2</f>
        <v>2022 ACFR Worksheets</v>
      </c>
      <c r="B2" s="2769"/>
      <c r="C2" s="2769"/>
      <c r="D2" s="2769"/>
      <c r="E2" s="2769"/>
      <c r="F2" s="2769"/>
      <c r="G2" s="2769"/>
      <c r="H2" s="2769"/>
      <c r="I2" s="2769"/>
      <c r="J2" s="2769"/>
      <c r="K2" s="2769"/>
      <c r="L2" s="2769"/>
      <c r="M2" s="2769"/>
      <c r="N2" s="2769"/>
      <c r="O2" s="2769"/>
      <c r="P2" s="2769"/>
      <c r="Q2" s="2769"/>
      <c r="R2" s="2510"/>
      <c r="S2" s="182"/>
      <c r="T2" s="182"/>
      <c r="U2" s="182"/>
      <c r="V2" s="182"/>
      <c r="W2" s="182"/>
      <c r="X2" s="182"/>
    </row>
    <row r="3" spans="1:24" s="1738" customFormat="1" ht="15" customHeight="1" x14ac:dyDescent="0.25">
      <c r="A3" s="2769" t="s">
        <v>4588</v>
      </c>
      <c r="B3" s="2769"/>
      <c r="C3" s="2769"/>
      <c r="D3" s="2769"/>
      <c r="E3" s="2769"/>
      <c r="F3" s="2769"/>
      <c r="G3" s="2769"/>
      <c r="H3" s="2769"/>
      <c r="I3" s="2769"/>
      <c r="J3" s="2769"/>
      <c r="K3" s="2769"/>
      <c r="L3" s="2769"/>
      <c r="M3" s="2769"/>
      <c r="N3" s="2769"/>
      <c r="O3" s="2769"/>
      <c r="P3" s="2769"/>
      <c r="Q3" s="2769"/>
      <c r="R3" s="2510"/>
      <c r="S3" s="182"/>
      <c r="T3" s="182"/>
      <c r="U3" s="182"/>
      <c r="V3" s="182"/>
      <c r="W3" s="182"/>
      <c r="X3" s="182"/>
    </row>
    <row r="4" spans="1:24" s="1738" customFormat="1" ht="15" customHeight="1" x14ac:dyDescent="0.25">
      <c r="A4" s="2769" t="s">
        <v>4301</v>
      </c>
      <c r="B4" s="2769"/>
      <c r="C4" s="2769"/>
      <c r="D4" s="2769"/>
      <c r="E4" s="2769"/>
      <c r="F4" s="2769"/>
      <c r="G4" s="2769"/>
      <c r="H4" s="2769"/>
      <c r="I4" s="2769"/>
      <c r="J4" s="2769"/>
      <c r="K4" s="2769"/>
      <c r="L4" s="2769"/>
      <c r="M4" s="2769"/>
      <c r="N4" s="2769"/>
      <c r="O4" s="2769"/>
      <c r="P4" s="2769"/>
      <c r="Q4" s="2769"/>
    </row>
    <row r="5" spans="1:24" s="1739" customFormat="1" ht="15" customHeight="1" x14ac:dyDescent="0.25">
      <c r="C5" s="1740"/>
      <c r="D5" s="1741"/>
      <c r="E5" s="1741"/>
      <c r="F5" s="1741"/>
      <c r="G5" s="1741"/>
      <c r="H5" s="1741"/>
      <c r="I5" s="1741"/>
      <c r="J5" s="1741"/>
      <c r="K5" s="1742"/>
      <c r="L5" s="1742"/>
      <c r="M5" s="1742"/>
      <c r="N5" s="1742"/>
      <c r="O5" s="1742" t="s">
        <v>4294</v>
      </c>
      <c r="P5" s="1742"/>
      <c r="Q5" s="1742"/>
    </row>
    <row r="6" spans="1:24" s="1739" customFormat="1" ht="15" customHeight="1" x14ac:dyDescent="0.2">
      <c r="A6" s="1743" t="s">
        <v>327</v>
      </c>
      <c r="C6" s="1744" t="str">
        <f>Index!E10</f>
        <v>01</v>
      </c>
      <c r="D6" s="1744"/>
      <c r="E6" s="1744"/>
      <c r="H6" s="1745"/>
      <c r="I6" s="1775"/>
      <c r="J6" s="1775"/>
      <c r="K6" s="1775"/>
      <c r="L6" s="1745" t="s">
        <v>972</v>
      </c>
      <c r="M6" s="2770" t="str">
        <f>CONCATENATE(Index!$E$12," ",Index!$E$14)</f>
        <v xml:space="preserve"> </v>
      </c>
      <c r="N6" s="2770"/>
      <c r="O6" s="2770"/>
      <c r="P6" s="2770"/>
      <c r="Q6" s="2770"/>
    </row>
    <row r="7" spans="1:24" s="1739" customFormat="1" ht="15" customHeight="1" x14ac:dyDescent="0.2">
      <c r="A7" s="1743" t="s">
        <v>1154</v>
      </c>
      <c r="C7" s="2774" t="str">
        <f>Index!E11</f>
        <v>North Carolina General Assembly</v>
      </c>
      <c r="D7" s="2774"/>
      <c r="E7" s="2774"/>
      <c r="G7" s="1745"/>
      <c r="I7" s="1767"/>
      <c r="J7" s="1767"/>
      <c r="K7" s="1767"/>
      <c r="L7" s="1745" t="s">
        <v>348</v>
      </c>
      <c r="M7" s="2776">
        <f>Index!E13</f>
        <v>0</v>
      </c>
      <c r="N7" s="2776"/>
      <c r="O7" s="2776"/>
      <c r="P7" s="2776"/>
      <c r="Q7" s="2776"/>
    </row>
    <row r="8" spans="1:24" s="1739" customFormat="1" ht="15" customHeight="1" x14ac:dyDescent="0.2">
      <c r="A8" s="1743" t="s">
        <v>723</v>
      </c>
      <c r="C8" s="2775"/>
      <c r="D8" s="2775"/>
      <c r="E8" s="2775"/>
    </row>
    <row r="9" spans="1:24" s="1739" customFormat="1" ht="15" customHeight="1" thickBot="1" x14ac:dyDescent="0.25">
      <c r="A9" s="1746"/>
      <c r="B9" s="1746"/>
      <c r="C9" s="1746"/>
      <c r="D9" s="1746"/>
      <c r="E9" s="1746"/>
      <c r="F9" s="1746"/>
      <c r="G9" s="1746"/>
      <c r="H9" s="1746"/>
      <c r="I9" s="1746"/>
      <c r="J9" s="1746"/>
      <c r="K9" s="1746"/>
      <c r="L9" s="1746"/>
      <c r="M9" s="1746"/>
      <c r="N9" s="1746"/>
      <c r="O9" s="1746"/>
      <c r="P9" s="1746"/>
      <c r="Q9" s="1746"/>
    </row>
    <row r="10" spans="1:24" s="1739" customFormat="1" ht="15" customHeight="1" x14ac:dyDescent="0.2">
      <c r="A10" s="2771" t="s">
        <v>4456</v>
      </c>
      <c r="B10" s="2772"/>
      <c r="C10" s="2773"/>
      <c r="E10" s="2771" t="s">
        <v>4455</v>
      </c>
      <c r="F10" s="2772"/>
      <c r="G10" s="2773"/>
    </row>
    <row r="11" spans="1:24" s="1739" customFormat="1" ht="15" customHeight="1" x14ac:dyDescent="0.2">
      <c r="A11" s="1855"/>
      <c r="C11" s="1856" t="s">
        <v>1064</v>
      </c>
      <c r="E11" s="1855" t="s">
        <v>973</v>
      </c>
      <c r="G11" s="1860"/>
      <c r="H11" s="1747" t="s">
        <v>973</v>
      </c>
      <c r="J11" s="1740"/>
    </row>
    <row r="12" spans="1:24" s="1739" customFormat="1" ht="15" customHeight="1" x14ac:dyDescent="0.2">
      <c r="A12" s="1855"/>
      <c r="C12" s="1856" t="s">
        <v>4296</v>
      </c>
      <c r="E12" s="1855"/>
      <c r="G12" s="1856"/>
      <c r="J12" s="1740"/>
    </row>
    <row r="13" spans="1:24" s="1739" customFormat="1" ht="15" customHeight="1" x14ac:dyDescent="0.2">
      <c r="A13" s="1855"/>
      <c r="C13" s="1856" t="s">
        <v>5516</v>
      </c>
      <c r="E13" s="1855"/>
      <c r="G13" s="1856"/>
      <c r="J13" s="1740"/>
    </row>
    <row r="14" spans="1:24" s="1739" customFormat="1" ht="15" customHeight="1" thickBot="1" x14ac:dyDescent="0.25">
      <c r="A14" s="1855"/>
      <c r="C14" s="1856" t="s">
        <v>5515</v>
      </c>
      <c r="E14" s="1855"/>
      <c r="G14" s="1856"/>
      <c r="J14" s="1740"/>
      <c r="M14" s="220"/>
      <c r="N14" s="1970"/>
      <c r="O14" s="1970"/>
      <c r="P14" s="1970"/>
      <c r="Q14" s="1970"/>
    </row>
    <row r="15" spans="1:24" s="1739" customFormat="1" ht="15" customHeight="1" thickBot="1" x14ac:dyDescent="0.25">
      <c r="A15" s="1855"/>
      <c r="C15" s="1856" t="s">
        <v>5646</v>
      </c>
      <c r="E15" s="1855"/>
      <c r="G15" s="1856"/>
      <c r="J15" s="1740"/>
      <c r="M15" s="221" t="s">
        <v>352</v>
      </c>
      <c r="N15" s="1969"/>
      <c r="O15" s="1969"/>
      <c r="P15" s="1969"/>
      <c r="Q15" s="1969"/>
    </row>
    <row r="16" spans="1:24" s="1739" customFormat="1" ht="15" customHeight="1" x14ac:dyDescent="0.2">
      <c r="A16" s="1855" t="s">
        <v>4295</v>
      </c>
      <c r="C16" s="1856" t="s">
        <v>5647</v>
      </c>
      <c r="E16" s="1855" t="s">
        <v>4297</v>
      </c>
      <c r="G16" s="1856" t="s">
        <v>4298</v>
      </c>
      <c r="J16" s="1740"/>
      <c r="M16" s="1970"/>
      <c r="N16" s="1970"/>
      <c r="O16" s="1970"/>
      <c r="P16" s="1970"/>
      <c r="Q16" s="220" t="s">
        <v>86</v>
      </c>
    </row>
    <row r="17" spans="1:26" s="1739" customFormat="1" ht="15" customHeight="1" thickBot="1" x14ac:dyDescent="0.25">
      <c r="A17" s="1857" t="s">
        <v>808</v>
      </c>
      <c r="C17" s="1858" t="s">
        <v>4302</v>
      </c>
      <c r="E17" s="1857" t="s">
        <v>4303</v>
      </c>
      <c r="G17" s="1858" t="s">
        <v>4303</v>
      </c>
      <c r="I17" s="1748" t="s">
        <v>1156</v>
      </c>
      <c r="K17" s="1748" t="s">
        <v>4591</v>
      </c>
      <c r="L17" s="1747"/>
      <c r="M17" s="224" t="s">
        <v>1198</v>
      </c>
      <c r="N17" s="219"/>
      <c r="O17" s="224" t="s">
        <v>1199</v>
      </c>
      <c r="P17" s="1971"/>
      <c r="Q17" s="224" t="s">
        <v>1200</v>
      </c>
      <c r="R17" s="1747" t="s">
        <v>973</v>
      </c>
      <c r="S17" s="1747"/>
      <c r="T17" s="1747"/>
      <c r="U17" s="1747"/>
      <c r="V17" s="1747"/>
      <c r="W17" s="1747"/>
      <c r="X17" s="1747"/>
    </row>
    <row r="18" spans="1:26" s="1739" customFormat="1" ht="15" customHeight="1" x14ac:dyDescent="0.2">
      <c r="A18" s="1972" t="s">
        <v>4451</v>
      </c>
      <c r="C18" s="1973">
        <v>538101</v>
      </c>
      <c r="E18" s="1974" t="s">
        <v>4459</v>
      </c>
      <c r="G18" s="1973">
        <v>1100</v>
      </c>
      <c r="H18" s="1750"/>
      <c r="I18" s="1975">
        <v>3000000</v>
      </c>
      <c r="K18" s="1976" t="s">
        <v>4452</v>
      </c>
      <c r="L18" s="1977"/>
      <c r="M18" s="1978" t="s">
        <v>4592</v>
      </c>
      <c r="N18" s="1979"/>
      <c r="O18" s="1978"/>
      <c r="P18" s="1979"/>
      <c r="Q18" s="1978"/>
      <c r="R18" s="552" t="str">
        <f t="shared" ref="R18:R32" si="0">IF(AND(S18,Y18),"","*")</f>
        <v/>
      </c>
      <c r="S18" s="1752" t="b">
        <f>IF(OR(T18=0,T18=5),TRUE, FALSE)</f>
        <v>1</v>
      </c>
      <c r="T18" s="1752">
        <f>COUNTIF(U18:Z18,FALSE)</f>
        <v>5</v>
      </c>
      <c r="U18" s="1753" t="b">
        <f>ISBLANK(C18)</f>
        <v>0</v>
      </c>
      <c r="V18" s="1753" t="b">
        <f>ISBLANK(E18)</f>
        <v>0</v>
      </c>
      <c r="W18" s="1753" t="b">
        <f>ISBLANK(G18)</f>
        <v>0</v>
      </c>
      <c r="X18" s="1753" t="b">
        <f>ISBLANK(I18)</f>
        <v>0</v>
      </c>
      <c r="Y18" s="1754" t="b">
        <f>IF(ISBLANK(C18),TRUE,OR(TEXT(LEFT(C18,4),"0000")="5381",TEXT(LEFT(C18,4),"0000")="5380",TEXT(LEFT(C18,4),"0000")="538F"))</f>
        <v>1</v>
      </c>
      <c r="Z18" s="1739" t="b">
        <f t="shared" ref="Z18:Z32" si="1">AND(ISBLANK(M18),ISBLANK(O18),ISBLANK(Q18))</f>
        <v>0</v>
      </c>
    </row>
    <row r="19" spans="1:26" s="1739" customFormat="1" ht="15" customHeight="1" x14ac:dyDescent="0.2">
      <c r="A19" s="1862"/>
      <c r="C19" s="1859"/>
      <c r="E19" s="1861"/>
      <c r="G19" s="1859"/>
      <c r="H19" s="1750"/>
      <c r="I19" s="1751"/>
      <c r="K19" s="1749"/>
      <c r="L19" s="1854"/>
      <c r="M19" s="1994"/>
      <c r="N19" s="1995"/>
      <c r="O19" s="1996"/>
      <c r="P19" s="1995"/>
      <c r="Q19" s="1996"/>
      <c r="R19" s="552" t="str">
        <f t="shared" si="0"/>
        <v/>
      </c>
      <c r="S19" s="1752" t="b">
        <f t="shared" ref="S19:S32" si="2">IF(OR(T19=0,T19=5),TRUE, FALSE)</f>
        <v>1</v>
      </c>
      <c r="T19" s="1752">
        <f t="shared" ref="T19:T32" si="3">COUNTIF(U19:Z19,FALSE)</f>
        <v>0</v>
      </c>
      <c r="U19" s="1753" t="b">
        <f t="shared" ref="U19:U32" si="4">ISBLANK(C19)</f>
        <v>1</v>
      </c>
      <c r="V19" s="1753" t="b">
        <f t="shared" ref="V19:V32" si="5">ISBLANK(E19)</f>
        <v>1</v>
      </c>
      <c r="W19" s="1753" t="b">
        <f t="shared" ref="W19:W32" si="6">ISBLANK(G19)</f>
        <v>1</v>
      </c>
      <c r="X19" s="1753" t="b">
        <f t="shared" ref="X19:X32" si="7">ISBLANK(I19)</f>
        <v>1</v>
      </c>
      <c r="Y19" s="1754" t="b">
        <f t="shared" ref="Y19:Y32" si="8">IF(ISBLANK(C19),TRUE,OR(TEXT(LEFT(C19,4),"0000")="5381",TEXT(LEFT(C19,4),"0000")="5380",TEXT(LEFT(C19,4),"0000")="538F"))</f>
        <v>1</v>
      </c>
      <c r="Z19" s="1739" t="b">
        <f t="shared" si="1"/>
        <v>1</v>
      </c>
    </row>
    <row r="20" spans="1:26" s="1739" customFormat="1" ht="15" customHeight="1" x14ac:dyDescent="0.2">
      <c r="A20" s="1862"/>
      <c r="C20" s="1859"/>
      <c r="E20" s="1861"/>
      <c r="G20" s="1859"/>
      <c r="H20" s="1750"/>
      <c r="I20" s="1751"/>
      <c r="K20" s="1749"/>
      <c r="L20" s="1854"/>
      <c r="M20" s="1996"/>
      <c r="N20" s="1995"/>
      <c r="O20" s="1996"/>
      <c r="P20" s="1995"/>
      <c r="Q20" s="1996"/>
      <c r="R20" s="552" t="str">
        <f t="shared" si="0"/>
        <v/>
      </c>
      <c r="S20" s="1752" t="b">
        <f t="shared" si="2"/>
        <v>1</v>
      </c>
      <c r="T20" s="1752">
        <f t="shared" si="3"/>
        <v>0</v>
      </c>
      <c r="U20" s="1753" t="b">
        <f t="shared" si="4"/>
        <v>1</v>
      </c>
      <c r="V20" s="1753" t="b">
        <f t="shared" si="5"/>
        <v>1</v>
      </c>
      <c r="W20" s="1753" t="b">
        <f t="shared" si="6"/>
        <v>1</v>
      </c>
      <c r="X20" s="1753" t="b">
        <f t="shared" si="7"/>
        <v>1</v>
      </c>
      <c r="Y20" s="1754" t="b">
        <f t="shared" si="8"/>
        <v>1</v>
      </c>
      <c r="Z20" s="1739" t="b">
        <f t="shared" si="1"/>
        <v>1</v>
      </c>
    </row>
    <row r="21" spans="1:26" s="1739" customFormat="1" ht="15" customHeight="1" x14ac:dyDescent="0.2">
      <c r="A21" s="1862"/>
      <c r="C21" s="1859"/>
      <c r="E21" s="1861"/>
      <c r="G21" s="1859"/>
      <c r="H21" s="1750"/>
      <c r="I21" s="1751"/>
      <c r="K21" s="1749"/>
      <c r="L21" s="1854"/>
      <c r="M21" s="1996"/>
      <c r="N21" s="1995"/>
      <c r="O21" s="1996"/>
      <c r="P21" s="1995"/>
      <c r="Q21" s="1996"/>
      <c r="R21" s="552" t="str">
        <f t="shared" si="0"/>
        <v/>
      </c>
      <c r="S21" s="1752" t="b">
        <f t="shared" si="2"/>
        <v>1</v>
      </c>
      <c r="T21" s="1752">
        <f t="shared" si="3"/>
        <v>0</v>
      </c>
      <c r="U21" s="1753" t="b">
        <f t="shared" si="4"/>
        <v>1</v>
      </c>
      <c r="V21" s="1753" t="b">
        <f t="shared" si="5"/>
        <v>1</v>
      </c>
      <c r="W21" s="1753" t="b">
        <f t="shared" si="6"/>
        <v>1</v>
      </c>
      <c r="X21" s="1753" t="b">
        <f t="shared" si="7"/>
        <v>1</v>
      </c>
      <c r="Y21" s="1754" t="b">
        <f t="shared" si="8"/>
        <v>1</v>
      </c>
      <c r="Z21" s="1739" t="b">
        <f t="shared" si="1"/>
        <v>1</v>
      </c>
    </row>
    <row r="22" spans="1:26" s="1739" customFormat="1" ht="15" customHeight="1" x14ac:dyDescent="0.2">
      <c r="A22" s="1862"/>
      <c r="C22" s="1859"/>
      <c r="E22" s="1861"/>
      <c r="G22" s="1859"/>
      <c r="H22" s="1750"/>
      <c r="I22" s="1751"/>
      <c r="K22" s="1749"/>
      <c r="L22" s="1854"/>
      <c r="M22" s="1996"/>
      <c r="N22" s="1995"/>
      <c r="O22" s="1996"/>
      <c r="P22" s="1995"/>
      <c r="Q22" s="1996"/>
      <c r="R22" s="552" t="str">
        <f t="shared" si="0"/>
        <v/>
      </c>
      <c r="S22" s="1752" t="b">
        <f t="shared" si="2"/>
        <v>1</v>
      </c>
      <c r="T22" s="1752">
        <f t="shared" si="3"/>
        <v>0</v>
      </c>
      <c r="U22" s="1753" t="b">
        <f t="shared" si="4"/>
        <v>1</v>
      </c>
      <c r="V22" s="1753" t="b">
        <f t="shared" si="5"/>
        <v>1</v>
      </c>
      <c r="W22" s="1753" t="b">
        <f t="shared" si="6"/>
        <v>1</v>
      </c>
      <c r="X22" s="1753" t="b">
        <f t="shared" si="7"/>
        <v>1</v>
      </c>
      <c r="Y22" s="1754" t="b">
        <f t="shared" si="8"/>
        <v>1</v>
      </c>
      <c r="Z22" s="1739" t="b">
        <f t="shared" si="1"/>
        <v>1</v>
      </c>
    </row>
    <row r="23" spans="1:26" s="1739" customFormat="1" ht="15" customHeight="1" x14ac:dyDescent="0.2">
      <c r="A23" s="1862"/>
      <c r="C23" s="1859"/>
      <c r="E23" s="1861"/>
      <c r="G23" s="1859"/>
      <c r="H23" s="1750"/>
      <c r="I23" s="1751"/>
      <c r="K23" s="1749"/>
      <c r="L23" s="1854"/>
      <c r="M23" s="1996"/>
      <c r="N23" s="1995"/>
      <c r="O23" s="1996"/>
      <c r="P23" s="1995"/>
      <c r="Q23" s="1996"/>
      <c r="R23" s="552" t="str">
        <f t="shared" si="0"/>
        <v/>
      </c>
      <c r="S23" s="1752" t="b">
        <f t="shared" si="2"/>
        <v>1</v>
      </c>
      <c r="T23" s="1752">
        <f t="shared" si="3"/>
        <v>0</v>
      </c>
      <c r="U23" s="1753" t="b">
        <f t="shared" si="4"/>
        <v>1</v>
      </c>
      <c r="V23" s="1753" t="b">
        <f t="shared" si="5"/>
        <v>1</v>
      </c>
      <c r="W23" s="1753" t="b">
        <f t="shared" si="6"/>
        <v>1</v>
      </c>
      <c r="X23" s="1753" t="b">
        <f t="shared" si="7"/>
        <v>1</v>
      </c>
      <c r="Y23" s="1754" t="b">
        <f t="shared" si="8"/>
        <v>1</v>
      </c>
      <c r="Z23" s="1739" t="b">
        <f t="shared" si="1"/>
        <v>1</v>
      </c>
    </row>
    <row r="24" spans="1:26" s="1739" customFormat="1" ht="15" customHeight="1" x14ac:dyDescent="0.2">
      <c r="A24" s="1862"/>
      <c r="C24" s="1859"/>
      <c r="E24" s="1861"/>
      <c r="G24" s="1859"/>
      <c r="H24" s="1750"/>
      <c r="I24" s="1751"/>
      <c r="K24" s="1749"/>
      <c r="L24" s="1854"/>
      <c r="M24" s="1996"/>
      <c r="N24" s="1995"/>
      <c r="O24" s="1996"/>
      <c r="P24" s="1995"/>
      <c r="Q24" s="1996"/>
      <c r="R24" s="552" t="str">
        <f t="shared" si="0"/>
        <v/>
      </c>
      <c r="S24" s="1752" t="b">
        <f t="shared" si="2"/>
        <v>1</v>
      </c>
      <c r="T24" s="1752">
        <f t="shared" si="3"/>
        <v>0</v>
      </c>
      <c r="U24" s="1753" t="b">
        <f t="shared" si="4"/>
        <v>1</v>
      </c>
      <c r="V24" s="1753" t="b">
        <f t="shared" si="5"/>
        <v>1</v>
      </c>
      <c r="W24" s="1753" t="b">
        <f t="shared" si="6"/>
        <v>1</v>
      </c>
      <c r="X24" s="1753" t="b">
        <f t="shared" si="7"/>
        <v>1</v>
      </c>
      <c r="Y24" s="1754" t="b">
        <f t="shared" si="8"/>
        <v>1</v>
      </c>
      <c r="Z24" s="1739" t="b">
        <f t="shared" si="1"/>
        <v>1</v>
      </c>
    </row>
    <row r="25" spans="1:26" s="1739" customFormat="1" ht="15" customHeight="1" x14ac:dyDescent="0.2">
      <c r="A25" s="1862"/>
      <c r="C25" s="1859"/>
      <c r="E25" s="1861"/>
      <c r="G25" s="1859"/>
      <c r="H25" s="1750"/>
      <c r="I25" s="1751"/>
      <c r="K25" s="1749"/>
      <c r="L25" s="1854"/>
      <c r="M25" s="1996"/>
      <c r="N25" s="1995"/>
      <c r="O25" s="1996"/>
      <c r="P25" s="1995"/>
      <c r="Q25" s="1996"/>
      <c r="R25" s="552" t="str">
        <f t="shared" si="0"/>
        <v/>
      </c>
      <c r="S25" s="1752" t="b">
        <f t="shared" si="2"/>
        <v>1</v>
      </c>
      <c r="T25" s="1752">
        <f t="shared" si="3"/>
        <v>0</v>
      </c>
      <c r="U25" s="1753" t="b">
        <f t="shared" si="4"/>
        <v>1</v>
      </c>
      <c r="V25" s="1753" t="b">
        <f t="shared" si="5"/>
        <v>1</v>
      </c>
      <c r="W25" s="1753" t="b">
        <f t="shared" si="6"/>
        <v>1</v>
      </c>
      <c r="X25" s="1753" t="b">
        <f t="shared" si="7"/>
        <v>1</v>
      </c>
      <c r="Y25" s="1754" t="b">
        <f t="shared" si="8"/>
        <v>1</v>
      </c>
      <c r="Z25" s="1739" t="b">
        <f t="shared" si="1"/>
        <v>1</v>
      </c>
    </row>
    <row r="26" spans="1:26" s="1739" customFormat="1" ht="15" customHeight="1" x14ac:dyDescent="0.2">
      <c r="A26" s="1862"/>
      <c r="C26" s="1859"/>
      <c r="E26" s="1861"/>
      <c r="G26" s="1859"/>
      <c r="H26" s="1750"/>
      <c r="I26" s="1751"/>
      <c r="K26" s="1749"/>
      <c r="L26" s="1854"/>
      <c r="M26" s="1996"/>
      <c r="N26" s="1995"/>
      <c r="O26" s="1996"/>
      <c r="P26" s="1995"/>
      <c r="Q26" s="1996"/>
      <c r="R26" s="552" t="str">
        <f t="shared" si="0"/>
        <v/>
      </c>
      <c r="S26" s="1752" t="b">
        <f t="shared" si="2"/>
        <v>1</v>
      </c>
      <c r="T26" s="1752">
        <f t="shared" si="3"/>
        <v>0</v>
      </c>
      <c r="U26" s="1753" t="b">
        <f t="shared" si="4"/>
        <v>1</v>
      </c>
      <c r="V26" s="1753" t="b">
        <f t="shared" si="5"/>
        <v>1</v>
      </c>
      <c r="W26" s="1753" t="b">
        <f t="shared" si="6"/>
        <v>1</v>
      </c>
      <c r="X26" s="1753" t="b">
        <f t="shared" si="7"/>
        <v>1</v>
      </c>
      <c r="Y26" s="1754" t="b">
        <f t="shared" si="8"/>
        <v>1</v>
      </c>
      <c r="Z26" s="1739" t="b">
        <f t="shared" si="1"/>
        <v>1</v>
      </c>
    </row>
    <row r="27" spans="1:26" s="1739" customFormat="1" ht="15" customHeight="1" x14ac:dyDescent="0.2">
      <c r="A27" s="1862"/>
      <c r="C27" s="1859"/>
      <c r="E27" s="1861"/>
      <c r="G27" s="1859"/>
      <c r="H27" s="1750"/>
      <c r="I27" s="1751"/>
      <c r="K27" s="1749"/>
      <c r="L27" s="1854"/>
      <c r="M27" s="1996"/>
      <c r="N27" s="1995"/>
      <c r="O27" s="1996"/>
      <c r="P27" s="1995"/>
      <c r="Q27" s="1996"/>
      <c r="R27" s="552" t="str">
        <f t="shared" si="0"/>
        <v/>
      </c>
      <c r="S27" s="1752" t="b">
        <f t="shared" si="2"/>
        <v>1</v>
      </c>
      <c r="T27" s="1752">
        <f t="shared" si="3"/>
        <v>0</v>
      </c>
      <c r="U27" s="1753" t="b">
        <f t="shared" si="4"/>
        <v>1</v>
      </c>
      <c r="V27" s="1753" t="b">
        <f t="shared" si="5"/>
        <v>1</v>
      </c>
      <c r="W27" s="1753" t="b">
        <f t="shared" si="6"/>
        <v>1</v>
      </c>
      <c r="X27" s="1753" t="b">
        <f t="shared" si="7"/>
        <v>1</v>
      </c>
      <c r="Y27" s="1754" t="b">
        <f t="shared" si="8"/>
        <v>1</v>
      </c>
      <c r="Z27" s="1739" t="b">
        <f t="shared" si="1"/>
        <v>1</v>
      </c>
    </row>
    <row r="28" spans="1:26" s="1739" customFormat="1" ht="15" customHeight="1" x14ac:dyDescent="0.2">
      <c r="A28" s="1862"/>
      <c r="C28" s="1859"/>
      <c r="E28" s="1861"/>
      <c r="G28" s="1859"/>
      <c r="H28" s="1750"/>
      <c r="I28" s="1751"/>
      <c r="K28" s="1749"/>
      <c r="L28" s="1854"/>
      <c r="M28" s="1996"/>
      <c r="N28" s="1995"/>
      <c r="O28" s="1996"/>
      <c r="P28" s="1995"/>
      <c r="Q28" s="1996"/>
      <c r="R28" s="552" t="str">
        <f t="shared" si="0"/>
        <v/>
      </c>
      <c r="S28" s="1752" t="b">
        <f t="shared" si="2"/>
        <v>1</v>
      </c>
      <c r="T28" s="1752">
        <f t="shared" si="3"/>
        <v>0</v>
      </c>
      <c r="U28" s="1753" t="b">
        <f t="shared" si="4"/>
        <v>1</v>
      </c>
      <c r="V28" s="1753" t="b">
        <f t="shared" si="5"/>
        <v>1</v>
      </c>
      <c r="W28" s="1753" t="b">
        <f t="shared" si="6"/>
        <v>1</v>
      </c>
      <c r="X28" s="1753" t="b">
        <f t="shared" si="7"/>
        <v>1</v>
      </c>
      <c r="Y28" s="1754" t="b">
        <f t="shared" si="8"/>
        <v>1</v>
      </c>
      <c r="Z28" s="1739" t="b">
        <f t="shared" si="1"/>
        <v>1</v>
      </c>
    </row>
    <row r="29" spans="1:26" s="1739" customFormat="1" ht="15" customHeight="1" x14ac:dyDescent="0.2">
      <c r="A29" s="1862"/>
      <c r="C29" s="1859"/>
      <c r="E29" s="1861"/>
      <c r="G29" s="1859"/>
      <c r="H29" s="1750"/>
      <c r="I29" s="1751"/>
      <c r="K29" s="1749"/>
      <c r="L29" s="1854"/>
      <c r="M29" s="1996"/>
      <c r="N29" s="1995"/>
      <c r="O29" s="1996"/>
      <c r="P29" s="1995"/>
      <c r="Q29" s="1996"/>
      <c r="R29" s="552" t="str">
        <f t="shared" si="0"/>
        <v/>
      </c>
      <c r="S29" s="1752" t="b">
        <f t="shared" si="2"/>
        <v>1</v>
      </c>
      <c r="T29" s="1752">
        <f t="shared" si="3"/>
        <v>0</v>
      </c>
      <c r="U29" s="1753" t="b">
        <f t="shared" si="4"/>
        <v>1</v>
      </c>
      <c r="V29" s="1753" t="b">
        <f t="shared" si="5"/>
        <v>1</v>
      </c>
      <c r="W29" s="1753" t="b">
        <f t="shared" si="6"/>
        <v>1</v>
      </c>
      <c r="X29" s="1753" t="b">
        <f t="shared" si="7"/>
        <v>1</v>
      </c>
      <c r="Y29" s="1754" t="b">
        <f t="shared" si="8"/>
        <v>1</v>
      </c>
      <c r="Z29" s="1739" t="b">
        <f t="shared" si="1"/>
        <v>1</v>
      </c>
    </row>
    <row r="30" spans="1:26" s="1739" customFormat="1" ht="15" customHeight="1" x14ac:dyDescent="0.2">
      <c r="A30" s="1862"/>
      <c r="C30" s="1859"/>
      <c r="E30" s="1861"/>
      <c r="G30" s="1859"/>
      <c r="H30" s="1750"/>
      <c r="I30" s="1751"/>
      <c r="K30" s="1749"/>
      <c r="L30" s="1854"/>
      <c r="M30" s="1996"/>
      <c r="N30" s="1995"/>
      <c r="O30" s="1996"/>
      <c r="P30" s="1995"/>
      <c r="Q30" s="1996"/>
      <c r="R30" s="552" t="str">
        <f t="shared" si="0"/>
        <v/>
      </c>
      <c r="S30" s="1752" t="b">
        <f t="shared" si="2"/>
        <v>1</v>
      </c>
      <c r="T30" s="1752">
        <f t="shared" si="3"/>
        <v>0</v>
      </c>
      <c r="U30" s="1753" t="b">
        <f t="shared" si="4"/>
        <v>1</v>
      </c>
      <c r="V30" s="1753" t="b">
        <f t="shared" si="5"/>
        <v>1</v>
      </c>
      <c r="W30" s="1753" t="b">
        <f t="shared" si="6"/>
        <v>1</v>
      </c>
      <c r="X30" s="1753" t="b">
        <f t="shared" si="7"/>
        <v>1</v>
      </c>
      <c r="Y30" s="1754" t="b">
        <f t="shared" si="8"/>
        <v>1</v>
      </c>
      <c r="Z30" s="1739" t="b">
        <f t="shared" si="1"/>
        <v>1</v>
      </c>
    </row>
    <row r="31" spans="1:26" s="1739" customFormat="1" ht="15" customHeight="1" x14ac:dyDescent="0.2">
      <c r="A31" s="1862"/>
      <c r="C31" s="1859"/>
      <c r="E31" s="1861"/>
      <c r="G31" s="1859"/>
      <c r="H31" s="1750"/>
      <c r="I31" s="1751"/>
      <c r="K31" s="1749"/>
      <c r="L31" s="1854"/>
      <c r="M31" s="1996"/>
      <c r="N31" s="1995"/>
      <c r="O31" s="1996"/>
      <c r="P31" s="1995"/>
      <c r="Q31" s="1996"/>
      <c r="R31" s="552" t="str">
        <f t="shared" si="0"/>
        <v/>
      </c>
      <c r="S31" s="1752" t="b">
        <f t="shared" si="2"/>
        <v>1</v>
      </c>
      <c r="T31" s="1752">
        <f t="shared" si="3"/>
        <v>0</v>
      </c>
      <c r="U31" s="1753" t="b">
        <f t="shared" si="4"/>
        <v>1</v>
      </c>
      <c r="V31" s="1753" t="b">
        <f t="shared" si="5"/>
        <v>1</v>
      </c>
      <c r="W31" s="1753" t="b">
        <f t="shared" si="6"/>
        <v>1</v>
      </c>
      <c r="X31" s="1753" t="b">
        <f t="shared" si="7"/>
        <v>1</v>
      </c>
      <c r="Y31" s="1754" t="b">
        <f t="shared" si="8"/>
        <v>1</v>
      </c>
      <c r="Z31" s="1739" t="b">
        <f t="shared" si="1"/>
        <v>1</v>
      </c>
    </row>
    <row r="32" spans="1:26" s="1739" customFormat="1" ht="15" customHeight="1" x14ac:dyDescent="0.2">
      <c r="A32" s="1862"/>
      <c r="C32" s="1859"/>
      <c r="E32" s="1861"/>
      <c r="G32" s="1859"/>
      <c r="H32" s="1750"/>
      <c r="I32" s="1751"/>
      <c r="K32" s="1749"/>
      <c r="L32" s="1854"/>
      <c r="M32" s="1996"/>
      <c r="N32" s="1995"/>
      <c r="O32" s="1996"/>
      <c r="P32" s="1995"/>
      <c r="Q32" s="1996"/>
      <c r="R32" s="552" t="str">
        <f t="shared" si="0"/>
        <v/>
      </c>
      <c r="S32" s="1752" t="b">
        <f t="shared" si="2"/>
        <v>1</v>
      </c>
      <c r="T32" s="1752">
        <f t="shared" si="3"/>
        <v>0</v>
      </c>
      <c r="U32" s="1753" t="b">
        <f t="shared" si="4"/>
        <v>1</v>
      </c>
      <c r="V32" s="1753" t="b">
        <f t="shared" si="5"/>
        <v>1</v>
      </c>
      <c r="W32" s="1753" t="b">
        <f t="shared" si="6"/>
        <v>1</v>
      </c>
      <c r="X32" s="1753" t="b">
        <f t="shared" si="7"/>
        <v>1</v>
      </c>
      <c r="Y32" s="1754" t="b">
        <f t="shared" si="8"/>
        <v>1</v>
      </c>
      <c r="Z32" s="1739" t="b">
        <f t="shared" si="1"/>
        <v>1</v>
      </c>
    </row>
    <row r="33" spans="1:25" ht="20.100000000000001" customHeight="1" thickBot="1" x14ac:dyDescent="0.3">
      <c r="A33" s="1980"/>
      <c r="B33" s="1981"/>
      <c r="C33" s="1982"/>
      <c r="D33" s="1756"/>
      <c r="E33" s="1983"/>
      <c r="F33" s="1984"/>
      <c r="G33" s="1982"/>
      <c r="H33" s="1757"/>
      <c r="I33" s="1756"/>
      <c r="J33" s="1756"/>
      <c r="K33" s="1756"/>
      <c r="L33" s="1756"/>
      <c r="M33" s="1756"/>
      <c r="N33" s="1756"/>
      <c r="O33" s="1756"/>
      <c r="P33" s="1756"/>
      <c r="Q33" s="1756"/>
      <c r="R33" s="1758"/>
      <c r="S33" s="1752">
        <f>COUNTIF(S18:S32,FALSE)</f>
        <v>0</v>
      </c>
      <c r="T33" s="1758"/>
      <c r="U33" s="1758"/>
      <c r="V33" s="1758"/>
      <c r="W33" s="1758"/>
      <c r="X33" s="1758"/>
      <c r="Y33" s="1759">
        <f>COUNTIF(Y18:Y32,FALSE)</f>
        <v>0</v>
      </c>
    </row>
    <row r="34" spans="1:25" ht="6" customHeight="1" x14ac:dyDescent="0.25">
      <c r="C34" s="1756"/>
      <c r="D34" s="1756"/>
      <c r="E34" s="1756"/>
      <c r="F34" s="1756"/>
      <c r="G34" s="1756"/>
      <c r="H34" s="1757"/>
      <c r="I34" s="1756"/>
      <c r="J34" s="1756"/>
      <c r="K34" s="1756"/>
      <c r="L34" s="1756"/>
      <c r="M34" s="1756"/>
      <c r="N34" s="1756"/>
      <c r="O34" s="1756"/>
      <c r="P34" s="1756"/>
      <c r="Q34" s="1756"/>
      <c r="R34" s="1758"/>
      <c r="S34" s="1752"/>
      <c r="T34" s="1758"/>
      <c r="U34" s="1758"/>
      <c r="V34" s="1758"/>
      <c r="W34" s="1758"/>
      <c r="X34" s="1758"/>
      <c r="Y34" s="1759"/>
    </row>
    <row r="35" spans="1:25" s="1760" customFormat="1" ht="11.25" customHeight="1" x14ac:dyDescent="0.2">
      <c r="A35" s="1783" t="s">
        <v>4784</v>
      </c>
    </row>
    <row r="36" spans="1:25" s="1763" customFormat="1" ht="14.25" customHeight="1" x14ac:dyDescent="0.2">
      <c r="A36" s="1761"/>
      <c r="B36" s="1762"/>
      <c r="C36" s="1762"/>
      <c r="D36" s="1761"/>
      <c r="E36" s="1761"/>
      <c r="F36" s="1761"/>
      <c r="G36" s="1761"/>
      <c r="H36" s="1761"/>
      <c r="I36" s="1761"/>
      <c r="J36" s="1761"/>
      <c r="K36" s="1761"/>
      <c r="L36" s="1761"/>
      <c r="M36" s="1761"/>
      <c r="N36" s="1761"/>
      <c r="O36" s="1761"/>
      <c r="P36" s="1761"/>
      <c r="Q36" s="1761"/>
    </row>
    <row r="37" spans="1:25" s="1763" customFormat="1" ht="15" customHeight="1" x14ac:dyDescent="0.2">
      <c r="A37" s="1761"/>
      <c r="B37" s="1764"/>
      <c r="C37" s="1764"/>
      <c r="D37" s="1761"/>
      <c r="E37" s="1761"/>
      <c r="F37" s="1761"/>
      <c r="G37" s="1761"/>
      <c r="H37" s="1761"/>
      <c r="I37" s="1761"/>
      <c r="J37" s="1761"/>
      <c r="K37" s="1765"/>
      <c r="L37" s="1765"/>
      <c r="M37" s="1765"/>
      <c r="N37" s="1765"/>
      <c r="O37" s="1765"/>
      <c r="P37" s="1765"/>
      <c r="Q37" s="1765"/>
    </row>
    <row r="38" spans="1:25" s="1763" customFormat="1" ht="15" customHeight="1" x14ac:dyDescent="0.2">
      <c r="A38" s="1765"/>
      <c r="B38" s="1762"/>
      <c r="C38" s="1762"/>
      <c r="D38" s="1765"/>
      <c r="E38" s="1765"/>
      <c r="F38" s="1765"/>
      <c r="G38" s="1765"/>
      <c r="H38" s="1765"/>
      <c r="I38" s="1765"/>
      <c r="J38" s="1765"/>
      <c r="K38" s="1765"/>
      <c r="L38" s="1765"/>
      <c r="M38" s="1765"/>
      <c r="N38" s="1765"/>
      <c r="O38" s="1765"/>
      <c r="P38" s="1765"/>
      <c r="Q38" s="1765"/>
    </row>
    <row r="39" spans="1:25" ht="26.1" customHeight="1" x14ac:dyDescent="0.25">
      <c r="A39" s="1985" t="s">
        <v>5648</v>
      </c>
      <c r="F39" s="1756"/>
    </row>
    <row r="40" spans="1:25" ht="20.85" customHeight="1" x14ac:dyDescent="0.25">
      <c r="A40" s="1161" t="s">
        <v>4458</v>
      </c>
      <c r="F40" s="1756"/>
    </row>
    <row r="41" spans="1:25" ht="20.85" customHeight="1" x14ac:dyDescent="0.25">
      <c r="B41" s="794"/>
      <c r="C41" s="794"/>
      <c r="F41" s="1756"/>
    </row>
    <row r="42" spans="1:25" ht="20.85" customHeight="1" x14ac:dyDescent="0.25">
      <c r="F42" s="1756"/>
      <c r="G42" s="1755" t="s">
        <v>973</v>
      </c>
    </row>
    <row r="43" spans="1:25" ht="20.85" customHeight="1" x14ac:dyDescent="0.25">
      <c r="F43" s="1756"/>
    </row>
    <row r="44" spans="1:25" ht="20.85" customHeight="1" x14ac:dyDescent="0.25">
      <c r="F44" s="1756"/>
    </row>
    <row r="45" spans="1:25" ht="20.85" customHeight="1" x14ac:dyDescent="0.25">
      <c r="F45" s="1756"/>
      <c r="G45" s="1766" t="s">
        <v>973</v>
      </c>
      <c r="H45" s="1766"/>
      <c r="R45" s="1766" t="s">
        <v>973</v>
      </c>
      <c r="S45" s="1766"/>
      <c r="T45" s="1766"/>
      <c r="U45" s="1766"/>
      <c r="V45" s="1766"/>
      <c r="W45" s="1766"/>
      <c r="X45" s="1766"/>
    </row>
    <row r="46" spans="1:25" x14ac:dyDescent="0.25">
      <c r="F46" s="1756"/>
    </row>
    <row r="47" spans="1:25" x14ac:dyDescent="0.25">
      <c r="F47" s="1756"/>
    </row>
    <row r="48" spans="1:25" x14ac:dyDescent="0.25">
      <c r="F48" s="1756"/>
    </row>
    <row r="49" spans="6:6" x14ac:dyDescent="0.25">
      <c r="F49" s="1756"/>
    </row>
    <row r="50" spans="6:6" x14ac:dyDescent="0.25">
      <c r="F50" s="1756"/>
    </row>
    <row r="51" spans="6:6" x14ac:dyDescent="0.25">
      <c r="F51" s="1756"/>
    </row>
    <row r="52" spans="6:6" x14ac:dyDescent="0.25">
      <c r="F52" s="1756"/>
    </row>
    <row r="53" spans="6:6" x14ac:dyDescent="0.25">
      <c r="F53" s="1756"/>
    </row>
    <row r="54" spans="6:6" x14ac:dyDescent="0.25">
      <c r="F54" s="1756"/>
    </row>
    <row r="55" spans="6:6" x14ac:dyDescent="0.25">
      <c r="F55" s="1756"/>
    </row>
    <row r="56" spans="6:6" x14ac:dyDescent="0.25">
      <c r="F56" s="1756"/>
    </row>
    <row r="57" spans="6:6" x14ac:dyDescent="0.25">
      <c r="F57" s="1756"/>
    </row>
    <row r="58" spans="6:6" x14ac:dyDescent="0.25">
      <c r="F58" s="1756"/>
    </row>
    <row r="59" spans="6:6" x14ac:dyDescent="0.25">
      <c r="F59" s="1756"/>
    </row>
    <row r="60" spans="6:6" x14ac:dyDescent="0.25">
      <c r="F60" s="1756"/>
    </row>
    <row r="61" spans="6:6" x14ac:dyDescent="0.25">
      <c r="F61" s="1756"/>
    </row>
    <row r="62" spans="6:6" x14ac:dyDescent="0.25">
      <c r="F62" s="1756"/>
    </row>
    <row r="63" spans="6:6" x14ac:dyDescent="0.25">
      <c r="F63" s="1756"/>
    </row>
    <row r="64" spans="6:6" x14ac:dyDescent="0.25">
      <c r="F64" s="1756"/>
    </row>
    <row r="65" spans="6:6" x14ac:dyDescent="0.25">
      <c r="F65" s="1756"/>
    </row>
    <row r="66" spans="6:6" x14ac:dyDescent="0.25">
      <c r="F66" s="1756"/>
    </row>
    <row r="67" spans="6:6" x14ac:dyDescent="0.25">
      <c r="F67" s="1756"/>
    </row>
    <row r="68" spans="6:6" x14ac:dyDescent="0.25">
      <c r="F68" s="1756"/>
    </row>
    <row r="69" spans="6:6" x14ac:dyDescent="0.25">
      <c r="F69" s="1756"/>
    </row>
    <row r="70" spans="6:6" x14ac:dyDescent="0.25">
      <c r="F70" s="1756"/>
    </row>
    <row r="71" spans="6:6" x14ac:dyDescent="0.25">
      <c r="F71" s="1756"/>
    </row>
    <row r="72" spans="6:6" x14ac:dyDescent="0.25">
      <c r="F72" s="1756"/>
    </row>
    <row r="73" spans="6:6" x14ac:dyDescent="0.25">
      <c r="F73" s="1756"/>
    </row>
    <row r="74" spans="6:6" x14ac:dyDescent="0.25">
      <c r="F74" s="1756"/>
    </row>
    <row r="75" spans="6:6" x14ac:dyDescent="0.25">
      <c r="F75" s="1756"/>
    </row>
    <row r="76" spans="6:6" x14ac:dyDescent="0.25">
      <c r="F76" s="1756"/>
    </row>
    <row r="77" spans="6:6" x14ac:dyDescent="0.25">
      <c r="F77" s="1756"/>
    </row>
    <row r="78" spans="6:6" x14ac:dyDescent="0.25">
      <c r="F78" s="1756"/>
    </row>
    <row r="79" spans="6:6" x14ac:dyDescent="0.25">
      <c r="F79" s="1756"/>
    </row>
    <row r="80" spans="6:6" x14ac:dyDescent="0.25">
      <c r="F80" s="1756"/>
    </row>
    <row r="81" spans="6:6" x14ac:dyDescent="0.25">
      <c r="F81" s="1756"/>
    </row>
    <row r="82" spans="6:6" x14ac:dyDescent="0.25">
      <c r="F82" s="1756"/>
    </row>
    <row r="83" spans="6:6" x14ac:dyDescent="0.25">
      <c r="F83" s="1756"/>
    </row>
    <row r="84" spans="6:6" x14ac:dyDescent="0.25">
      <c r="F84" s="1756"/>
    </row>
    <row r="85" spans="6:6" x14ac:dyDescent="0.25">
      <c r="F85" s="1756"/>
    </row>
    <row r="86" spans="6:6" x14ac:dyDescent="0.25">
      <c r="F86" s="1756"/>
    </row>
    <row r="87" spans="6:6" x14ac:dyDescent="0.25">
      <c r="F87" s="1756"/>
    </row>
    <row r="88" spans="6:6" x14ac:dyDescent="0.25">
      <c r="F88" s="1756"/>
    </row>
    <row r="89" spans="6:6" x14ac:dyDescent="0.25">
      <c r="F89" s="1756"/>
    </row>
    <row r="90" spans="6:6" x14ac:dyDescent="0.25">
      <c r="F90" s="1756"/>
    </row>
    <row r="91" spans="6:6" x14ac:dyDescent="0.25">
      <c r="F91" s="1756"/>
    </row>
    <row r="92" spans="6:6" x14ac:dyDescent="0.25">
      <c r="F92" s="1756"/>
    </row>
    <row r="93" spans="6:6" x14ac:dyDescent="0.25">
      <c r="F93" s="1756"/>
    </row>
    <row r="94" spans="6:6" x14ac:dyDescent="0.25">
      <c r="F94" s="1756"/>
    </row>
    <row r="95" spans="6:6" x14ac:dyDescent="0.25">
      <c r="F95" s="1756"/>
    </row>
    <row r="96" spans="6:6" x14ac:dyDescent="0.25">
      <c r="F96" s="1756"/>
    </row>
    <row r="97" spans="6:6" x14ac:dyDescent="0.25">
      <c r="F97" s="1756"/>
    </row>
    <row r="98" spans="6:6" x14ac:dyDescent="0.25">
      <c r="F98" s="1756"/>
    </row>
    <row r="99" spans="6:6" x14ac:dyDescent="0.25">
      <c r="F99" s="1756"/>
    </row>
    <row r="100" spans="6:6" x14ac:dyDescent="0.25">
      <c r="F100" s="1756"/>
    </row>
    <row r="101" spans="6:6" x14ac:dyDescent="0.25">
      <c r="F101" s="1756"/>
    </row>
    <row r="102" spans="6:6" x14ac:dyDescent="0.25">
      <c r="F102" s="1756"/>
    </row>
    <row r="103" spans="6:6" x14ac:dyDescent="0.25">
      <c r="F103" s="1756"/>
    </row>
    <row r="104" spans="6:6" x14ac:dyDescent="0.25">
      <c r="F104" s="1756"/>
    </row>
    <row r="105" spans="6:6" x14ac:dyDescent="0.25">
      <c r="F105" s="1756"/>
    </row>
    <row r="106" spans="6:6" x14ac:dyDescent="0.25">
      <c r="F106" s="1756"/>
    </row>
    <row r="107" spans="6:6" x14ac:dyDescent="0.25">
      <c r="F107" s="1756"/>
    </row>
    <row r="108" spans="6:6" x14ac:dyDescent="0.25">
      <c r="F108" s="1756"/>
    </row>
    <row r="109" spans="6:6" x14ac:dyDescent="0.25">
      <c r="F109" s="1756"/>
    </row>
    <row r="110" spans="6:6" x14ac:dyDescent="0.25">
      <c r="F110" s="1756"/>
    </row>
    <row r="111" spans="6:6" x14ac:dyDescent="0.25">
      <c r="F111" s="1756"/>
    </row>
    <row r="112" spans="6:6" x14ac:dyDescent="0.25">
      <c r="F112" s="1756"/>
    </row>
    <row r="113" spans="6:6" x14ac:dyDescent="0.25">
      <c r="F113" s="1756"/>
    </row>
    <row r="114" spans="6:6" x14ac:dyDescent="0.25">
      <c r="F114" s="1756"/>
    </row>
    <row r="115" spans="6:6" x14ac:dyDescent="0.25">
      <c r="F115" s="1756"/>
    </row>
    <row r="116" spans="6:6" x14ac:dyDescent="0.25">
      <c r="F116" s="1756"/>
    </row>
    <row r="117" spans="6:6" x14ac:dyDescent="0.25">
      <c r="F117" s="1756"/>
    </row>
    <row r="118" spans="6:6" x14ac:dyDescent="0.25">
      <c r="F118" s="1756"/>
    </row>
    <row r="119" spans="6:6" x14ac:dyDescent="0.25">
      <c r="F119" s="1756"/>
    </row>
    <row r="120" spans="6:6" x14ac:dyDescent="0.25">
      <c r="F120" s="1756"/>
    </row>
    <row r="121" spans="6:6" x14ac:dyDescent="0.25">
      <c r="F121" s="1756"/>
    </row>
    <row r="122" spans="6:6" x14ac:dyDescent="0.25">
      <c r="F122" s="1756"/>
    </row>
    <row r="123" spans="6:6" x14ac:dyDescent="0.25">
      <c r="F123" s="1756"/>
    </row>
    <row r="124" spans="6:6" x14ac:dyDescent="0.25">
      <c r="F124" s="1756"/>
    </row>
    <row r="125" spans="6:6" x14ac:dyDescent="0.25">
      <c r="F125" s="1756"/>
    </row>
    <row r="126" spans="6:6" x14ac:dyDescent="0.25">
      <c r="F126" s="1756"/>
    </row>
    <row r="127" spans="6:6" x14ac:dyDescent="0.25">
      <c r="F127" s="1756"/>
    </row>
    <row r="128" spans="6:6" x14ac:dyDescent="0.25">
      <c r="F128" s="1756"/>
    </row>
    <row r="129" spans="6:6" x14ac:dyDescent="0.25">
      <c r="F129" s="1756"/>
    </row>
    <row r="130" spans="6:6" x14ac:dyDescent="0.25">
      <c r="F130" s="1756"/>
    </row>
    <row r="131" spans="6:6" x14ac:dyDescent="0.25">
      <c r="F131" s="1756"/>
    </row>
    <row r="132" spans="6:6" x14ac:dyDescent="0.25">
      <c r="F132" s="1756"/>
    </row>
    <row r="133" spans="6:6" x14ac:dyDescent="0.25">
      <c r="F133" s="1756"/>
    </row>
    <row r="134" spans="6:6" x14ac:dyDescent="0.25">
      <c r="F134" s="1756"/>
    </row>
    <row r="135" spans="6:6" x14ac:dyDescent="0.25">
      <c r="F135" s="1756"/>
    </row>
    <row r="136" spans="6:6" x14ac:dyDescent="0.25">
      <c r="F136" s="1756"/>
    </row>
    <row r="137" spans="6:6" x14ac:dyDescent="0.25">
      <c r="F137" s="1756"/>
    </row>
    <row r="138" spans="6:6" x14ac:dyDescent="0.25">
      <c r="F138" s="1756"/>
    </row>
    <row r="139" spans="6:6" x14ac:dyDescent="0.25">
      <c r="F139" s="1756"/>
    </row>
    <row r="140" spans="6:6" x14ac:dyDescent="0.25">
      <c r="F140" s="1756"/>
    </row>
    <row r="141" spans="6:6" x14ac:dyDescent="0.25">
      <c r="F141" s="1756"/>
    </row>
    <row r="142" spans="6:6" x14ac:dyDescent="0.25">
      <c r="F142" s="1756"/>
    </row>
    <row r="143" spans="6:6" x14ac:dyDescent="0.25">
      <c r="F143" s="1756"/>
    </row>
    <row r="144" spans="6:6" x14ac:dyDescent="0.25">
      <c r="F144" s="1756"/>
    </row>
    <row r="145" spans="6:6" x14ac:dyDescent="0.25">
      <c r="F145" s="1756"/>
    </row>
    <row r="146" spans="6:6" x14ac:dyDescent="0.25">
      <c r="F146" s="1756"/>
    </row>
    <row r="147" spans="6:6" x14ac:dyDescent="0.25">
      <c r="F147" s="1756"/>
    </row>
    <row r="148" spans="6:6" x14ac:dyDescent="0.25">
      <c r="F148" s="1756"/>
    </row>
    <row r="149" spans="6:6" x14ac:dyDescent="0.25">
      <c r="F149" s="1756"/>
    </row>
    <row r="150" spans="6:6" x14ac:dyDescent="0.25">
      <c r="F150" s="1756"/>
    </row>
    <row r="151" spans="6:6" x14ac:dyDescent="0.25">
      <c r="F151" s="1756"/>
    </row>
    <row r="152" spans="6:6" x14ac:dyDescent="0.25">
      <c r="F152" s="1756"/>
    </row>
    <row r="153" spans="6:6" x14ac:dyDescent="0.25">
      <c r="F153" s="1756"/>
    </row>
    <row r="154" spans="6:6" x14ac:dyDescent="0.25">
      <c r="F154" s="1756"/>
    </row>
    <row r="155" spans="6:6" x14ac:dyDescent="0.25">
      <c r="F155" s="1756"/>
    </row>
    <row r="156" spans="6:6" x14ac:dyDescent="0.25">
      <c r="F156" s="1756"/>
    </row>
    <row r="157" spans="6:6" x14ac:dyDescent="0.25">
      <c r="F157" s="1756"/>
    </row>
    <row r="158" spans="6:6" x14ac:dyDescent="0.25">
      <c r="F158" s="1756"/>
    </row>
    <row r="159" spans="6:6" x14ac:dyDescent="0.25">
      <c r="F159" s="1756"/>
    </row>
    <row r="160" spans="6:6" x14ac:dyDescent="0.25">
      <c r="F160" s="1756"/>
    </row>
    <row r="161" spans="6:6" x14ac:dyDescent="0.25">
      <c r="F161" s="1756"/>
    </row>
    <row r="162" spans="6:6" x14ac:dyDescent="0.25">
      <c r="F162" s="1756"/>
    </row>
    <row r="163" spans="6:6" x14ac:dyDescent="0.25">
      <c r="F163" s="1756"/>
    </row>
    <row r="164" spans="6:6" x14ac:dyDescent="0.25">
      <c r="F164" s="1756"/>
    </row>
    <row r="165" spans="6:6" x14ac:dyDescent="0.25">
      <c r="F165" s="1756"/>
    </row>
    <row r="166" spans="6:6" x14ac:dyDescent="0.25">
      <c r="F166" s="1756"/>
    </row>
    <row r="167" spans="6:6" x14ac:dyDescent="0.25">
      <c r="F167" s="1756"/>
    </row>
    <row r="168" spans="6:6" x14ac:dyDescent="0.25">
      <c r="F168" s="1756"/>
    </row>
    <row r="169" spans="6:6" x14ac:dyDescent="0.25">
      <c r="F169" s="1756"/>
    </row>
    <row r="170" spans="6:6" x14ac:dyDescent="0.25">
      <c r="F170" s="1756"/>
    </row>
  </sheetData>
  <sheetProtection algorithmName="SHA-512" hashValue="RTbG1EEFTkRKtvUdxGJ+x9JbotlZNIVD+BhbmNCdJ7tmPxNowN7WpjRueIXYMJ28r3DCu2rNcfY0WSaOTPCdYQ==" saltValue="mv+BztRoB0JT2Ns6WbOnBg==" spinCount="100000" sheet="1" objects="1" scenarios="1" autoFilter="0"/>
  <dataConsolidate link="1"/>
  <mergeCells count="11">
    <mergeCell ref="A10:C10"/>
    <mergeCell ref="E10:G10"/>
    <mergeCell ref="C7:E7"/>
    <mergeCell ref="M7:Q7"/>
    <mergeCell ref="C8:E8"/>
    <mergeCell ref="R1:R3"/>
    <mergeCell ref="A2:Q2"/>
    <mergeCell ref="A3:Q3"/>
    <mergeCell ref="A4:Q4"/>
    <mergeCell ref="M6:Q6"/>
    <mergeCell ref="A1:Q1"/>
  </mergeCells>
  <conditionalFormatting sqref="S1:X3">
    <cfRule type="cellIs" dxfId="55" priority="2" stopIfTrue="1" operator="equal">
      <formula>"na"</formula>
    </cfRule>
  </conditionalFormatting>
  <conditionalFormatting sqref="R1:R3">
    <cfRule type="cellIs" dxfId="54" priority="1" stopIfTrue="1" operator="equal">
      <formula>"na"</formula>
    </cfRule>
  </conditionalFormatting>
  <dataValidations count="4">
    <dataValidation type="textLength" operator="equal" allowBlank="1" showInputMessage="1" showErrorMessage="1" errorTitle="Invalid data!" error="GASB number must be 4 digits." sqref="WVU983047:WVV983061 JF8:JG8 TB8:TC8 ACX8:ACY8 AMT8:AMU8 AWP8:AWQ8 BGL8:BGM8 BQH8:BQI8 CAD8:CAE8 CJZ8:CKA8 CTV8:CTW8 DDR8:DDS8 DNN8:DNO8 DXJ8:DXK8 EHF8:EHG8 ERB8:ERC8 FAX8:FAY8 FKT8:FKU8 FUP8:FUQ8 GEL8:GEM8 GOH8:GOI8 GYD8:GYE8 HHZ8:HIA8 HRV8:HRW8 IBR8:IBS8 ILN8:ILO8 IVJ8:IVK8 JFF8:JFG8 JPB8:JPC8 JYX8:JYY8 KIT8:KIU8 KSP8:KSQ8 LCL8:LCM8 LMH8:LMI8 LWD8:LWE8 MFZ8:MGA8 MPV8:MPW8 MZR8:MZS8 NJN8:NJO8 NTJ8:NTK8 ODF8:ODG8 ONB8:ONC8 OWX8:OWY8 PGT8:PGU8 PQP8:PQQ8 QAL8:QAM8 QKH8:QKI8 QUD8:QUE8 RDZ8:REA8 RNV8:RNW8 RXR8:RXS8 SHN8:SHO8 SRJ8:SRK8 TBF8:TBG8 TLB8:TLC8 TUX8:TUY8 UET8:UEU8 UOP8:UOQ8 UYL8:UYM8 VIH8:VII8 VSD8:VSE8 WBZ8:WCA8 WLV8:WLW8 WVR8:WVS8 D65537:E65537 JF65537:JG65537 TB65537:TC65537 ACX65537:ACY65537 AMT65537:AMU65537 AWP65537:AWQ65537 BGL65537:BGM65537 BQH65537:BQI65537 CAD65537:CAE65537 CJZ65537:CKA65537 CTV65537:CTW65537 DDR65537:DDS65537 DNN65537:DNO65537 DXJ65537:DXK65537 EHF65537:EHG65537 ERB65537:ERC65537 FAX65537:FAY65537 FKT65537:FKU65537 FUP65537:FUQ65537 GEL65537:GEM65537 GOH65537:GOI65537 GYD65537:GYE65537 HHZ65537:HIA65537 HRV65537:HRW65537 IBR65537:IBS65537 ILN65537:ILO65537 IVJ65537:IVK65537 JFF65537:JFG65537 JPB65537:JPC65537 JYX65537:JYY65537 KIT65537:KIU65537 KSP65537:KSQ65537 LCL65537:LCM65537 LMH65537:LMI65537 LWD65537:LWE65537 MFZ65537:MGA65537 MPV65537:MPW65537 MZR65537:MZS65537 NJN65537:NJO65537 NTJ65537:NTK65537 ODF65537:ODG65537 ONB65537:ONC65537 OWX65537:OWY65537 PGT65537:PGU65537 PQP65537:PQQ65537 QAL65537:QAM65537 QKH65537:QKI65537 QUD65537:QUE65537 RDZ65537:REA65537 RNV65537:RNW65537 RXR65537:RXS65537 SHN65537:SHO65537 SRJ65537:SRK65537 TBF65537:TBG65537 TLB65537:TLC65537 TUX65537:TUY65537 UET65537:UEU65537 UOP65537:UOQ65537 UYL65537:UYM65537 VIH65537:VII65537 VSD65537:VSE65537 WBZ65537:WCA65537 WLV65537:WLW65537 WVR65537:WVS65537 D131073:E131073 JF131073:JG131073 TB131073:TC131073 ACX131073:ACY131073 AMT131073:AMU131073 AWP131073:AWQ131073 BGL131073:BGM131073 BQH131073:BQI131073 CAD131073:CAE131073 CJZ131073:CKA131073 CTV131073:CTW131073 DDR131073:DDS131073 DNN131073:DNO131073 DXJ131073:DXK131073 EHF131073:EHG131073 ERB131073:ERC131073 FAX131073:FAY131073 FKT131073:FKU131073 FUP131073:FUQ131073 GEL131073:GEM131073 GOH131073:GOI131073 GYD131073:GYE131073 HHZ131073:HIA131073 HRV131073:HRW131073 IBR131073:IBS131073 ILN131073:ILO131073 IVJ131073:IVK131073 JFF131073:JFG131073 JPB131073:JPC131073 JYX131073:JYY131073 KIT131073:KIU131073 KSP131073:KSQ131073 LCL131073:LCM131073 LMH131073:LMI131073 LWD131073:LWE131073 MFZ131073:MGA131073 MPV131073:MPW131073 MZR131073:MZS131073 NJN131073:NJO131073 NTJ131073:NTK131073 ODF131073:ODG131073 ONB131073:ONC131073 OWX131073:OWY131073 PGT131073:PGU131073 PQP131073:PQQ131073 QAL131073:QAM131073 QKH131073:QKI131073 QUD131073:QUE131073 RDZ131073:REA131073 RNV131073:RNW131073 RXR131073:RXS131073 SHN131073:SHO131073 SRJ131073:SRK131073 TBF131073:TBG131073 TLB131073:TLC131073 TUX131073:TUY131073 UET131073:UEU131073 UOP131073:UOQ131073 UYL131073:UYM131073 VIH131073:VII131073 VSD131073:VSE131073 WBZ131073:WCA131073 WLV131073:WLW131073 WVR131073:WVS131073 D196609:E196609 JF196609:JG196609 TB196609:TC196609 ACX196609:ACY196609 AMT196609:AMU196609 AWP196609:AWQ196609 BGL196609:BGM196609 BQH196609:BQI196609 CAD196609:CAE196609 CJZ196609:CKA196609 CTV196609:CTW196609 DDR196609:DDS196609 DNN196609:DNO196609 DXJ196609:DXK196609 EHF196609:EHG196609 ERB196609:ERC196609 FAX196609:FAY196609 FKT196609:FKU196609 FUP196609:FUQ196609 GEL196609:GEM196609 GOH196609:GOI196609 GYD196609:GYE196609 HHZ196609:HIA196609 HRV196609:HRW196609 IBR196609:IBS196609 ILN196609:ILO196609 IVJ196609:IVK196609 JFF196609:JFG196609 JPB196609:JPC196609 JYX196609:JYY196609 KIT196609:KIU196609 KSP196609:KSQ196609 LCL196609:LCM196609 LMH196609:LMI196609 LWD196609:LWE196609 MFZ196609:MGA196609 MPV196609:MPW196609 MZR196609:MZS196609 NJN196609:NJO196609 NTJ196609:NTK196609 ODF196609:ODG196609 ONB196609:ONC196609 OWX196609:OWY196609 PGT196609:PGU196609 PQP196609:PQQ196609 QAL196609:QAM196609 QKH196609:QKI196609 QUD196609:QUE196609 RDZ196609:REA196609 RNV196609:RNW196609 RXR196609:RXS196609 SHN196609:SHO196609 SRJ196609:SRK196609 TBF196609:TBG196609 TLB196609:TLC196609 TUX196609:TUY196609 UET196609:UEU196609 UOP196609:UOQ196609 UYL196609:UYM196609 VIH196609:VII196609 VSD196609:VSE196609 WBZ196609:WCA196609 WLV196609:WLW196609 WVR196609:WVS196609 D262145:E262145 JF262145:JG262145 TB262145:TC262145 ACX262145:ACY262145 AMT262145:AMU262145 AWP262145:AWQ262145 BGL262145:BGM262145 BQH262145:BQI262145 CAD262145:CAE262145 CJZ262145:CKA262145 CTV262145:CTW262145 DDR262145:DDS262145 DNN262145:DNO262145 DXJ262145:DXK262145 EHF262145:EHG262145 ERB262145:ERC262145 FAX262145:FAY262145 FKT262145:FKU262145 FUP262145:FUQ262145 GEL262145:GEM262145 GOH262145:GOI262145 GYD262145:GYE262145 HHZ262145:HIA262145 HRV262145:HRW262145 IBR262145:IBS262145 ILN262145:ILO262145 IVJ262145:IVK262145 JFF262145:JFG262145 JPB262145:JPC262145 JYX262145:JYY262145 KIT262145:KIU262145 KSP262145:KSQ262145 LCL262145:LCM262145 LMH262145:LMI262145 LWD262145:LWE262145 MFZ262145:MGA262145 MPV262145:MPW262145 MZR262145:MZS262145 NJN262145:NJO262145 NTJ262145:NTK262145 ODF262145:ODG262145 ONB262145:ONC262145 OWX262145:OWY262145 PGT262145:PGU262145 PQP262145:PQQ262145 QAL262145:QAM262145 QKH262145:QKI262145 QUD262145:QUE262145 RDZ262145:REA262145 RNV262145:RNW262145 RXR262145:RXS262145 SHN262145:SHO262145 SRJ262145:SRK262145 TBF262145:TBG262145 TLB262145:TLC262145 TUX262145:TUY262145 UET262145:UEU262145 UOP262145:UOQ262145 UYL262145:UYM262145 VIH262145:VII262145 VSD262145:VSE262145 WBZ262145:WCA262145 WLV262145:WLW262145 WVR262145:WVS262145 D327681:E327681 JF327681:JG327681 TB327681:TC327681 ACX327681:ACY327681 AMT327681:AMU327681 AWP327681:AWQ327681 BGL327681:BGM327681 BQH327681:BQI327681 CAD327681:CAE327681 CJZ327681:CKA327681 CTV327681:CTW327681 DDR327681:DDS327681 DNN327681:DNO327681 DXJ327681:DXK327681 EHF327681:EHG327681 ERB327681:ERC327681 FAX327681:FAY327681 FKT327681:FKU327681 FUP327681:FUQ327681 GEL327681:GEM327681 GOH327681:GOI327681 GYD327681:GYE327681 HHZ327681:HIA327681 HRV327681:HRW327681 IBR327681:IBS327681 ILN327681:ILO327681 IVJ327681:IVK327681 JFF327681:JFG327681 JPB327681:JPC327681 JYX327681:JYY327681 KIT327681:KIU327681 KSP327681:KSQ327681 LCL327681:LCM327681 LMH327681:LMI327681 LWD327681:LWE327681 MFZ327681:MGA327681 MPV327681:MPW327681 MZR327681:MZS327681 NJN327681:NJO327681 NTJ327681:NTK327681 ODF327681:ODG327681 ONB327681:ONC327681 OWX327681:OWY327681 PGT327681:PGU327681 PQP327681:PQQ327681 QAL327681:QAM327681 QKH327681:QKI327681 QUD327681:QUE327681 RDZ327681:REA327681 RNV327681:RNW327681 RXR327681:RXS327681 SHN327681:SHO327681 SRJ327681:SRK327681 TBF327681:TBG327681 TLB327681:TLC327681 TUX327681:TUY327681 UET327681:UEU327681 UOP327681:UOQ327681 UYL327681:UYM327681 VIH327681:VII327681 VSD327681:VSE327681 WBZ327681:WCA327681 WLV327681:WLW327681 WVR327681:WVS327681 D393217:E393217 JF393217:JG393217 TB393217:TC393217 ACX393217:ACY393217 AMT393217:AMU393217 AWP393217:AWQ393217 BGL393217:BGM393217 BQH393217:BQI393217 CAD393217:CAE393217 CJZ393217:CKA393217 CTV393217:CTW393217 DDR393217:DDS393217 DNN393217:DNO393217 DXJ393217:DXK393217 EHF393217:EHG393217 ERB393217:ERC393217 FAX393217:FAY393217 FKT393217:FKU393217 FUP393217:FUQ393217 GEL393217:GEM393217 GOH393217:GOI393217 GYD393217:GYE393217 HHZ393217:HIA393217 HRV393217:HRW393217 IBR393217:IBS393217 ILN393217:ILO393217 IVJ393217:IVK393217 JFF393217:JFG393217 JPB393217:JPC393217 JYX393217:JYY393217 KIT393217:KIU393217 KSP393217:KSQ393217 LCL393217:LCM393217 LMH393217:LMI393217 LWD393217:LWE393217 MFZ393217:MGA393217 MPV393217:MPW393217 MZR393217:MZS393217 NJN393217:NJO393217 NTJ393217:NTK393217 ODF393217:ODG393217 ONB393217:ONC393217 OWX393217:OWY393217 PGT393217:PGU393217 PQP393217:PQQ393217 QAL393217:QAM393217 QKH393217:QKI393217 QUD393217:QUE393217 RDZ393217:REA393217 RNV393217:RNW393217 RXR393217:RXS393217 SHN393217:SHO393217 SRJ393217:SRK393217 TBF393217:TBG393217 TLB393217:TLC393217 TUX393217:TUY393217 UET393217:UEU393217 UOP393217:UOQ393217 UYL393217:UYM393217 VIH393217:VII393217 VSD393217:VSE393217 WBZ393217:WCA393217 WLV393217:WLW393217 WVR393217:WVS393217 D458753:E458753 JF458753:JG458753 TB458753:TC458753 ACX458753:ACY458753 AMT458753:AMU458753 AWP458753:AWQ458753 BGL458753:BGM458753 BQH458753:BQI458753 CAD458753:CAE458753 CJZ458753:CKA458753 CTV458753:CTW458753 DDR458753:DDS458753 DNN458753:DNO458753 DXJ458753:DXK458753 EHF458753:EHG458753 ERB458753:ERC458753 FAX458753:FAY458753 FKT458753:FKU458753 FUP458753:FUQ458753 GEL458753:GEM458753 GOH458753:GOI458753 GYD458753:GYE458753 HHZ458753:HIA458753 HRV458753:HRW458753 IBR458753:IBS458753 ILN458753:ILO458753 IVJ458753:IVK458753 JFF458753:JFG458753 JPB458753:JPC458753 JYX458753:JYY458753 KIT458753:KIU458753 KSP458753:KSQ458753 LCL458753:LCM458753 LMH458753:LMI458753 LWD458753:LWE458753 MFZ458753:MGA458753 MPV458753:MPW458753 MZR458753:MZS458753 NJN458753:NJO458753 NTJ458753:NTK458753 ODF458753:ODG458753 ONB458753:ONC458753 OWX458753:OWY458753 PGT458753:PGU458753 PQP458753:PQQ458753 QAL458753:QAM458753 QKH458753:QKI458753 QUD458753:QUE458753 RDZ458753:REA458753 RNV458753:RNW458753 RXR458753:RXS458753 SHN458753:SHO458753 SRJ458753:SRK458753 TBF458753:TBG458753 TLB458753:TLC458753 TUX458753:TUY458753 UET458753:UEU458753 UOP458753:UOQ458753 UYL458753:UYM458753 VIH458753:VII458753 VSD458753:VSE458753 WBZ458753:WCA458753 WLV458753:WLW458753 WVR458753:WVS458753 D524289:E524289 JF524289:JG524289 TB524289:TC524289 ACX524289:ACY524289 AMT524289:AMU524289 AWP524289:AWQ524289 BGL524289:BGM524289 BQH524289:BQI524289 CAD524289:CAE524289 CJZ524289:CKA524289 CTV524289:CTW524289 DDR524289:DDS524289 DNN524289:DNO524289 DXJ524289:DXK524289 EHF524289:EHG524289 ERB524289:ERC524289 FAX524289:FAY524289 FKT524289:FKU524289 FUP524289:FUQ524289 GEL524289:GEM524289 GOH524289:GOI524289 GYD524289:GYE524289 HHZ524289:HIA524289 HRV524289:HRW524289 IBR524289:IBS524289 ILN524289:ILO524289 IVJ524289:IVK524289 JFF524289:JFG524289 JPB524289:JPC524289 JYX524289:JYY524289 KIT524289:KIU524289 KSP524289:KSQ524289 LCL524289:LCM524289 LMH524289:LMI524289 LWD524289:LWE524289 MFZ524289:MGA524289 MPV524289:MPW524289 MZR524289:MZS524289 NJN524289:NJO524289 NTJ524289:NTK524289 ODF524289:ODG524289 ONB524289:ONC524289 OWX524289:OWY524289 PGT524289:PGU524289 PQP524289:PQQ524289 QAL524289:QAM524289 QKH524289:QKI524289 QUD524289:QUE524289 RDZ524289:REA524289 RNV524289:RNW524289 RXR524289:RXS524289 SHN524289:SHO524289 SRJ524289:SRK524289 TBF524289:TBG524289 TLB524289:TLC524289 TUX524289:TUY524289 UET524289:UEU524289 UOP524289:UOQ524289 UYL524289:UYM524289 VIH524289:VII524289 VSD524289:VSE524289 WBZ524289:WCA524289 WLV524289:WLW524289 WVR524289:WVS524289 D589825:E589825 JF589825:JG589825 TB589825:TC589825 ACX589825:ACY589825 AMT589825:AMU589825 AWP589825:AWQ589825 BGL589825:BGM589825 BQH589825:BQI589825 CAD589825:CAE589825 CJZ589825:CKA589825 CTV589825:CTW589825 DDR589825:DDS589825 DNN589825:DNO589825 DXJ589825:DXK589825 EHF589825:EHG589825 ERB589825:ERC589825 FAX589825:FAY589825 FKT589825:FKU589825 FUP589825:FUQ589825 GEL589825:GEM589825 GOH589825:GOI589825 GYD589825:GYE589825 HHZ589825:HIA589825 HRV589825:HRW589825 IBR589825:IBS589825 ILN589825:ILO589825 IVJ589825:IVK589825 JFF589825:JFG589825 JPB589825:JPC589825 JYX589825:JYY589825 KIT589825:KIU589825 KSP589825:KSQ589825 LCL589825:LCM589825 LMH589825:LMI589825 LWD589825:LWE589825 MFZ589825:MGA589825 MPV589825:MPW589825 MZR589825:MZS589825 NJN589825:NJO589825 NTJ589825:NTK589825 ODF589825:ODG589825 ONB589825:ONC589825 OWX589825:OWY589825 PGT589825:PGU589825 PQP589825:PQQ589825 QAL589825:QAM589825 QKH589825:QKI589825 QUD589825:QUE589825 RDZ589825:REA589825 RNV589825:RNW589825 RXR589825:RXS589825 SHN589825:SHO589825 SRJ589825:SRK589825 TBF589825:TBG589825 TLB589825:TLC589825 TUX589825:TUY589825 UET589825:UEU589825 UOP589825:UOQ589825 UYL589825:UYM589825 VIH589825:VII589825 VSD589825:VSE589825 WBZ589825:WCA589825 WLV589825:WLW589825 WVR589825:WVS589825 D655361:E655361 JF655361:JG655361 TB655361:TC655361 ACX655361:ACY655361 AMT655361:AMU655361 AWP655361:AWQ655361 BGL655361:BGM655361 BQH655361:BQI655361 CAD655361:CAE655361 CJZ655361:CKA655361 CTV655361:CTW655361 DDR655361:DDS655361 DNN655361:DNO655361 DXJ655361:DXK655361 EHF655361:EHG655361 ERB655361:ERC655361 FAX655361:FAY655361 FKT655361:FKU655361 FUP655361:FUQ655361 GEL655361:GEM655361 GOH655361:GOI655361 GYD655361:GYE655361 HHZ655361:HIA655361 HRV655361:HRW655361 IBR655361:IBS655361 ILN655361:ILO655361 IVJ655361:IVK655361 JFF655361:JFG655361 JPB655361:JPC655361 JYX655361:JYY655361 KIT655361:KIU655361 KSP655361:KSQ655361 LCL655361:LCM655361 LMH655361:LMI655361 LWD655361:LWE655361 MFZ655361:MGA655361 MPV655361:MPW655361 MZR655361:MZS655361 NJN655361:NJO655361 NTJ655361:NTK655361 ODF655361:ODG655361 ONB655361:ONC655361 OWX655361:OWY655361 PGT655361:PGU655361 PQP655361:PQQ655361 QAL655361:QAM655361 QKH655361:QKI655361 QUD655361:QUE655361 RDZ655361:REA655361 RNV655361:RNW655361 RXR655361:RXS655361 SHN655361:SHO655361 SRJ655361:SRK655361 TBF655361:TBG655361 TLB655361:TLC655361 TUX655361:TUY655361 UET655361:UEU655361 UOP655361:UOQ655361 UYL655361:UYM655361 VIH655361:VII655361 VSD655361:VSE655361 WBZ655361:WCA655361 WLV655361:WLW655361 WVR655361:WVS655361 D720897:E720897 JF720897:JG720897 TB720897:TC720897 ACX720897:ACY720897 AMT720897:AMU720897 AWP720897:AWQ720897 BGL720897:BGM720897 BQH720897:BQI720897 CAD720897:CAE720897 CJZ720897:CKA720897 CTV720897:CTW720897 DDR720897:DDS720897 DNN720897:DNO720897 DXJ720897:DXK720897 EHF720897:EHG720897 ERB720897:ERC720897 FAX720897:FAY720897 FKT720897:FKU720897 FUP720897:FUQ720897 GEL720897:GEM720897 GOH720897:GOI720897 GYD720897:GYE720897 HHZ720897:HIA720897 HRV720897:HRW720897 IBR720897:IBS720897 ILN720897:ILO720897 IVJ720897:IVK720897 JFF720897:JFG720897 JPB720897:JPC720897 JYX720897:JYY720897 KIT720897:KIU720897 KSP720897:KSQ720897 LCL720897:LCM720897 LMH720897:LMI720897 LWD720897:LWE720897 MFZ720897:MGA720897 MPV720897:MPW720897 MZR720897:MZS720897 NJN720897:NJO720897 NTJ720897:NTK720897 ODF720897:ODG720897 ONB720897:ONC720897 OWX720897:OWY720897 PGT720897:PGU720897 PQP720897:PQQ720897 QAL720897:QAM720897 QKH720897:QKI720897 QUD720897:QUE720897 RDZ720897:REA720897 RNV720897:RNW720897 RXR720897:RXS720897 SHN720897:SHO720897 SRJ720897:SRK720897 TBF720897:TBG720897 TLB720897:TLC720897 TUX720897:TUY720897 UET720897:UEU720897 UOP720897:UOQ720897 UYL720897:UYM720897 VIH720897:VII720897 VSD720897:VSE720897 WBZ720897:WCA720897 WLV720897:WLW720897 WVR720897:WVS720897 D786433:E786433 JF786433:JG786433 TB786433:TC786433 ACX786433:ACY786433 AMT786433:AMU786433 AWP786433:AWQ786433 BGL786433:BGM786433 BQH786433:BQI786433 CAD786433:CAE786433 CJZ786433:CKA786433 CTV786433:CTW786433 DDR786433:DDS786433 DNN786433:DNO786433 DXJ786433:DXK786433 EHF786433:EHG786433 ERB786433:ERC786433 FAX786433:FAY786433 FKT786433:FKU786433 FUP786433:FUQ786433 GEL786433:GEM786433 GOH786433:GOI786433 GYD786433:GYE786433 HHZ786433:HIA786433 HRV786433:HRW786433 IBR786433:IBS786433 ILN786433:ILO786433 IVJ786433:IVK786433 JFF786433:JFG786433 JPB786433:JPC786433 JYX786433:JYY786433 KIT786433:KIU786433 KSP786433:KSQ786433 LCL786433:LCM786433 LMH786433:LMI786433 LWD786433:LWE786433 MFZ786433:MGA786433 MPV786433:MPW786433 MZR786433:MZS786433 NJN786433:NJO786433 NTJ786433:NTK786433 ODF786433:ODG786433 ONB786433:ONC786433 OWX786433:OWY786433 PGT786433:PGU786433 PQP786433:PQQ786433 QAL786433:QAM786433 QKH786433:QKI786433 QUD786433:QUE786433 RDZ786433:REA786433 RNV786433:RNW786433 RXR786433:RXS786433 SHN786433:SHO786433 SRJ786433:SRK786433 TBF786433:TBG786433 TLB786433:TLC786433 TUX786433:TUY786433 UET786433:UEU786433 UOP786433:UOQ786433 UYL786433:UYM786433 VIH786433:VII786433 VSD786433:VSE786433 WBZ786433:WCA786433 WLV786433:WLW786433 WVR786433:WVS786433 D851969:E851969 JF851969:JG851969 TB851969:TC851969 ACX851969:ACY851969 AMT851969:AMU851969 AWP851969:AWQ851969 BGL851969:BGM851969 BQH851969:BQI851969 CAD851969:CAE851969 CJZ851969:CKA851969 CTV851969:CTW851969 DDR851969:DDS851969 DNN851969:DNO851969 DXJ851969:DXK851969 EHF851969:EHG851969 ERB851969:ERC851969 FAX851969:FAY851969 FKT851969:FKU851969 FUP851969:FUQ851969 GEL851969:GEM851969 GOH851969:GOI851969 GYD851969:GYE851969 HHZ851969:HIA851969 HRV851969:HRW851969 IBR851969:IBS851969 ILN851969:ILO851969 IVJ851969:IVK851969 JFF851969:JFG851969 JPB851969:JPC851969 JYX851969:JYY851969 KIT851969:KIU851969 KSP851969:KSQ851969 LCL851969:LCM851969 LMH851969:LMI851969 LWD851969:LWE851969 MFZ851969:MGA851969 MPV851969:MPW851969 MZR851969:MZS851969 NJN851969:NJO851969 NTJ851969:NTK851969 ODF851969:ODG851969 ONB851969:ONC851969 OWX851969:OWY851969 PGT851969:PGU851969 PQP851969:PQQ851969 QAL851969:QAM851969 QKH851969:QKI851969 QUD851969:QUE851969 RDZ851969:REA851969 RNV851969:RNW851969 RXR851969:RXS851969 SHN851969:SHO851969 SRJ851969:SRK851969 TBF851969:TBG851969 TLB851969:TLC851969 TUX851969:TUY851969 UET851969:UEU851969 UOP851969:UOQ851969 UYL851969:UYM851969 VIH851969:VII851969 VSD851969:VSE851969 WBZ851969:WCA851969 WLV851969:WLW851969 WVR851969:WVS851969 D917505:E917505 JF917505:JG917505 TB917505:TC917505 ACX917505:ACY917505 AMT917505:AMU917505 AWP917505:AWQ917505 BGL917505:BGM917505 BQH917505:BQI917505 CAD917505:CAE917505 CJZ917505:CKA917505 CTV917505:CTW917505 DDR917505:DDS917505 DNN917505:DNO917505 DXJ917505:DXK917505 EHF917505:EHG917505 ERB917505:ERC917505 FAX917505:FAY917505 FKT917505:FKU917505 FUP917505:FUQ917505 GEL917505:GEM917505 GOH917505:GOI917505 GYD917505:GYE917505 HHZ917505:HIA917505 HRV917505:HRW917505 IBR917505:IBS917505 ILN917505:ILO917505 IVJ917505:IVK917505 JFF917505:JFG917505 JPB917505:JPC917505 JYX917505:JYY917505 KIT917505:KIU917505 KSP917505:KSQ917505 LCL917505:LCM917505 LMH917505:LMI917505 LWD917505:LWE917505 MFZ917505:MGA917505 MPV917505:MPW917505 MZR917505:MZS917505 NJN917505:NJO917505 NTJ917505:NTK917505 ODF917505:ODG917505 ONB917505:ONC917505 OWX917505:OWY917505 PGT917505:PGU917505 PQP917505:PQQ917505 QAL917505:QAM917505 QKH917505:QKI917505 QUD917505:QUE917505 RDZ917505:REA917505 RNV917505:RNW917505 RXR917505:RXS917505 SHN917505:SHO917505 SRJ917505:SRK917505 TBF917505:TBG917505 TLB917505:TLC917505 TUX917505:TUY917505 UET917505:UEU917505 UOP917505:UOQ917505 UYL917505:UYM917505 VIH917505:VII917505 VSD917505:VSE917505 WBZ917505:WCA917505 WLV917505:WLW917505 WVR917505:WVS917505 D983041:E983041 JF983041:JG983041 TB983041:TC983041 ACX983041:ACY983041 AMT983041:AMU983041 AWP983041:AWQ983041 BGL983041:BGM983041 BQH983041:BQI983041 CAD983041:CAE983041 CJZ983041:CKA983041 CTV983041:CTW983041 DDR983041:DDS983041 DNN983041:DNO983041 DXJ983041:DXK983041 EHF983041:EHG983041 ERB983041:ERC983041 FAX983041:FAY983041 FKT983041:FKU983041 FUP983041:FUQ983041 GEL983041:GEM983041 GOH983041:GOI983041 GYD983041:GYE983041 HHZ983041:HIA983041 HRV983041:HRW983041 IBR983041:IBS983041 ILN983041:ILO983041 IVJ983041:IVK983041 JFF983041:JFG983041 JPB983041:JPC983041 JYX983041:JYY983041 KIT983041:KIU983041 KSP983041:KSQ983041 LCL983041:LCM983041 LMH983041:LMI983041 LWD983041:LWE983041 MFZ983041:MGA983041 MPV983041:MPW983041 MZR983041:MZS983041 NJN983041:NJO983041 NTJ983041:NTK983041 ODF983041:ODG983041 ONB983041:ONC983041 OWX983041:OWY983041 PGT983041:PGU983041 PQP983041:PQQ983041 QAL983041:QAM983041 QKH983041:QKI983041 QUD983041:QUE983041 RDZ983041:REA983041 RNV983041:RNW983041 RXR983041:RXS983041 SHN983041:SHO983041 SRJ983041:SRK983041 TBF983041:TBG983041 TLB983041:TLC983041 TUX983041:TUY983041 UET983041:UEU983041 UOP983041:UOQ983041 UYL983041:UYM983041 VIH983041:VII983041 VSD983041:VSE983041 WBZ983041:WCA983041 WLV983041:WLW983041 WVR983041:WVS983041 C8 JI18:JJ32 TE18:TF32 ADA18:ADB32 AMW18:AMX32 AWS18:AWT32 BGO18:BGP32 BQK18:BQL32 CAG18:CAH32 CKC18:CKD32 CTY18:CTZ32 DDU18:DDV32 DNQ18:DNR32 DXM18:DXN32 EHI18:EHJ32 ERE18:ERF32 FBA18:FBB32 FKW18:FKX32 FUS18:FUT32 GEO18:GEP32 GOK18:GOL32 GYG18:GYH32 HIC18:HID32 HRY18:HRZ32 IBU18:IBV32 ILQ18:ILR32 IVM18:IVN32 JFI18:JFJ32 JPE18:JPF32 JZA18:JZB32 KIW18:KIX32 KSS18:KST32 LCO18:LCP32 LMK18:LML32 LWG18:LWH32 MGC18:MGD32 MPY18:MPZ32 MZU18:MZV32 NJQ18:NJR32 NTM18:NTN32 ODI18:ODJ32 ONE18:ONF32 OXA18:OXB32 PGW18:PGX32 PQS18:PQT32 QAO18:QAP32 QKK18:QKL32 QUG18:QUH32 REC18:RED32 RNY18:RNZ32 RXU18:RXV32 SHQ18:SHR32 SRM18:SRN32 TBI18:TBJ32 TLE18:TLF32 TVA18:TVB32 UEW18:UEX32 UOS18:UOT32 UYO18:UYP32 VIK18:VIL32 VSG18:VSH32 WCC18:WCD32 WLY18:WLZ32 WVU18:WVV32 G65543:H65557 JI65543:JJ65557 TE65543:TF65557 ADA65543:ADB65557 AMW65543:AMX65557 AWS65543:AWT65557 BGO65543:BGP65557 BQK65543:BQL65557 CAG65543:CAH65557 CKC65543:CKD65557 CTY65543:CTZ65557 DDU65543:DDV65557 DNQ65543:DNR65557 DXM65543:DXN65557 EHI65543:EHJ65557 ERE65543:ERF65557 FBA65543:FBB65557 FKW65543:FKX65557 FUS65543:FUT65557 GEO65543:GEP65557 GOK65543:GOL65557 GYG65543:GYH65557 HIC65543:HID65557 HRY65543:HRZ65557 IBU65543:IBV65557 ILQ65543:ILR65557 IVM65543:IVN65557 JFI65543:JFJ65557 JPE65543:JPF65557 JZA65543:JZB65557 KIW65543:KIX65557 KSS65543:KST65557 LCO65543:LCP65557 LMK65543:LML65557 LWG65543:LWH65557 MGC65543:MGD65557 MPY65543:MPZ65557 MZU65543:MZV65557 NJQ65543:NJR65557 NTM65543:NTN65557 ODI65543:ODJ65557 ONE65543:ONF65557 OXA65543:OXB65557 PGW65543:PGX65557 PQS65543:PQT65557 QAO65543:QAP65557 QKK65543:QKL65557 QUG65543:QUH65557 REC65543:RED65557 RNY65543:RNZ65557 RXU65543:RXV65557 SHQ65543:SHR65557 SRM65543:SRN65557 TBI65543:TBJ65557 TLE65543:TLF65557 TVA65543:TVB65557 UEW65543:UEX65557 UOS65543:UOT65557 UYO65543:UYP65557 VIK65543:VIL65557 VSG65543:VSH65557 WCC65543:WCD65557 WLY65543:WLZ65557 WVU65543:WVV65557 G131079:H131093 JI131079:JJ131093 TE131079:TF131093 ADA131079:ADB131093 AMW131079:AMX131093 AWS131079:AWT131093 BGO131079:BGP131093 BQK131079:BQL131093 CAG131079:CAH131093 CKC131079:CKD131093 CTY131079:CTZ131093 DDU131079:DDV131093 DNQ131079:DNR131093 DXM131079:DXN131093 EHI131079:EHJ131093 ERE131079:ERF131093 FBA131079:FBB131093 FKW131079:FKX131093 FUS131079:FUT131093 GEO131079:GEP131093 GOK131079:GOL131093 GYG131079:GYH131093 HIC131079:HID131093 HRY131079:HRZ131093 IBU131079:IBV131093 ILQ131079:ILR131093 IVM131079:IVN131093 JFI131079:JFJ131093 JPE131079:JPF131093 JZA131079:JZB131093 KIW131079:KIX131093 KSS131079:KST131093 LCO131079:LCP131093 LMK131079:LML131093 LWG131079:LWH131093 MGC131079:MGD131093 MPY131079:MPZ131093 MZU131079:MZV131093 NJQ131079:NJR131093 NTM131079:NTN131093 ODI131079:ODJ131093 ONE131079:ONF131093 OXA131079:OXB131093 PGW131079:PGX131093 PQS131079:PQT131093 QAO131079:QAP131093 QKK131079:QKL131093 QUG131079:QUH131093 REC131079:RED131093 RNY131079:RNZ131093 RXU131079:RXV131093 SHQ131079:SHR131093 SRM131079:SRN131093 TBI131079:TBJ131093 TLE131079:TLF131093 TVA131079:TVB131093 UEW131079:UEX131093 UOS131079:UOT131093 UYO131079:UYP131093 VIK131079:VIL131093 VSG131079:VSH131093 WCC131079:WCD131093 WLY131079:WLZ131093 WVU131079:WVV131093 G196615:H196629 JI196615:JJ196629 TE196615:TF196629 ADA196615:ADB196629 AMW196615:AMX196629 AWS196615:AWT196629 BGO196615:BGP196629 BQK196615:BQL196629 CAG196615:CAH196629 CKC196615:CKD196629 CTY196615:CTZ196629 DDU196615:DDV196629 DNQ196615:DNR196629 DXM196615:DXN196629 EHI196615:EHJ196629 ERE196615:ERF196629 FBA196615:FBB196629 FKW196615:FKX196629 FUS196615:FUT196629 GEO196615:GEP196629 GOK196615:GOL196629 GYG196615:GYH196629 HIC196615:HID196629 HRY196615:HRZ196629 IBU196615:IBV196629 ILQ196615:ILR196629 IVM196615:IVN196629 JFI196615:JFJ196629 JPE196615:JPF196629 JZA196615:JZB196629 KIW196615:KIX196629 KSS196615:KST196629 LCO196615:LCP196629 LMK196615:LML196629 LWG196615:LWH196629 MGC196615:MGD196629 MPY196615:MPZ196629 MZU196615:MZV196629 NJQ196615:NJR196629 NTM196615:NTN196629 ODI196615:ODJ196629 ONE196615:ONF196629 OXA196615:OXB196629 PGW196615:PGX196629 PQS196615:PQT196629 QAO196615:QAP196629 QKK196615:QKL196629 QUG196615:QUH196629 REC196615:RED196629 RNY196615:RNZ196629 RXU196615:RXV196629 SHQ196615:SHR196629 SRM196615:SRN196629 TBI196615:TBJ196629 TLE196615:TLF196629 TVA196615:TVB196629 UEW196615:UEX196629 UOS196615:UOT196629 UYO196615:UYP196629 VIK196615:VIL196629 VSG196615:VSH196629 WCC196615:WCD196629 WLY196615:WLZ196629 WVU196615:WVV196629 G262151:H262165 JI262151:JJ262165 TE262151:TF262165 ADA262151:ADB262165 AMW262151:AMX262165 AWS262151:AWT262165 BGO262151:BGP262165 BQK262151:BQL262165 CAG262151:CAH262165 CKC262151:CKD262165 CTY262151:CTZ262165 DDU262151:DDV262165 DNQ262151:DNR262165 DXM262151:DXN262165 EHI262151:EHJ262165 ERE262151:ERF262165 FBA262151:FBB262165 FKW262151:FKX262165 FUS262151:FUT262165 GEO262151:GEP262165 GOK262151:GOL262165 GYG262151:GYH262165 HIC262151:HID262165 HRY262151:HRZ262165 IBU262151:IBV262165 ILQ262151:ILR262165 IVM262151:IVN262165 JFI262151:JFJ262165 JPE262151:JPF262165 JZA262151:JZB262165 KIW262151:KIX262165 KSS262151:KST262165 LCO262151:LCP262165 LMK262151:LML262165 LWG262151:LWH262165 MGC262151:MGD262165 MPY262151:MPZ262165 MZU262151:MZV262165 NJQ262151:NJR262165 NTM262151:NTN262165 ODI262151:ODJ262165 ONE262151:ONF262165 OXA262151:OXB262165 PGW262151:PGX262165 PQS262151:PQT262165 QAO262151:QAP262165 QKK262151:QKL262165 QUG262151:QUH262165 REC262151:RED262165 RNY262151:RNZ262165 RXU262151:RXV262165 SHQ262151:SHR262165 SRM262151:SRN262165 TBI262151:TBJ262165 TLE262151:TLF262165 TVA262151:TVB262165 UEW262151:UEX262165 UOS262151:UOT262165 UYO262151:UYP262165 VIK262151:VIL262165 VSG262151:VSH262165 WCC262151:WCD262165 WLY262151:WLZ262165 WVU262151:WVV262165 G327687:H327701 JI327687:JJ327701 TE327687:TF327701 ADA327687:ADB327701 AMW327687:AMX327701 AWS327687:AWT327701 BGO327687:BGP327701 BQK327687:BQL327701 CAG327687:CAH327701 CKC327687:CKD327701 CTY327687:CTZ327701 DDU327687:DDV327701 DNQ327687:DNR327701 DXM327687:DXN327701 EHI327687:EHJ327701 ERE327687:ERF327701 FBA327687:FBB327701 FKW327687:FKX327701 FUS327687:FUT327701 GEO327687:GEP327701 GOK327687:GOL327701 GYG327687:GYH327701 HIC327687:HID327701 HRY327687:HRZ327701 IBU327687:IBV327701 ILQ327687:ILR327701 IVM327687:IVN327701 JFI327687:JFJ327701 JPE327687:JPF327701 JZA327687:JZB327701 KIW327687:KIX327701 KSS327687:KST327701 LCO327687:LCP327701 LMK327687:LML327701 LWG327687:LWH327701 MGC327687:MGD327701 MPY327687:MPZ327701 MZU327687:MZV327701 NJQ327687:NJR327701 NTM327687:NTN327701 ODI327687:ODJ327701 ONE327687:ONF327701 OXA327687:OXB327701 PGW327687:PGX327701 PQS327687:PQT327701 QAO327687:QAP327701 QKK327687:QKL327701 QUG327687:QUH327701 REC327687:RED327701 RNY327687:RNZ327701 RXU327687:RXV327701 SHQ327687:SHR327701 SRM327687:SRN327701 TBI327687:TBJ327701 TLE327687:TLF327701 TVA327687:TVB327701 UEW327687:UEX327701 UOS327687:UOT327701 UYO327687:UYP327701 VIK327687:VIL327701 VSG327687:VSH327701 WCC327687:WCD327701 WLY327687:WLZ327701 WVU327687:WVV327701 G393223:H393237 JI393223:JJ393237 TE393223:TF393237 ADA393223:ADB393237 AMW393223:AMX393237 AWS393223:AWT393237 BGO393223:BGP393237 BQK393223:BQL393237 CAG393223:CAH393237 CKC393223:CKD393237 CTY393223:CTZ393237 DDU393223:DDV393237 DNQ393223:DNR393237 DXM393223:DXN393237 EHI393223:EHJ393237 ERE393223:ERF393237 FBA393223:FBB393237 FKW393223:FKX393237 FUS393223:FUT393237 GEO393223:GEP393237 GOK393223:GOL393237 GYG393223:GYH393237 HIC393223:HID393237 HRY393223:HRZ393237 IBU393223:IBV393237 ILQ393223:ILR393237 IVM393223:IVN393237 JFI393223:JFJ393237 JPE393223:JPF393237 JZA393223:JZB393237 KIW393223:KIX393237 KSS393223:KST393237 LCO393223:LCP393237 LMK393223:LML393237 LWG393223:LWH393237 MGC393223:MGD393237 MPY393223:MPZ393237 MZU393223:MZV393237 NJQ393223:NJR393237 NTM393223:NTN393237 ODI393223:ODJ393237 ONE393223:ONF393237 OXA393223:OXB393237 PGW393223:PGX393237 PQS393223:PQT393237 QAO393223:QAP393237 QKK393223:QKL393237 QUG393223:QUH393237 REC393223:RED393237 RNY393223:RNZ393237 RXU393223:RXV393237 SHQ393223:SHR393237 SRM393223:SRN393237 TBI393223:TBJ393237 TLE393223:TLF393237 TVA393223:TVB393237 UEW393223:UEX393237 UOS393223:UOT393237 UYO393223:UYP393237 VIK393223:VIL393237 VSG393223:VSH393237 WCC393223:WCD393237 WLY393223:WLZ393237 WVU393223:WVV393237 G458759:H458773 JI458759:JJ458773 TE458759:TF458773 ADA458759:ADB458773 AMW458759:AMX458773 AWS458759:AWT458773 BGO458759:BGP458773 BQK458759:BQL458773 CAG458759:CAH458773 CKC458759:CKD458773 CTY458759:CTZ458773 DDU458759:DDV458773 DNQ458759:DNR458773 DXM458759:DXN458773 EHI458759:EHJ458773 ERE458759:ERF458773 FBA458759:FBB458773 FKW458759:FKX458773 FUS458759:FUT458773 GEO458759:GEP458773 GOK458759:GOL458773 GYG458759:GYH458773 HIC458759:HID458773 HRY458759:HRZ458773 IBU458759:IBV458773 ILQ458759:ILR458773 IVM458759:IVN458773 JFI458759:JFJ458773 JPE458759:JPF458773 JZA458759:JZB458773 KIW458759:KIX458773 KSS458759:KST458773 LCO458759:LCP458773 LMK458759:LML458773 LWG458759:LWH458773 MGC458759:MGD458773 MPY458759:MPZ458773 MZU458759:MZV458773 NJQ458759:NJR458773 NTM458759:NTN458773 ODI458759:ODJ458773 ONE458759:ONF458773 OXA458759:OXB458773 PGW458759:PGX458773 PQS458759:PQT458773 QAO458759:QAP458773 QKK458759:QKL458773 QUG458759:QUH458773 REC458759:RED458773 RNY458759:RNZ458773 RXU458759:RXV458773 SHQ458759:SHR458773 SRM458759:SRN458773 TBI458759:TBJ458773 TLE458759:TLF458773 TVA458759:TVB458773 UEW458759:UEX458773 UOS458759:UOT458773 UYO458759:UYP458773 VIK458759:VIL458773 VSG458759:VSH458773 WCC458759:WCD458773 WLY458759:WLZ458773 WVU458759:WVV458773 G524295:H524309 JI524295:JJ524309 TE524295:TF524309 ADA524295:ADB524309 AMW524295:AMX524309 AWS524295:AWT524309 BGO524295:BGP524309 BQK524295:BQL524309 CAG524295:CAH524309 CKC524295:CKD524309 CTY524295:CTZ524309 DDU524295:DDV524309 DNQ524295:DNR524309 DXM524295:DXN524309 EHI524295:EHJ524309 ERE524295:ERF524309 FBA524295:FBB524309 FKW524295:FKX524309 FUS524295:FUT524309 GEO524295:GEP524309 GOK524295:GOL524309 GYG524295:GYH524309 HIC524295:HID524309 HRY524295:HRZ524309 IBU524295:IBV524309 ILQ524295:ILR524309 IVM524295:IVN524309 JFI524295:JFJ524309 JPE524295:JPF524309 JZA524295:JZB524309 KIW524295:KIX524309 KSS524295:KST524309 LCO524295:LCP524309 LMK524295:LML524309 LWG524295:LWH524309 MGC524295:MGD524309 MPY524295:MPZ524309 MZU524295:MZV524309 NJQ524295:NJR524309 NTM524295:NTN524309 ODI524295:ODJ524309 ONE524295:ONF524309 OXA524295:OXB524309 PGW524295:PGX524309 PQS524295:PQT524309 QAO524295:QAP524309 QKK524295:QKL524309 QUG524295:QUH524309 REC524295:RED524309 RNY524295:RNZ524309 RXU524295:RXV524309 SHQ524295:SHR524309 SRM524295:SRN524309 TBI524295:TBJ524309 TLE524295:TLF524309 TVA524295:TVB524309 UEW524295:UEX524309 UOS524295:UOT524309 UYO524295:UYP524309 VIK524295:VIL524309 VSG524295:VSH524309 WCC524295:WCD524309 WLY524295:WLZ524309 WVU524295:WVV524309 G589831:H589845 JI589831:JJ589845 TE589831:TF589845 ADA589831:ADB589845 AMW589831:AMX589845 AWS589831:AWT589845 BGO589831:BGP589845 BQK589831:BQL589845 CAG589831:CAH589845 CKC589831:CKD589845 CTY589831:CTZ589845 DDU589831:DDV589845 DNQ589831:DNR589845 DXM589831:DXN589845 EHI589831:EHJ589845 ERE589831:ERF589845 FBA589831:FBB589845 FKW589831:FKX589845 FUS589831:FUT589845 GEO589831:GEP589845 GOK589831:GOL589845 GYG589831:GYH589845 HIC589831:HID589845 HRY589831:HRZ589845 IBU589831:IBV589845 ILQ589831:ILR589845 IVM589831:IVN589845 JFI589831:JFJ589845 JPE589831:JPF589845 JZA589831:JZB589845 KIW589831:KIX589845 KSS589831:KST589845 LCO589831:LCP589845 LMK589831:LML589845 LWG589831:LWH589845 MGC589831:MGD589845 MPY589831:MPZ589845 MZU589831:MZV589845 NJQ589831:NJR589845 NTM589831:NTN589845 ODI589831:ODJ589845 ONE589831:ONF589845 OXA589831:OXB589845 PGW589831:PGX589845 PQS589831:PQT589845 QAO589831:QAP589845 QKK589831:QKL589845 QUG589831:QUH589845 REC589831:RED589845 RNY589831:RNZ589845 RXU589831:RXV589845 SHQ589831:SHR589845 SRM589831:SRN589845 TBI589831:TBJ589845 TLE589831:TLF589845 TVA589831:TVB589845 UEW589831:UEX589845 UOS589831:UOT589845 UYO589831:UYP589845 VIK589831:VIL589845 VSG589831:VSH589845 WCC589831:WCD589845 WLY589831:WLZ589845 WVU589831:WVV589845 G655367:H655381 JI655367:JJ655381 TE655367:TF655381 ADA655367:ADB655381 AMW655367:AMX655381 AWS655367:AWT655381 BGO655367:BGP655381 BQK655367:BQL655381 CAG655367:CAH655381 CKC655367:CKD655381 CTY655367:CTZ655381 DDU655367:DDV655381 DNQ655367:DNR655381 DXM655367:DXN655381 EHI655367:EHJ655381 ERE655367:ERF655381 FBA655367:FBB655381 FKW655367:FKX655381 FUS655367:FUT655381 GEO655367:GEP655381 GOK655367:GOL655381 GYG655367:GYH655381 HIC655367:HID655381 HRY655367:HRZ655381 IBU655367:IBV655381 ILQ655367:ILR655381 IVM655367:IVN655381 JFI655367:JFJ655381 JPE655367:JPF655381 JZA655367:JZB655381 KIW655367:KIX655381 KSS655367:KST655381 LCO655367:LCP655381 LMK655367:LML655381 LWG655367:LWH655381 MGC655367:MGD655381 MPY655367:MPZ655381 MZU655367:MZV655381 NJQ655367:NJR655381 NTM655367:NTN655381 ODI655367:ODJ655381 ONE655367:ONF655381 OXA655367:OXB655381 PGW655367:PGX655381 PQS655367:PQT655381 QAO655367:QAP655381 QKK655367:QKL655381 QUG655367:QUH655381 REC655367:RED655381 RNY655367:RNZ655381 RXU655367:RXV655381 SHQ655367:SHR655381 SRM655367:SRN655381 TBI655367:TBJ655381 TLE655367:TLF655381 TVA655367:TVB655381 UEW655367:UEX655381 UOS655367:UOT655381 UYO655367:UYP655381 VIK655367:VIL655381 VSG655367:VSH655381 WCC655367:WCD655381 WLY655367:WLZ655381 WVU655367:WVV655381 G720903:H720917 JI720903:JJ720917 TE720903:TF720917 ADA720903:ADB720917 AMW720903:AMX720917 AWS720903:AWT720917 BGO720903:BGP720917 BQK720903:BQL720917 CAG720903:CAH720917 CKC720903:CKD720917 CTY720903:CTZ720917 DDU720903:DDV720917 DNQ720903:DNR720917 DXM720903:DXN720917 EHI720903:EHJ720917 ERE720903:ERF720917 FBA720903:FBB720917 FKW720903:FKX720917 FUS720903:FUT720917 GEO720903:GEP720917 GOK720903:GOL720917 GYG720903:GYH720917 HIC720903:HID720917 HRY720903:HRZ720917 IBU720903:IBV720917 ILQ720903:ILR720917 IVM720903:IVN720917 JFI720903:JFJ720917 JPE720903:JPF720917 JZA720903:JZB720917 KIW720903:KIX720917 KSS720903:KST720917 LCO720903:LCP720917 LMK720903:LML720917 LWG720903:LWH720917 MGC720903:MGD720917 MPY720903:MPZ720917 MZU720903:MZV720917 NJQ720903:NJR720917 NTM720903:NTN720917 ODI720903:ODJ720917 ONE720903:ONF720917 OXA720903:OXB720917 PGW720903:PGX720917 PQS720903:PQT720917 QAO720903:QAP720917 QKK720903:QKL720917 QUG720903:QUH720917 REC720903:RED720917 RNY720903:RNZ720917 RXU720903:RXV720917 SHQ720903:SHR720917 SRM720903:SRN720917 TBI720903:TBJ720917 TLE720903:TLF720917 TVA720903:TVB720917 UEW720903:UEX720917 UOS720903:UOT720917 UYO720903:UYP720917 VIK720903:VIL720917 VSG720903:VSH720917 WCC720903:WCD720917 WLY720903:WLZ720917 WVU720903:WVV720917 G786439:H786453 JI786439:JJ786453 TE786439:TF786453 ADA786439:ADB786453 AMW786439:AMX786453 AWS786439:AWT786453 BGO786439:BGP786453 BQK786439:BQL786453 CAG786439:CAH786453 CKC786439:CKD786453 CTY786439:CTZ786453 DDU786439:DDV786453 DNQ786439:DNR786453 DXM786439:DXN786453 EHI786439:EHJ786453 ERE786439:ERF786453 FBA786439:FBB786453 FKW786439:FKX786453 FUS786439:FUT786453 GEO786439:GEP786453 GOK786439:GOL786453 GYG786439:GYH786453 HIC786439:HID786453 HRY786439:HRZ786453 IBU786439:IBV786453 ILQ786439:ILR786453 IVM786439:IVN786453 JFI786439:JFJ786453 JPE786439:JPF786453 JZA786439:JZB786453 KIW786439:KIX786453 KSS786439:KST786453 LCO786439:LCP786453 LMK786439:LML786453 LWG786439:LWH786453 MGC786439:MGD786453 MPY786439:MPZ786453 MZU786439:MZV786453 NJQ786439:NJR786453 NTM786439:NTN786453 ODI786439:ODJ786453 ONE786439:ONF786453 OXA786439:OXB786453 PGW786439:PGX786453 PQS786439:PQT786453 QAO786439:QAP786453 QKK786439:QKL786453 QUG786439:QUH786453 REC786439:RED786453 RNY786439:RNZ786453 RXU786439:RXV786453 SHQ786439:SHR786453 SRM786439:SRN786453 TBI786439:TBJ786453 TLE786439:TLF786453 TVA786439:TVB786453 UEW786439:UEX786453 UOS786439:UOT786453 UYO786439:UYP786453 VIK786439:VIL786453 VSG786439:VSH786453 WCC786439:WCD786453 WLY786439:WLZ786453 WVU786439:WVV786453 G851975:H851989 JI851975:JJ851989 TE851975:TF851989 ADA851975:ADB851989 AMW851975:AMX851989 AWS851975:AWT851989 BGO851975:BGP851989 BQK851975:BQL851989 CAG851975:CAH851989 CKC851975:CKD851989 CTY851975:CTZ851989 DDU851975:DDV851989 DNQ851975:DNR851989 DXM851975:DXN851989 EHI851975:EHJ851989 ERE851975:ERF851989 FBA851975:FBB851989 FKW851975:FKX851989 FUS851975:FUT851989 GEO851975:GEP851989 GOK851975:GOL851989 GYG851975:GYH851989 HIC851975:HID851989 HRY851975:HRZ851989 IBU851975:IBV851989 ILQ851975:ILR851989 IVM851975:IVN851989 JFI851975:JFJ851989 JPE851975:JPF851989 JZA851975:JZB851989 KIW851975:KIX851989 KSS851975:KST851989 LCO851975:LCP851989 LMK851975:LML851989 LWG851975:LWH851989 MGC851975:MGD851989 MPY851975:MPZ851989 MZU851975:MZV851989 NJQ851975:NJR851989 NTM851975:NTN851989 ODI851975:ODJ851989 ONE851975:ONF851989 OXA851975:OXB851989 PGW851975:PGX851989 PQS851975:PQT851989 QAO851975:QAP851989 QKK851975:QKL851989 QUG851975:QUH851989 REC851975:RED851989 RNY851975:RNZ851989 RXU851975:RXV851989 SHQ851975:SHR851989 SRM851975:SRN851989 TBI851975:TBJ851989 TLE851975:TLF851989 TVA851975:TVB851989 UEW851975:UEX851989 UOS851975:UOT851989 UYO851975:UYP851989 VIK851975:VIL851989 VSG851975:VSH851989 WCC851975:WCD851989 WLY851975:WLZ851989 WVU851975:WVV851989 G917511:H917525 JI917511:JJ917525 TE917511:TF917525 ADA917511:ADB917525 AMW917511:AMX917525 AWS917511:AWT917525 BGO917511:BGP917525 BQK917511:BQL917525 CAG917511:CAH917525 CKC917511:CKD917525 CTY917511:CTZ917525 DDU917511:DDV917525 DNQ917511:DNR917525 DXM917511:DXN917525 EHI917511:EHJ917525 ERE917511:ERF917525 FBA917511:FBB917525 FKW917511:FKX917525 FUS917511:FUT917525 GEO917511:GEP917525 GOK917511:GOL917525 GYG917511:GYH917525 HIC917511:HID917525 HRY917511:HRZ917525 IBU917511:IBV917525 ILQ917511:ILR917525 IVM917511:IVN917525 JFI917511:JFJ917525 JPE917511:JPF917525 JZA917511:JZB917525 KIW917511:KIX917525 KSS917511:KST917525 LCO917511:LCP917525 LMK917511:LML917525 LWG917511:LWH917525 MGC917511:MGD917525 MPY917511:MPZ917525 MZU917511:MZV917525 NJQ917511:NJR917525 NTM917511:NTN917525 ODI917511:ODJ917525 ONE917511:ONF917525 OXA917511:OXB917525 PGW917511:PGX917525 PQS917511:PQT917525 QAO917511:QAP917525 QKK917511:QKL917525 QUG917511:QUH917525 REC917511:RED917525 RNY917511:RNZ917525 RXU917511:RXV917525 SHQ917511:SHR917525 SRM917511:SRN917525 TBI917511:TBJ917525 TLE917511:TLF917525 TVA917511:TVB917525 UEW917511:UEX917525 UOS917511:UOT917525 UYO917511:UYP917525 VIK917511:VIL917525 VSG917511:VSH917525 WCC917511:WCD917525 WLY917511:WLZ917525 WVU917511:WVV917525 G983047:H983061 JI983047:JJ983061 TE983047:TF983061 ADA983047:ADB983061 AMW983047:AMX983061 AWS983047:AWT983061 BGO983047:BGP983061 BQK983047:BQL983061 CAG983047:CAH983061 CKC983047:CKD983061 CTY983047:CTZ983061 DDU983047:DDV983061 DNQ983047:DNR983061 DXM983047:DXN983061 EHI983047:EHJ983061 ERE983047:ERF983061 FBA983047:FBB983061 FKW983047:FKX983061 FUS983047:FUT983061 GEO983047:GEP983061 GOK983047:GOL983061 GYG983047:GYH983061 HIC983047:HID983061 HRY983047:HRZ983061 IBU983047:IBV983061 ILQ983047:ILR983061 IVM983047:IVN983061 JFI983047:JFJ983061 JPE983047:JPF983061 JZA983047:JZB983061 KIW983047:KIX983061 KSS983047:KST983061 LCO983047:LCP983061 LMK983047:LML983061 LWG983047:LWH983061 MGC983047:MGD983061 MPY983047:MPZ983061 MZU983047:MZV983061 NJQ983047:NJR983061 NTM983047:NTN983061 ODI983047:ODJ983061 ONE983047:ONF983061 OXA983047:OXB983061 PGW983047:PGX983061 PQS983047:PQT983061 QAO983047:QAP983061 QKK983047:QKL983061 QUG983047:QUH983061 REC983047:RED983061 RNY983047:RNZ983061 RXU983047:RXV983061 SHQ983047:SHR983061 SRM983047:SRN983061 TBI983047:TBJ983061 TLE983047:TLF983061 TVA983047:TVB983061 UEW983047:UEX983061 UOS983047:UOT983061 UYO983047:UYP983061 VIK983047:VIL983061 VSG983047:VSH983061 WCC983047:WCD983061 WLY983047:WLZ983061 G18:H32" xr:uid="{6C61E917-16F7-49FE-92F2-9D3862C549AB}">
      <formula1>4</formula1>
    </dataValidation>
    <dataValidation type="textLength" operator="equal" allowBlank="1" showInputMessage="1" showErrorMessage="1" error="Company number must be 4 digits." sqref="A19:A32" xr:uid="{ED4FCB08-4DB4-41E2-ACFB-78FD6AAB8709}">
      <formula1>4</formula1>
    </dataValidation>
    <dataValidation type="whole" operator="notEqual" allowBlank="1" showInputMessage="1" showErrorMessage="1" errorTitle="Wrong Account" error="NCAS Account 538030 is NOT a transfer account. Contact your OSC analyst before proceeding." sqref="C33" xr:uid="{A4605F10-D33C-4369-B602-EC503AB08741}">
      <formula1>538030</formula1>
    </dataValidation>
    <dataValidation operator="notEqual" allowBlank="1" showInputMessage="1" showErrorMessage="1" errorTitle="Wrong Account" error="Account 538030 should not be listed here.  it is not a transfer account.  Contact your OSC analyst before proceeding." promptTitle="Correct Transfer Accounts" prompt="Transfer accounts listed here must begin with 5380, 538C, 538F, 538P, 538S, 5381. Account 538030 should not be listed here. It is not a transfer account." sqref="C19:C32" xr:uid="{66A3FFEA-1228-4528-9038-808B08746C62}"/>
  </dataValidations>
  <hyperlinks>
    <hyperlink ref="A1:Q1" location="Index!A1" display="Index!A1" xr:uid="{DD910D0B-50A9-45FE-9999-488953590D23}"/>
    <hyperlink ref="A40" r:id="rId1" xr:uid="{10CA65DE-108A-4A82-85B1-4B4E0B34C298}"/>
  </hyperlinks>
  <printOptions horizontalCentered="1"/>
  <pageMargins left="0.5" right="0.5" top="0.75" bottom="0.5" header="0.5" footer="0.5"/>
  <pageSetup scale="72" orientation="landscape" blackAndWhite="1" r:id="rId2"/>
  <headerFooter alignWithMargins="0">
    <oddFooter>&amp;R&amp;A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9">
    <pageSetUpPr fitToPage="1"/>
  </sheetPr>
  <dimension ref="A1:AK47"/>
  <sheetViews>
    <sheetView showGridLines="0" topLeftCell="B1" zoomScaleNormal="100" workbookViewId="0">
      <selection activeCell="AO16" sqref="AO16"/>
    </sheetView>
  </sheetViews>
  <sheetFormatPr defaultRowHeight="15.75" x14ac:dyDescent="0.25"/>
  <cols>
    <col min="1" max="1" width="0" style="1768" hidden="1" customWidth="1"/>
    <col min="2" max="2" width="9.5703125" style="1768" customWidth="1"/>
    <col min="3" max="3" width="1.5703125" style="1768" customWidth="1"/>
    <col min="4" max="4" width="6.5703125" style="1768" customWidth="1"/>
    <col min="5" max="5" width="1.5703125" style="1768" customWidth="1"/>
    <col min="6" max="6" width="10.5703125" style="1768" customWidth="1"/>
    <col min="7" max="7" width="1.5703125" style="1768" customWidth="1"/>
    <col min="8" max="8" width="20.5703125" style="1768" customWidth="1"/>
    <col min="9" max="9" width="2.5703125" style="1768" customWidth="1"/>
    <col min="10" max="10" width="12" style="1768" customWidth="1"/>
    <col min="11" max="11" width="1.5703125" style="1768" customWidth="1"/>
    <col min="12" max="12" width="7.42578125" style="1768" bestFit="1" customWidth="1"/>
    <col min="13" max="13" width="1.5703125" style="1768" customWidth="1"/>
    <col min="14" max="14" width="10.5703125" style="1768" customWidth="1"/>
    <col min="15" max="15" width="1.5703125" style="1768" customWidth="1"/>
    <col min="16" max="16" width="20.5703125" style="1768" customWidth="1"/>
    <col min="17" max="17" width="1.42578125" style="1768" customWidth="1"/>
    <col min="18" max="18" width="39.42578125" style="1768" customWidth="1"/>
    <col min="19" max="19" width="5.5703125" style="1768" hidden="1" customWidth="1"/>
    <col min="20" max="20" width="2" style="1768" hidden="1" customWidth="1"/>
    <col min="21" max="24" width="5.5703125" style="1768" hidden="1" customWidth="1"/>
    <col min="25" max="25" width="7" style="1768" hidden="1" customWidth="1"/>
    <col min="26" max="26" width="2" style="1768" hidden="1" customWidth="1"/>
    <col min="27" max="27" width="7" style="1768" hidden="1" customWidth="1"/>
    <col min="28" max="30" width="5.5703125" style="1768" hidden="1" customWidth="1"/>
    <col min="31" max="32" width="6.42578125" style="1768" hidden="1" customWidth="1"/>
    <col min="33" max="36" width="0" style="1768" hidden="1" customWidth="1"/>
    <col min="37" max="257" width="9.42578125" style="1768"/>
    <col min="258" max="258" width="0" style="1768" hidden="1" customWidth="1"/>
    <col min="259" max="259" width="11.42578125" style="1768" customWidth="1"/>
    <col min="260" max="260" width="1.5703125" style="1768" customWidth="1"/>
    <col min="261" max="261" width="7.42578125" style="1768" bestFit="1" customWidth="1"/>
    <col min="262" max="262" width="1.5703125" style="1768" customWidth="1"/>
    <col min="263" max="263" width="12.5703125" style="1768" customWidth="1"/>
    <col min="264" max="264" width="1.5703125" style="1768" customWidth="1"/>
    <col min="265" max="265" width="20.5703125" style="1768" customWidth="1"/>
    <col min="266" max="266" width="2.5703125" style="1768" customWidth="1"/>
    <col min="267" max="267" width="10.5703125" style="1768" customWidth="1"/>
    <col min="268" max="268" width="1.5703125" style="1768" customWidth="1"/>
    <col min="269" max="269" width="10.5703125" style="1768" customWidth="1"/>
    <col min="270" max="270" width="1.5703125" style="1768" customWidth="1"/>
    <col min="271" max="271" width="12.5703125" style="1768" customWidth="1"/>
    <col min="272" max="272" width="1.5703125" style="1768" customWidth="1"/>
    <col min="273" max="273" width="22.5703125" style="1768" customWidth="1"/>
    <col min="274" max="274" width="4.5703125" style="1768" customWidth="1"/>
    <col min="275" max="288" width="0" style="1768" hidden="1" customWidth="1"/>
    <col min="289" max="513" width="9.42578125" style="1768"/>
    <col min="514" max="514" width="0" style="1768" hidden="1" customWidth="1"/>
    <col min="515" max="515" width="11.42578125" style="1768" customWidth="1"/>
    <col min="516" max="516" width="1.5703125" style="1768" customWidth="1"/>
    <col min="517" max="517" width="7.42578125" style="1768" bestFit="1" customWidth="1"/>
    <col min="518" max="518" width="1.5703125" style="1768" customWidth="1"/>
    <col min="519" max="519" width="12.5703125" style="1768" customWidth="1"/>
    <col min="520" max="520" width="1.5703125" style="1768" customWidth="1"/>
    <col min="521" max="521" width="20.5703125" style="1768" customWidth="1"/>
    <col min="522" max="522" width="2.5703125" style="1768" customWidth="1"/>
    <col min="523" max="523" width="10.5703125" style="1768" customWidth="1"/>
    <col min="524" max="524" width="1.5703125" style="1768" customWidth="1"/>
    <col min="525" max="525" width="10.5703125" style="1768" customWidth="1"/>
    <col min="526" max="526" width="1.5703125" style="1768" customWidth="1"/>
    <col min="527" max="527" width="12.5703125" style="1768" customWidth="1"/>
    <col min="528" max="528" width="1.5703125" style="1768" customWidth="1"/>
    <col min="529" max="529" width="22.5703125" style="1768" customWidth="1"/>
    <col min="530" max="530" width="4.5703125" style="1768" customWidth="1"/>
    <col min="531" max="544" width="0" style="1768" hidden="1" customWidth="1"/>
    <col min="545" max="769" width="9.42578125" style="1768"/>
    <col min="770" max="770" width="0" style="1768" hidden="1" customWidth="1"/>
    <col min="771" max="771" width="11.42578125" style="1768" customWidth="1"/>
    <col min="772" max="772" width="1.5703125" style="1768" customWidth="1"/>
    <col min="773" max="773" width="7.42578125" style="1768" bestFit="1" customWidth="1"/>
    <col min="774" max="774" width="1.5703125" style="1768" customWidth="1"/>
    <col min="775" max="775" width="12.5703125" style="1768" customWidth="1"/>
    <col min="776" max="776" width="1.5703125" style="1768" customWidth="1"/>
    <col min="777" max="777" width="20.5703125" style="1768" customWidth="1"/>
    <col min="778" max="778" width="2.5703125" style="1768" customWidth="1"/>
    <col min="779" max="779" width="10.5703125" style="1768" customWidth="1"/>
    <col min="780" max="780" width="1.5703125" style="1768" customWidth="1"/>
    <col min="781" max="781" width="10.5703125" style="1768" customWidth="1"/>
    <col min="782" max="782" width="1.5703125" style="1768" customWidth="1"/>
    <col min="783" max="783" width="12.5703125" style="1768" customWidth="1"/>
    <col min="784" max="784" width="1.5703125" style="1768" customWidth="1"/>
    <col min="785" max="785" width="22.5703125" style="1768" customWidth="1"/>
    <col min="786" max="786" width="4.5703125" style="1768" customWidth="1"/>
    <col min="787" max="800" width="0" style="1768" hidden="1" customWidth="1"/>
    <col min="801" max="1025" width="9.42578125" style="1768"/>
    <col min="1026" max="1026" width="0" style="1768" hidden="1" customWidth="1"/>
    <col min="1027" max="1027" width="11.42578125" style="1768" customWidth="1"/>
    <col min="1028" max="1028" width="1.5703125" style="1768" customWidth="1"/>
    <col min="1029" max="1029" width="7.42578125" style="1768" bestFit="1" customWidth="1"/>
    <col min="1030" max="1030" width="1.5703125" style="1768" customWidth="1"/>
    <col min="1031" max="1031" width="12.5703125" style="1768" customWidth="1"/>
    <col min="1032" max="1032" width="1.5703125" style="1768" customWidth="1"/>
    <col min="1033" max="1033" width="20.5703125" style="1768" customWidth="1"/>
    <col min="1034" max="1034" width="2.5703125" style="1768" customWidth="1"/>
    <col min="1035" max="1035" width="10.5703125" style="1768" customWidth="1"/>
    <col min="1036" max="1036" width="1.5703125" style="1768" customWidth="1"/>
    <col min="1037" max="1037" width="10.5703125" style="1768" customWidth="1"/>
    <col min="1038" max="1038" width="1.5703125" style="1768" customWidth="1"/>
    <col min="1039" max="1039" width="12.5703125" style="1768" customWidth="1"/>
    <col min="1040" max="1040" width="1.5703125" style="1768" customWidth="1"/>
    <col min="1041" max="1041" width="22.5703125" style="1768" customWidth="1"/>
    <col min="1042" max="1042" width="4.5703125" style="1768" customWidth="1"/>
    <col min="1043" max="1056" width="0" style="1768" hidden="1" customWidth="1"/>
    <col min="1057" max="1281" width="9.42578125" style="1768"/>
    <col min="1282" max="1282" width="0" style="1768" hidden="1" customWidth="1"/>
    <col min="1283" max="1283" width="11.42578125" style="1768" customWidth="1"/>
    <col min="1284" max="1284" width="1.5703125" style="1768" customWidth="1"/>
    <col min="1285" max="1285" width="7.42578125" style="1768" bestFit="1" customWidth="1"/>
    <col min="1286" max="1286" width="1.5703125" style="1768" customWidth="1"/>
    <col min="1287" max="1287" width="12.5703125" style="1768" customWidth="1"/>
    <col min="1288" max="1288" width="1.5703125" style="1768" customWidth="1"/>
    <col min="1289" max="1289" width="20.5703125" style="1768" customWidth="1"/>
    <col min="1290" max="1290" width="2.5703125" style="1768" customWidth="1"/>
    <col min="1291" max="1291" width="10.5703125" style="1768" customWidth="1"/>
    <col min="1292" max="1292" width="1.5703125" style="1768" customWidth="1"/>
    <col min="1293" max="1293" width="10.5703125" style="1768" customWidth="1"/>
    <col min="1294" max="1294" width="1.5703125" style="1768" customWidth="1"/>
    <col min="1295" max="1295" width="12.5703125" style="1768" customWidth="1"/>
    <col min="1296" max="1296" width="1.5703125" style="1768" customWidth="1"/>
    <col min="1297" max="1297" width="22.5703125" style="1768" customWidth="1"/>
    <col min="1298" max="1298" width="4.5703125" style="1768" customWidth="1"/>
    <col min="1299" max="1312" width="0" style="1768" hidden="1" customWidth="1"/>
    <col min="1313" max="1537" width="9.42578125" style="1768"/>
    <col min="1538" max="1538" width="0" style="1768" hidden="1" customWidth="1"/>
    <col min="1539" max="1539" width="11.42578125" style="1768" customWidth="1"/>
    <col min="1540" max="1540" width="1.5703125" style="1768" customWidth="1"/>
    <col min="1541" max="1541" width="7.42578125" style="1768" bestFit="1" customWidth="1"/>
    <col min="1542" max="1542" width="1.5703125" style="1768" customWidth="1"/>
    <col min="1543" max="1543" width="12.5703125" style="1768" customWidth="1"/>
    <col min="1544" max="1544" width="1.5703125" style="1768" customWidth="1"/>
    <col min="1545" max="1545" width="20.5703125" style="1768" customWidth="1"/>
    <col min="1546" max="1546" width="2.5703125" style="1768" customWidth="1"/>
    <col min="1547" max="1547" width="10.5703125" style="1768" customWidth="1"/>
    <col min="1548" max="1548" width="1.5703125" style="1768" customWidth="1"/>
    <col min="1549" max="1549" width="10.5703125" style="1768" customWidth="1"/>
    <col min="1550" max="1550" width="1.5703125" style="1768" customWidth="1"/>
    <col min="1551" max="1551" width="12.5703125" style="1768" customWidth="1"/>
    <col min="1552" max="1552" width="1.5703125" style="1768" customWidth="1"/>
    <col min="1553" max="1553" width="22.5703125" style="1768" customWidth="1"/>
    <col min="1554" max="1554" width="4.5703125" style="1768" customWidth="1"/>
    <col min="1555" max="1568" width="0" style="1768" hidden="1" customWidth="1"/>
    <col min="1569" max="1793" width="9.42578125" style="1768"/>
    <col min="1794" max="1794" width="0" style="1768" hidden="1" customWidth="1"/>
    <col min="1795" max="1795" width="11.42578125" style="1768" customWidth="1"/>
    <col min="1796" max="1796" width="1.5703125" style="1768" customWidth="1"/>
    <col min="1797" max="1797" width="7.42578125" style="1768" bestFit="1" customWidth="1"/>
    <col min="1798" max="1798" width="1.5703125" style="1768" customWidth="1"/>
    <col min="1799" max="1799" width="12.5703125" style="1768" customWidth="1"/>
    <col min="1800" max="1800" width="1.5703125" style="1768" customWidth="1"/>
    <col min="1801" max="1801" width="20.5703125" style="1768" customWidth="1"/>
    <col min="1802" max="1802" width="2.5703125" style="1768" customWidth="1"/>
    <col min="1803" max="1803" width="10.5703125" style="1768" customWidth="1"/>
    <col min="1804" max="1804" width="1.5703125" style="1768" customWidth="1"/>
    <col min="1805" max="1805" width="10.5703125" style="1768" customWidth="1"/>
    <col min="1806" max="1806" width="1.5703125" style="1768" customWidth="1"/>
    <col min="1807" max="1807" width="12.5703125" style="1768" customWidth="1"/>
    <col min="1808" max="1808" width="1.5703125" style="1768" customWidth="1"/>
    <col min="1809" max="1809" width="22.5703125" style="1768" customWidth="1"/>
    <col min="1810" max="1810" width="4.5703125" style="1768" customWidth="1"/>
    <col min="1811" max="1824" width="0" style="1768" hidden="1" customWidth="1"/>
    <col min="1825" max="2049" width="9.42578125" style="1768"/>
    <col min="2050" max="2050" width="0" style="1768" hidden="1" customWidth="1"/>
    <col min="2051" max="2051" width="11.42578125" style="1768" customWidth="1"/>
    <col min="2052" max="2052" width="1.5703125" style="1768" customWidth="1"/>
    <col min="2053" max="2053" width="7.42578125" style="1768" bestFit="1" customWidth="1"/>
    <col min="2054" max="2054" width="1.5703125" style="1768" customWidth="1"/>
    <col min="2055" max="2055" width="12.5703125" style="1768" customWidth="1"/>
    <col min="2056" max="2056" width="1.5703125" style="1768" customWidth="1"/>
    <col min="2057" max="2057" width="20.5703125" style="1768" customWidth="1"/>
    <col min="2058" max="2058" width="2.5703125" style="1768" customWidth="1"/>
    <col min="2059" max="2059" width="10.5703125" style="1768" customWidth="1"/>
    <col min="2060" max="2060" width="1.5703125" style="1768" customWidth="1"/>
    <col min="2061" max="2061" width="10.5703125" style="1768" customWidth="1"/>
    <col min="2062" max="2062" width="1.5703125" style="1768" customWidth="1"/>
    <col min="2063" max="2063" width="12.5703125" style="1768" customWidth="1"/>
    <col min="2064" max="2064" width="1.5703125" style="1768" customWidth="1"/>
    <col min="2065" max="2065" width="22.5703125" style="1768" customWidth="1"/>
    <col min="2066" max="2066" width="4.5703125" style="1768" customWidth="1"/>
    <col min="2067" max="2080" width="0" style="1768" hidden="1" customWidth="1"/>
    <col min="2081" max="2305" width="9.42578125" style="1768"/>
    <col min="2306" max="2306" width="0" style="1768" hidden="1" customWidth="1"/>
    <col min="2307" max="2307" width="11.42578125" style="1768" customWidth="1"/>
    <col min="2308" max="2308" width="1.5703125" style="1768" customWidth="1"/>
    <col min="2309" max="2309" width="7.42578125" style="1768" bestFit="1" customWidth="1"/>
    <col min="2310" max="2310" width="1.5703125" style="1768" customWidth="1"/>
    <col min="2311" max="2311" width="12.5703125" style="1768" customWidth="1"/>
    <col min="2312" max="2312" width="1.5703125" style="1768" customWidth="1"/>
    <col min="2313" max="2313" width="20.5703125" style="1768" customWidth="1"/>
    <col min="2314" max="2314" width="2.5703125" style="1768" customWidth="1"/>
    <col min="2315" max="2315" width="10.5703125" style="1768" customWidth="1"/>
    <col min="2316" max="2316" width="1.5703125" style="1768" customWidth="1"/>
    <col min="2317" max="2317" width="10.5703125" style="1768" customWidth="1"/>
    <col min="2318" max="2318" width="1.5703125" style="1768" customWidth="1"/>
    <col min="2319" max="2319" width="12.5703125" style="1768" customWidth="1"/>
    <col min="2320" max="2320" width="1.5703125" style="1768" customWidth="1"/>
    <col min="2321" max="2321" width="22.5703125" style="1768" customWidth="1"/>
    <col min="2322" max="2322" width="4.5703125" style="1768" customWidth="1"/>
    <col min="2323" max="2336" width="0" style="1768" hidden="1" customWidth="1"/>
    <col min="2337" max="2561" width="9.42578125" style="1768"/>
    <col min="2562" max="2562" width="0" style="1768" hidden="1" customWidth="1"/>
    <col min="2563" max="2563" width="11.42578125" style="1768" customWidth="1"/>
    <col min="2564" max="2564" width="1.5703125" style="1768" customWidth="1"/>
    <col min="2565" max="2565" width="7.42578125" style="1768" bestFit="1" customWidth="1"/>
    <col min="2566" max="2566" width="1.5703125" style="1768" customWidth="1"/>
    <col min="2567" max="2567" width="12.5703125" style="1768" customWidth="1"/>
    <col min="2568" max="2568" width="1.5703125" style="1768" customWidth="1"/>
    <col min="2569" max="2569" width="20.5703125" style="1768" customWidth="1"/>
    <col min="2570" max="2570" width="2.5703125" style="1768" customWidth="1"/>
    <col min="2571" max="2571" width="10.5703125" style="1768" customWidth="1"/>
    <col min="2572" max="2572" width="1.5703125" style="1768" customWidth="1"/>
    <col min="2573" max="2573" width="10.5703125" style="1768" customWidth="1"/>
    <col min="2574" max="2574" width="1.5703125" style="1768" customWidth="1"/>
    <col min="2575" max="2575" width="12.5703125" style="1768" customWidth="1"/>
    <col min="2576" max="2576" width="1.5703125" style="1768" customWidth="1"/>
    <col min="2577" max="2577" width="22.5703125" style="1768" customWidth="1"/>
    <col min="2578" max="2578" width="4.5703125" style="1768" customWidth="1"/>
    <col min="2579" max="2592" width="0" style="1768" hidden="1" customWidth="1"/>
    <col min="2593" max="2817" width="9.42578125" style="1768"/>
    <col min="2818" max="2818" width="0" style="1768" hidden="1" customWidth="1"/>
    <col min="2819" max="2819" width="11.42578125" style="1768" customWidth="1"/>
    <col min="2820" max="2820" width="1.5703125" style="1768" customWidth="1"/>
    <col min="2821" max="2821" width="7.42578125" style="1768" bestFit="1" customWidth="1"/>
    <col min="2822" max="2822" width="1.5703125" style="1768" customWidth="1"/>
    <col min="2823" max="2823" width="12.5703125" style="1768" customWidth="1"/>
    <col min="2824" max="2824" width="1.5703125" style="1768" customWidth="1"/>
    <col min="2825" max="2825" width="20.5703125" style="1768" customWidth="1"/>
    <col min="2826" max="2826" width="2.5703125" style="1768" customWidth="1"/>
    <col min="2827" max="2827" width="10.5703125" style="1768" customWidth="1"/>
    <col min="2828" max="2828" width="1.5703125" style="1768" customWidth="1"/>
    <col min="2829" max="2829" width="10.5703125" style="1768" customWidth="1"/>
    <col min="2830" max="2830" width="1.5703125" style="1768" customWidth="1"/>
    <col min="2831" max="2831" width="12.5703125" style="1768" customWidth="1"/>
    <col min="2832" max="2832" width="1.5703125" style="1768" customWidth="1"/>
    <col min="2833" max="2833" width="22.5703125" style="1768" customWidth="1"/>
    <col min="2834" max="2834" width="4.5703125" style="1768" customWidth="1"/>
    <col min="2835" max="2848" width="0" style="1768" hidden="1" customWidth="1"/>
    <col min="2849" max="3073" width="9.42578125" style="1768"/>
    <col min="3074" max="3074" width="0" style="1768" hidden="1" customWidth="1"/>
    <col min="3075" max="3075" width="11.42578125" style="1768" customWidth="1"/>
    <col min="3076" max="3076" width="1.5703125" style="1768" customWidth="1"/>
    <col min="3077" max="3077" width="7.42578125" style="1768" bestFit="1" customWidth="1"/>
    <col min="3078" max="3078" width="1.5703125" style="1768" customWidth="1"/>
    <col min="3079" max="3079" width="12.5703125" style="1768" customWidth="1"/>
    <col min="3080" max="3080" width="1.5703125" style="1768" customWidth="1"/>
    <col min="3081" max="3081" width="20.5703125" style="1768" customWidth="1"/>
    <col min="3082" max="3082" width="2.5703125" style="1768" customWidth="1"/>
    <col min="3083" max="3083" width="10.5703125" style="1768" customWidth="1"/>
    <col min="3084" max="3084" width="1.5703125" style="1768" customWidth="1"/>
    <col min="3085" max="3085" width="10.5703125" style="1768" customWidth="1"/>
    <col min="3086" max="3086" width="1.5703125" style="1768" customWidth="1"/>
    <col min="3087" max="3087" width="12.5703125" style="1768" customWidth="1"/>
    <col min="3088" max="3088" width="1.5703125" style="1768" customWidth="1"/>
    <col min="3089" max="3089" width="22.5703125" style="1768" customWidth="1"/>
    <col min="3090" max="3090" width="4.5703125" style="1768" customWidth="1"/>
    <col min="3091" max="3104" width="0" style="1768" hidden="1" customWidth="1"/>
    <col min="3105" max="3329" width="9.42578125" style="1768"/>
    <col min="3330" max="3330" width="0" style="1768" hidden="1" customWidth="1"/>
    <col min="3331" max="3331" width="11.42578125" style="1768" customWidth="1"/>
    <col min="3332" max="3332" width="1.5703125" style="1768" customWidth="1"/>
    <col min="3333" max="3333" width="7.42578125" style="1768" bestFit="1" customWidth="1"/>
    <col min="3334" max="3334" width="1.5703125" style="1768" customWidth="1"/>
    <col min="3335" max="3335" width="12.5703125" style="1768" customWidth="1"/>
    <col min="3336" max="3336" width="1.5703125" style="1768" customWidth="1"/>
    <col min="3337" max="3337" width="20.5703125" style="1768" customWidth="1"/>
    <col min="3338" max="3338" width="2.5703125" style="1768" customWidth="1"/>
    <col min="3339" max="3339" width="10.5703125" style="1768" customWidth="1"/>
    <col min="3340" max="3340" width="1.5703125" style="1768" customWidth="1"/>
    <col min="3341" max="3341" width="10.5703125" style="1768" customWidth="1"/>
    <col min="3342" max="3342" width="1.5703125" style="1768" customWidth="1"/>
    <col min="3343" max="3343" width="12.5703125" style="1768" customWidth="1"/>
    <col min="3344" max="3344" width="1.5703125" style="1768" customWidth="1"/>
    <col min="3345" max="3345" width="22.5703125" style="1768" customWidth="1"/>
    <col min="3346" max="3346" width="4.5703125" style="1768" customWidth="1"/>
    <col min="3347" max="3360" width="0" style="1768" hidden="1" customWidth="1"/>
    <col min="3361" max="3585" width="9.42578125" style="1768"/>
    <col min="3586" max="3586" width="0" style="1768" hidden="1" customWidth="1"/>
    <col min="3587" max="3587" width="11.42578125" style="1768" customWidth="1"/>
    <col min="3588" max="3588" width="1.5703125" style="1768" customWidth="1"/>
    <col min="3589" max="3589" width="7.42578125" style="1768" bestFit="1" customWidth="1"/>
    <col min="3590" max="3590" width="1.5703125" style="1768" customWidth="1"/>
    <col min="3591" max="3591" width="12.5703125" style="1768" customWidth="1"/>
    <col min="3592" max="3592" width="1.5703125" style="1768" customWidth="1"/>
    <col min="3593" max="3593" width="20.5703125" style="1768" customWidth="1"/>
    <col min="3594" max="3594" width="2.5703125" style="1768" customWidth="1"/>
    <col min="3595" max="3595" width="10.5703125" style="1768" customWidth="1"/>
    <col min="3596" max="3596" width="1.5703125" style="1768" customWidth="1"/>
    <col min="3597" max="3597" width="10.5703125" style="1768" customWidth="1"/>
    <col min="3598" max="3598" width="1.5703125" style="1768" customWidth="1"/>
    <col min="3599" max="3599" width="12.5703125" style="1768" customWidth="1"/>
    <col min="3600" max="3600" width="1.5703125" style="1768" customWidth="1"/>
    <col min="3601" max="3601" width="22.5703125" style="1768" customWidth="1"/>
    <col min="3602" max="3602" width="4.5703125" style="1768" customWidth="1"/>
    <col min="3603" max="3616" width="0" style="1768" hidden="1" customWidth="1"/>
    <col min="3617" max="3841" width="9.42578125" style="1768"/>
    <col min="3842" max="3842" width="0" style="1768" hidden="1" customWidth="1"/>
    <col min="3843" max="3843" width="11.42578125" style="1768" customWidth="1"/>
    <col min="3844" max="3844" width="1.5703125" style="1768" customWidth="1"/>
    <col min="3845" max="3845" width="7.42578125" style="1768" bestFit="1" customWidth="1"/>
    <col min="3846" max="3846" width="1.5703125" style="1768" customWidth="1"/>
    <col min="3847" max="3847" width="12.5703125" style="1768" customWidth="1"/>
    <col min="3848" max="3848" width="1.5703125" style="1768" customWidth="1"/>
    <col min="3849" max="3849" width="20.5703125" style="1768" customWidth="1"/>
    <col min="3850" max="3850" width="2.5703125" style="1768" customWidth="1"/>
    <col min="3851" max="3851" width="10.5703125" style="1768" customWidth="1"/>
    <col min="3852" max="3852" width="1.5703125" style="1768" customWidth="1"/>
    <col min="3853" max="3853" width="10.5703125" style="1768" customWidth="1"/>
    <col min="3854" max="3854" width="1.5703125" style="1768" customWidth="1"/>
    <col min="3855" max="3855" width="12.5703125" style="1768" customWidth="1"/>
    <col min="3856" max="3856" width="1.5703125" style="1768" customWidth="1"/>
    <col min="3857" max="3857" width="22.5703125" style="1768" customWidth="1"/>
    <col min="3858" max="3858" width="4.5703125" style="1768" customWidth="1"/>
    <col min="3859" max="3872" width="0" style="1768" hidden="1" customWidth="1"/>
    <col min="3873" max="4097" width="9.42578125" style="1768"/>
    <col min="4098" max="4098" width="0" style="1768" hidden="1" customWidth="1"/>
    <col min="4099" max="4099" width="11.42578125" style="1768" customWidth="1"/>
    <col min="4100" max="4100" width="1.5703125" style="1768" customWidth="1"/>
    <col min="4101" max="4101" width="7.42578125" style="1768" bestFit="1" customWidth="1"/>
    <col min="4102" max="4102" width="1.5703125" style="1768" customWidth="1"/>
    <col min="4103" max="4103" width="12.5703125" style="1768" customWidth="1"/>
    <col min="4104" max="4104" width="1.5703125" style="1768" customWidth="1"/>
    <col min="4105" max="4105" width="20.5703125" style="1768" customWidth="1"/>
    <col min="4106" max="4106" width="2.5703125" style="1768" customWidth="1"/>
    <col min="4107" max="4107" width="10.5703125" style="1768" customWidth="1"/>
    <col min="4108" max="4108" width="1.5703125" style="1768" customWidth="1"/>
    <col min="4109" max="4109" width="10.5703125" style="1768" customWidth="1"/>
    <col min="4110" max="4110" width="1.5703125" style="1768" customWidth="1"/>
    <col min="4111" max="4111" width="12.5703125" style="1768" customWidth="1"/>
    <col min="4112" max="4112" width="1.5703125" style="1768" customWidth="1"/>
    <col min="4113" max="4113" width="22.5703125" style="1768" customWidth="1"/>
    <col min="4114" max="4114" width="4.5703125" style="1768" customWidth="1"/>
    <col min="4115" max="4128" width="0" style="1768" hidden="1" customWidth="1"/>
    <col min="4129" max="4353" width="9.42578125" style="1768"/>
    <col min="4354" max="4354" width="0" style="1768" hidden="1" customWidth="1"/>
    <col min="4355" max="4355" width="11.42578125" style="1768" customWidth="1"/>
    <col min="4356" max="4356" width="1.5703125" style="1768" customWidth="1"/>
    <col min="4357" max="4357" width="7.42578125" style="1768" bestFit="1" customWidth="1"/>
    <col min="4358" max="4358" width="1.5703125" style="1768" customWidth="1"/>
    <col min="4359" max="4359" width="12.5703125" style="1768" customWidth="1"/>
    <col min="4360" max="4360" width="1.5703125" style="1768" customWidth="1"/>
    <col min="4361" max="4361" width="20.5703125" style="1768" customWidth="1"/>
    <col min="4362" max="4362" width="2.5703125" style="1768" customWidth="1"/>
    <col min="4363" max="4363" width="10.5703125" style="1768" customWidth="1"/>
    <col min="4364" max="4364" width="1.5703125" style="1768" customWidth="1"/>
    <col min="4365" max="4365" width="10.5703125" style="1768" customWidth="1"/>
    <col min="4366" max="4366" width="1.5703125" style="1768" customWidth="1"/>
    <col min="4367" max="4367" width="12.5703125" style="1768" customWidth="1"/>
    <col min="4368" max="4368" width="1.5703125" style="1768" customWidth="1"/>
    <col min="4369" max="4369" width="22.5703125" style="1768" customWidth="1"/>
    <col min="4370" max="4370" width="4.5703125" style="1768" customWidth="1"/>
    <col min="4371" max="4384" width="0" style="1768" hidden="1" customWidth="1"/>
    <col min="4385" max="4609" width="9.42578125" style="1768"/>
    <col min="4610" max="4610" width="0" style="1768" hidden="1" customWidth="1"/>
    <col min="4611" max="4611" width="11.42578125" style="1768" customWidth="1"/>
    <col min="4612" max="4612" width="1.5703125" style="1768" customWidth="1"/>
    <col min="4613" max="4613" width="7.42578125" style="1768" bestFit="1" customWidth="1"/>
    <col min="4614" max="4614" width="1.5703125" style="1768" customWidth="1"/>
    <col min="4615" max="4615" width="12.5703125" style="1768" customWidth="1"/>
    <col min="4616" max="4616" width="1.5703125" style="1768" customWidth="1"/>
    <col min="4617" max="4617" width="20.5703125" style="1768" customWidth="1"/>
    <col min="4618" max="4618" width="2.5703125" style="1768" customWidth="1"/>
    <col min="4619" max="4619" width="10.5703125" style="1768" customWidth="1"/>
    <col min="4620" max="4620" width="1.5703125" style="1768" customWidth="1"/>
    <col min="4621" max="4621" width="10.5703125" style="1768" customWidth="1"/>
    <col min="4622" max="4622" width="1.5703125" style="1768" customWidth="1"/>
    <col min="4623" max="4623" width="12.5703125" style="1768" customWidth="1"/>
    <col min="4624" max="4624" width="1.5703125" style="1768" customWidth="1"/>
    <col min="4625" max="4625" width="22.5703125" style="1768" customWidth="1"/>
    <col min="4626" max="4626" width="4.5703125" style="1768" customWidth="1"/>
    <col min="4627" max="4640" width="0" style="1768" hidden="1" customWidth="1"/>
    <col min="4641" max="4865" width="9.42578125" style="1768"/>
    <col min="4866" max="4866" width="0" style="1768" hidden="1" customWidth="1"/>
    <col min="4867" max="4867" width="11.42578125" style="1768" customWidth="1"/>
    <col min="4868" max="4868" width="1.5703125" style="1768" customWidth="1"/>
    <col min="4869" max="4869" width="7.42578125" style="1768" bestFit="1" customWidth="1"/>
    <col min="4870" max="4870" width="1.5703125" style="1768" customWidth="1"/>
    <col min="4871" max="4871" width="12.5703125" style="1768" customWidth="1"/>
    <col min="4872" max="4872" width="1.5703125" style="1768" customWidth="1"/>
    <col min="4873" max="4873" width="20.5703125" style="1768" customWidth="1"/>
    <col min="4874" max="4874" width="2.5703125" style="1768" customWidth="1"/>
    <col min="4875" max="4875" width="10.5703125" style="1768" customWidth="1"/>
    <col min="4876" max="4876" width="1.5703125" style="1768" customWidth="1"/>
    <col min="4877" max="4877" width="10.5703125" style="1768" customWidth="1"/>
    <col min="4878" max="4878" width="1.5703125" style="1768" customWidth="1"/>
    <col min="4879" max="4879" width="12.5703125" style="1768" customWidth="1"/>
    <col min="4880" max="4880" width="1.5703125" style="1768" customWidth="1"/>
    <col min="4881" max="4881" width="22.5703125" style="1768" customWidth="1"/>
    <col min="4882" max="4882" width="4.5703125" style="1768" customWidth="1"/>
    <col min="4883" max="4896" width="0" style="1768" hidden="1" customWidth="1"/>
    <col min="4897" max="5121" width="9.42578125" style="1768"/>
    <col min="5122" max="5122" width="0" style="1768" hidden="1" customWidth="1"/>
    <col min="5123" max="5123" width="11.42578125" style="1768" customWidth="1"/>
    <col min="5124" max="5124" width="1.5703125" style="1768" customWidth="1"/>
    <col min="5125" max="5125" width="7.42578125" style="1768" bestFit="1" customWidth="1"/>
    <col min="5126" max="5126" width="1.5703125" style="1768" customWidth="1"/>
    <col min="5127" max="5127" width="12.5703125" style="1768" customWidth="1"/>
    <col min="5128" max="5128" width="1.5703125" style="1768" customWidth="1"/>
    <col min="5129" max="5129" width="20.5703125" style="1768" customWidth="1"/>
    <col min="5130" max="5130" width="2.5703125" style="1768" customWidth="1"/>
    <col min="5131" max="5131" width="10.5703125" style="1768" customWidth="1"/>
    <col min="5132" max="5132" width="1.5703125" style="1768" customWidth="1"/>
    <col min="5133" max="5133" width="10.5703125" style="1768" customWidth="1"/>
    <col min="5134" max="5134" width="1.5703125" style="1768" customWidth="1"/>
    <col min="5135" max="5135" width="12.5703125" style="1768" customWidth="1"/>
    <col min="5136" max="5136" width="1.5703125" style="1768" customWidth="1"/>
    <col min="5137" max="5137" width="22.5703125" style="1768" customWidth="1"/>
    <col min="5138" max="5138" width="4.5703125" style="1768" customWidth="1"/>
    <col min="5139" max="5152" width="0" style="1768" hidden="1" customWidth="1"/>
    <col min="5153" max="5377" width="9.42578125" style="1768"/>
    <col min="5378" max="5378" width="0" style="1768" hidden="1" customWidth="1"/>
    <col min="5379" max="5379" width="11.42578125" style="1768" customWidth="1"/>
    <col min="5380" max="5380" width="1.5703125" style="1768" customWidth="1"/>
    <col min="5381" max="5381" width="7.42578125" style="1768" bestFit="1" customWidth="1"/>
    <col min="5382" max="5382" width="1.5703125" style="1768" customWidth="1"/>
    <col min="5383" max="5383" width="12.5703125" style="1768" customWidth="1"/>
    <col min="5384" max="5384" width="1.5703125" style="1768" customWidth="1"/>
    <col min="5385" max="5385" width="20.5703125" style="1768" customWidth="1"/>
    <col min="5386" max="5386" width="2.5703125" style="1768" customWidth="1"/>
    <col min="5387" max="5387" width="10.5703125" style="1768" customWidth="1"/>
    <col min="5388" max="5388" width="1.5703125" style="1768" customWidth="1"/>
    <col min="5389" max="5389" width="10.5703125" style="1768" customWidth="1"/>
    <col min="5390" max="5390" width="1.5703125" style="1768" customWidth="1"/>
    <col min="5391" max="5391" width="12.5703125" style="1768" customWidth="1"/>
    <col min="5392" max="5392" width="1.5703125" style="1768" customWidth="1"/>
    <col min="5393" max="5393" width="22.5703125" style="1768" customWidth="1"/>
    <col min="5394" max="5394" width="4.5703125" style="1768" customWidth="1"/>
    <col min="5395" max="5408" width="0" style="1768" hidden="1" customWidth="1"/>
    <col min="5409" max="5633" width="9.42578125" style="1768"/>
    <col min="5634" max="5634" width="0" style="1768" hidden="1" customWidth="1"/>
    <col min="5635" max="5635" width="11.42578125" style="1768" customWidth="1"/>
    <col min="5636" max="5636" width="1.5703125" style="1768" customWidth="1"/>
    <col min="5637" max="5637" width="7.42578125" style="1768" bestFit="1" customWidth="1"/>
    <col min="5638" max="5638" width="1.5703125" style="1768" customWidth="1"/>
    <col min="5639" max="5639" width="12.5703125" style="1768" customWidth="1"/>
    <col min="5640" max="5640" width="1.5703125" style="1768" customWidth="1"/>
    <col min="5641" max="5641" width="20.5703125" style="1768" customWidth="1"/>
    <col min="5642" max="5642" width="2.5703125" style="1768" customWidth="1"/>
    <col min="5643" max="5643" width="10.5703125" style="1768" customWidth="1"/>
    <col min="5644" max="5644" width="1.5703125" style="1768" customWidth="1"/>
    <col min="5645" max="5645" width="10.5703125" style="1768" customWidth="1"/>
    <col min="5646" max="5646" width="1.5703125" style="1768" customWidth="1"/>
    <col min="5647" max="5647" width="12.5703125" style="1768" customWidth="1"/>
    <col min="5648" max="5648" width="1.5703125" style="1768" customWidth="1"/>
    <col min="5649" max="5649" width="22.5703125" style="1768" customWidth="1"/>
    <col min="5650" max="5650" width="4.5703125" style="1768" customWidth="1"/>
    <col min="5651" max="5664" width="0" style="1768" hidden="1" customWidth="1"/>
    <col min="5665" max="5889" width="9.42578125" style="1768"/>
    <col min="5890" max="5890" width="0" style="1768" hidden="1" customWidth="1"/>
    <col min="5891" max="5891" width="11.42578125" style="1768" customWidth="1"/>
    <col min="5892" max="5892" width="1.5703125" style="1768" customWidth="1"/>
    <col min="5893" max="5893" width="7.42578125" style="1768" bestFit="1" customWidth="1"/>
    <col min="5894" max="5894" width="1.5703125" style="1768" customWidth="1"/>
    <col min="5895" max="5895" width="12.5703125" style="1768" customWidth="1"/>
    <col min="5896" max="5896" width="1.5703125" style="1768" customWidth="1"/>
    <col min="5897" max="5897" width="20.5703125" style="1768" customWidth="1"/>
    <col min="5898" max="5898" width="2.5703125" style="1768" customWidth="1"/>
    <col min="5899" max="5899" width="10.5703125" style="1768" customWidth="1"/>
    <col min="5900" max="5900" width="1.5703125" style="1768" customWidth="1"/>
    <col min="5901" max="5901" width="10.5703125" style="1768" customWidth="1"/>
    <col min="5902" max="5902" width="1.5703125" style="1768" customWidth="1"/>
    <col min="5903" max="5903" width="12.5703125" style="1768" customWidth="1"/>
    <col min="5904" max="5904" width="1.5703125" style="1768" customWidth="1"/>
    <col min="5905" max="5905" width="22.5703125" style="1768" customWidth="1"/>
    <col min="5906" max="5906" width="4.5703125" style="1768" customWidth="1"/>
    <col min="5907" max="5920" width="0" style="1768" hidden="1" customWidth="1"/>
    <col min="5921" max="6145" width="9.42578125" style="1768"/>
    <col min="6146" max="6146" width="0" style="1768" hidden="1" customWidth="1"/>
    <col min="6147" max="6147" width="11.42578125" style="1768" customWidth="1"/>
    <col min="6148" max="6148" width="1.5703125" style="1768" customWidth="1"/>
    <col min="6149" max="6149" width="7.42578125" style="1768" bestFit="1" customWidth="1"/>
    <col min="6150" max="6150" width="1.5703125" style="1768" customWidth="1"/>
    <col min="6151" max="6151" width="12.5703125" style="1768" customWidth="1"/>
    <col min="6152" max="6152" width="1.5703125" style="1768" customWidth="1"/>
    <col min="6153" max="6153" width="20.5703125" style="1768" customWidth="1"/>
    <col min="6154" max="6154" width="2.5703125" style="1768" customWidth="1"/>
    <col min="6155" max="6155" width="10.5703125" style="1768" customWidth="1"/>
    <col min="6156" max="6156" width="1.5703125" style="1768" customWidth="1"/>
    <col min="6157" max="6157" width="10.5703125" style="1768" customWidth="1"/>
    <col min="6158" max="6158" width="1.5703125" style="1768" customWidth="1"/>
    <col min="6159" max="6159" width="12.5703125" style="1768" customWidth="1"/>
    <col min="6160" max="6160" width="1.5703125" style="1768" customWidth="1"/>
    <col min="6161" max="6161" width="22.5703125" style="1768" customWidth="1"/>
    <col min="6162" max="6162" width="4.5703125" style="1768" customWidth="1"/>
    <col min="6163" max="6176" width="0" style="1768" hidden="1" customWidth="1"/>
    <col min="6177" max="6401" width="9.42578125" style="1768"/>
    <col min="6402" max="6402" width="0" style="1768" hidden="1" customWidth="1"/>
    <col min="6403" max="6403" width="11.42578125" style="1768" customWidth="1"/>
    <col min="6404" max="6404" width="1.5703125" style="1768" customWidth="1"/>
    <col min="6405" max="6405" width="7.42578125" style="1768" bestFit="1" customWidth="1"/>
    <col min="6406" max="6406" width="1.5703125" style="1768" customWidth="1"/>
    <col min="6407" max="6407" width="12.5703125" style="1768" customWidth="1"/>
    <col min="6408" max="6408" width="1.5703125" style="1768" customWidth="1"/>
    <col min="6409" max="6409" width="20.5703125" style="1768" customWidth="1"/>
    <col min="6410" max="6410" width="2.5703125" style="1768" customWidth="1"/>
    <col min="6411" max="6411" width="10.5703125" style="1768" customWidth="1"/>
    <col min="6412" max="6412" width="1.5703125" style="1768" customWidth="1"/>
    <col min="6413" max="6413" width="10.5703125" style="1768" customWidth="1"/>
    <col min="6414" max="6414" width="1.5703125" style="1768" customWidth="1"/>
    <col min="6415" max="6415" width="12.5703125" style="1768" customWidth="1"/>
    <col min="6416" max="6416" width="1.5703125" style="1768" customWidth="1"/>
    <col min="6417" max="6417" width="22.5703125" style="1768" customWidth="1"/>
    <col min="6418" max="6418" width="4.5703125" style="1768" customWidth="1"/>
    <col min="6419" max="6432" width="0" style="1768" hidden="1" customWidth="1"/>
    <col min="6433" max="6657" width="9.42578125" style="1768"/>
    <col min="6658" max="6658" width="0" style="1768" hidden="1" customWidth="1"/>
    <col min="6659" max="6659" width="11.42578125" style="1768" customWidth="1"/>
    <col min="6660" max="6660" width="1.5703125" style="1768" customWidth="1"/>
    <col min="6661" max="6661" width="7.42578125" style="1768" bestFit="1" customWidth="1"/>
    <col min="6662" max="6662" width="1.5703125" style="1768" customWidth="1"/>
    <col min="6663" max="6663" width="12.5703125" style="1768" customWidth="1"/>
    <col min="6664" max="6664" width="1.5703125" style="1768" customWidth="1"/>
    <col min="6665" max="6665" width="20.5703125" style="1768" customWidth="1"/>
    <col min="6666" max="6666" width="2.5703125" style="1768" customWidth="1"/>
    <col min="6667" max="6667" width="10.5703125" style="1768" customWidth="1"/>
    <col min="6668" max="6668" width="1.5703125" style="1768" customWidth="1"/>
    <col min="6669" max="6669" width="10.5703125" style="1768" customWidth="1"/>
    <col min="6670" max="6670" width="1.5703125" style="1768" customWidth="1"/>
    <col min="6671" max="6671" width="12.5703125" style="1768" customWidth="1"/>
    <col min="6672" max="6672" width="1.5703125" style="1768" customWidth="1"/>
    <col min="6673" max="6673" width="22.5703125" style="1768" customWidth="1"/>
    <col min="6674" max="6674" width="4.5703125" style="1768" customWidth="1"/>
    <col min="6675" max="6688" width="0" style="1768" hidden="1" customWidth="1"/>
    <col min="6689" max="6913" width="9.42578125" style="1768"/>
    <col min="6914" max="6914" width="0" style="1768" hidden="1" customWidth="1"/>
    <col min="6915" max="6915" width="11.42578125" style="1768" customWidth="1"/>
    <col min="6916" max="6916" width="1.5703125" style="1768" customWidth="1"/>
    <col min="6917" max="6917" width="7.42578125" style="1768" bestFit="1" customWidth="1"/>
    <col min="6918" max="6918" width="1.5703125" style="1768" customWidth="1"/>
    <col min="6919" max="6919" width="12.5703125" style="1768" customWidth="1"/>
    <col min="6920" max="6920" width="1.5703125" style="1768" customWidth="1"/>
    <col min="6921" max="6921" width="20.5703125" style="1768" customWidth="1"/>
    <col min="6922" max="6922" width="2.5703125" style="1768" customWidth="1"/>
    <col min="6923" max="6923" width="10.5703125" style="1768" customWidth="1"/>
    <col min="6924" max="6924" width="1.5703125" style="1768" customWidth="1"/>
    <col min="6925" max="6925" width="10.5703125" style="1768" customWidth="1"/>
    <col min="6926" max="6926" width="1.5703125" style="1768" customWidth="1"/>
    <col min="6927" max="6927" width="12.5703125" style="1768" customWidth="1"/>
    <col min="6928" max="6928" width="1.5703125" style="1768" customWidth="1"/>
    <col min="6929" max="6929" width="22.5703125" style="1768" customWidth="1"/>
    <col min="6930" max="6930" width="4.5703125" style="1768" customWidth="1"/>
    <col min="6931" max="6944" width="0" style="1768" hidden="1" customWidth="1"/>
    <col min="6945" max="7169" width="9.42578125" style="1768"/>
    <col min="7170" max="7170" width="0" style="1768" hidden="1" customWidth="1"/>
    <col min="7171" max="7171" width="11.42578125" style="1768" customWidth="1"/>
    <col min="7172" max="7172" width="1.5703125" style="1768" customWidth="1"/>
    <col min="7173" max="7173" width="7.42578125" style="1768" bestFit="1" customWidth="1"/>
    <col min="7174" max="7174" width="1.5703125" style="1768" customWidth="1"/>
    <col min="7175" max="7175" width="12.5703125" style="1768" customWidth="1"/>
    <col min="7176" max="7176" width="1.5703125" style="1768" customWidth="1"/>
    <col min="7177" max="7177" width="20.5703125" style="1768" customWidth="1"/>
    <col min="7178" max="7178" width="2.5703125" style="1768" customWidth="1"/>
    <col min="7179" max="7179" width="10.5703125" style="1768" customWidth="1"/>
    <col min="7180" max="7180" width="1.5703125" style="1768" customWidth="1"/>
    <col min="7181" max="7181" width="10.5703125" style="1768" customWidth="1"/>
    <col min="7182" max="7182" width="1.5703125" style="1768" customWidth="1"/>
    <col min="7183" max="7183" width="12.5703125" style="1768" customWidth="1"/>
    <col min="7184" max="7184" width="1.5703125" style="1768" customWidth="1"/>
    <col min="7185" max="7185" width="22.5703125" style="1768" customWidth="1"/>
    <col min="7186" max="7186" width="4.5703125" style="1768" customWidth="1"/>
    <col min="7187" max="7200" width="0" style="1768" hidden="1" customWidth="1"/>
    <col min="7201" max="7425" width="9.42578125" style="1768"/>
    <col min="7426" max="7426" width="0" style="1768" hidden="1" customWidth="1"/>
    <col min="7427" max="7427" width="11.42578125" style="1768" customWidth="1"/>
    <col min="7428" max="7428" width="1.5703125" style="1768" customWidth="1"/>
    <col min="7429" max="7429" width="7.42578125" style="1768" bestFit="1" customWidth="1"/>
    <col min="7430" max="7430" width="1.5703125" style="1768" customWidth="1"/>
    <col min="7431" max="7431" width="12.5703125" style="1768" customWidth="1"/>
    <col min="7432" max="7432" width="1.5703125" style="1768" customWidth="1"/>
    <col min="7433" max="7433" width="20.5703125" style="1768" customWidth="1"/>
    <col min="7434" max="7434" width="2.5703125" style="1768" customWidth="1"/>
    <col min="7435" max="7435" width="10.5703125" style="1768" customWidth="1"/>
    <col min="7436" max="7436" width="1.5703125" style="1768" customWidth="1"/>
    <col min="7437" max="7437" width="10.5703125" style="1768" customWidth="1"/>
    <col min="7438" max="7438" width="1.5703125" style="1768" customWidth="1"/>
    <col min="7439" max="7439" width="12.5703125" style="1768" customWidth="1"/>
    <col min="7440" max="7440" width="1.5703125" style="1768" customWidth="1"/>
    <col min="7441" max="7441" width="22.5703125" style="1768" customWidth="1"/>
    <col min="7442" max="7442" width="4.5703125" style="1768" customWidth="1"/>
    <col min="7443" max="7456" width="0" style="1768" hidden="1" customWidth="1"/>
    <col min="7457" max="7681" width="9.42578125" style="1768"/>
    <col min="7682" max="7682" width="0" style="1768" hidden="1" customWidth="1"/>
    <col min="7683" max="7683" width="11.42578125" style="1768" customWidth="1"/>
    <col min="7684" max="7684" width="1.5703125" style="1768" customWidth="1"/>
    <col min="7685" max="7685" width="7.42578125" style="1768" bestFit="1" customWidth="1"/>
    <col min="7686" max="7686" width="1.5703125" style="1768" customWidth="1"/>
    <col min="7687" max="7687" width="12.5703125" style="1768" customWidth="1"/>
    <col min="7688" max="7688" width="1.5703125" style="1768" customWidth="1"/>
    <col min="7689" max="7689" width="20.5703125" style="1768" customWidth="1"/>
    <col min="7690" max="7690" width="2.5703125" style="1768" customWidth="1"/>
    <col min="7691" max="7691" width="10.5703125" style="1768" customWidth="1"/>
    <col min="7692" max="7692" width="1.5703125" style="1768" customWidth="1"/>
    <col min="7693" max="7693" width="10.5703125" style="1768" customWidth="1"/>
    <col min="7694" max="7694" width="1.5703125" style="1768" customWidth="1"/>
    <col min="7695" max="7695" width="12.5703125" style="1768" customWidth="1"/>
    <col min="7696" max="7696" width="1.5703125" style="1768" customWidth="1"/>
    <col min="7697" max="7697" width="22.5703125" style="1768" customWidth="1"/>
    <col min="7698" max="7698" width="4.5703125" style="1768" customWidth="1"/>
    <col min="7699" max="7712" width="0" style="1768" hidden="1" customWidth="1"/>
    <col min="7713" max="7937" width="9.42578125" style="1768"/>
    <col min="7938" max="7938" width="0" style="1768" hidden="1" customWidth="1"/>
    <col min="7939" max="7939" width="11.42578125" style="1768" customWidth="1"/>
    <col min="7940" max="7940" width="1.5703125" style="1768" customWidth="1"/>
    <col min="7941" max="7941" width="7.42578125" style="1768" bestFit="1" customWidth="1"/>
    <col min="7942" max="7942" width="1.5703125" style="1768" customWidth="1"/>
    <col min="7943" max="7943" width="12.5703125" style="1768" customWidth="1"/>
    <col min="7944" max="7944" width="1.5703125" style="1768" customWidth="1"/>
    <col min="7945" max="7945" width="20.5703125" style="1768" customWidth="1"/>
    <col min="7946" max="7946" width="2.5703125" style="1768" customWidth="1"/>
    <col min="7947" max="7947" width="10.5703125" style="1768" customWidth="1"/>
    <col min="7948" max="7948" width="1.5703125" style="1768" customWidth="1"/>
    <col min="7949" max="7949" width="10.5703125" style="1768" customWidth="1"/>
    <col min="7950" max="7950" width="1.5703125" style="1768" customWidth="1"/>
    <col min="7951" max="7951" width="12.5703125" style="1768" customWidth="1"/>
    <col min="7952" max="7952" width="1.5703125" style="1768" customWidth="1"/>
    <col min="7953" max="7953" width="22.5703125" style="1768" customWidth="1"/>
    <col min="7954" max="7954" width="4.5703125" style="1768" customWidth="1"/>
    <col min="7955" max="7968" width="0" style="1768" hidden="1" customWidth="1"/>
    <col min="7969" max="8193" width="9.42578125" style="1768"/>
    <col min="8194" max="8194" width="0" style="1768" hidden="1" customWidth="1"/>
    <col min="8195" max="8195" width="11.42578125" style="1768" customWidth="1"/>
    <col min="8196" max="8196" width="1.5703125" style="1768" customWidth="1"/>
    <col min="8197" max="8197" width="7.42578125" style="1768" bestFit="1" customWidth="1"/>
    <col min="8198" max="8198" width="1.5703125" style="1768" customWidth="1"/>
    <col min="8199" max="8199" width="12.5703125" style="1768" customWidth="1"/>
    <col min="8200" max="8200" width="1.5703125" style="1768" customWidth="1"/>
    <col min="8201" max="8201" width="20.5703125" style="1768" customWidth="1"/>
    <col min="8202" max="8202" width="2.5703125" style="1768" customWidth="1"/>
    <col min="8203" max="8203" width="10.5703125" style="1768" customWidth="1"/>
    <col min="8204" max="8204" width="1.5703125" style="1768" customWidth="1"/>
    <col min="8205" max="8205" width="10.5703125" style="1768" customWidth="1"/>
    <col min="8206" max="8206" width="1.5703125" style="1768" customWidth="1"/>
    <col min="8207" max="8207" width="12.5703125" style="1768" customWidth="1"/>
    <col min="8208" max="8208" width="1.5703125" style="1768" customWidth="1"/>
    <col min="8209" max="8209" width="22.5703125" style="1768" customWidth="1"/>
    <col min="8210" max="8210" width="4.5703125" style="1768" customWidth="1"/>
    <col min="8211" max="8224" width="0" style="1768" hidden="1" customWidth="1"/>
    <col min="8225" max="8449" width="9.42578125" style="1768"/>
    <col min="8450" max="8450" width="0" style="1768" hidden="1" customWidth="1"/>
    <col min="8451" max="8451" width="11.42578125" style="1768" customWidth="1"/>
    <col min="8452" max="8452" width="1.5703125" style="1768" customWidth="1"/>
    <col min="8453" max="8453" width="7.42578125" style="1768" bestFit="1" customWidth="1"/>
    <col min="8454" max="8454" width="1.5703125" style="1768" customWidth="1"/>
    <col min="8455" max="8455" width="12.5703125" style="1768" customWidth="1"/>
    <col min="8456" max="8456" width="1.5703125" style="1768" customWidth="1"/>
    <col min="8457" max="8457" width="20.5703125" style="1768" customWidth="1"/>
    <col min="8458" max="8458" width="2.5703125" style="1768" customWidth="1"/>
    <col min="8459" max="8459" width="10.5703125" style="1768" customWidth="1"/>
    <col min="8460" max="8460" width="1.5703125" style="1768" customWidth="1"/>
    <col min="8461" max="8461" width="10.5703125" style="1768" customWidth="1"/>
    <col min="8462" max="8462" width="1.5703125" style="1768" customWidth="1"/>
    <col min="8463" max="8463" width="12.5703125" style="1768" customWidth="1"/>
    <col min="8464" max="8464" width="1.5703125" style="1768" customWidth="1"/>
    <col min="8465" max="8465" width="22.5703125" style="1768" customWidth="1"/>
    <col min="8466" max="8466" width="4.5703125" style="1768" customWidth="1"/>
    <col min="8467" max="8480" width="0" style="1768" hidden="1" customWidth="1"/>
    <col min="8481" max="8705" width="9.42578125" style="1768"/>
    <col min="8706" max="8706" width="0" style="1768" hidden="1" customWidth="1"/>
    <col min="8707" max="8707" width="11.42578125" style="1768" customWidth="1"/>
    <col min="8708" max="8708" width="1.5703125" style="1768" customWidth="1"/>
    <col min="8709" max="8709" width="7.42578125" style="1768" bestFit="1" customWidth="1"/>
    <col min="8710" max="8710" width="1.5703125" style="1768" customWidth="1"/>
    <col min="8711" max="8711" width="12.5703125" style="1768" customWidth="1"/>
    <col min="8712" max="8712" width="1.5703125" style="1768" customWidth="1"/>
    <col min="8713" max="8713" width="20.5703125" style="1768" customWidth="1"/>
    <col min="8714" max="8714" width="2.5703125" style="1768" customWidth="1"/>
    <col min="8715" max="8715" width="10.5703125" style="1768" customWidth="1"/>
    <col min="8716" max="8716" width="1.5703125" style="1768" customWidth="1"/>
    <col min="8717" max="8717" width="10.5703125" style="1768" customWidth="1"/>
    <col min="8718" max="8718" width="1.5703125" style="1768" customWidth="1"/>
    <col min="8719" max="8719" width="12.5703125" style="1768" customWidth="1"/>
    <col min="8720" max="8720" width="1.5703125" style="1768" customWidth="1"/>
    <col min="8721" max="8721" width="22.5703125" style="1768" customWidth="1"/>
    <col min="8722" max="8722" width="4.5703125" style="1768" customWidth="1"/>
    <col min="8723" max="8736" width="0" style="1768" hidden="1" customWidth="1"/>
    <col min="8737" max="8961" width="9.42578125" style="1768"/>
    <col min="8962" max="8962" width="0" style="1768" hidden="1" customWidth="1"/>
    <col min="8963" max="8963" width="11.42578125" style="1768" customWidth="1"/>
    <col min="8964" max="8964" width="1.5703125" style="1768" customWidth="1"/>
    <col min="8965" max="8965" width="7.42578125" style="1768" bestFit="1" customWidth="1"/>
    <col min="8966" max="8966" width="1.5703125" style="1768" customWidth="1"/>
    <col min="8967" max="8967" width="12.5703125" style="1768" customWidth="1"/>
    <col min="8968" max="8968" width="1.5703125" style="1768" customWidth="1"/>
    <col min="8969" max="8969" width="20.5703125" style="1768" customWidth="1"/>
    <col min="8970" max="8970" width="2.5703125" style="1768" customWidth="1"/>
    <col min="8971" max="8971" width="10.5703125" style="1768" customWidth="1"/>
    <col min="8972" max="8972" width="1.5703125" style="1768" customWidth="1"/>
    <col min="8973" max="8973" width="10.5703125" style="1768" customWidth="1"/>
    <col min="8974" max="8974" width="1.5703125" style="1768" customWidth="1"/>
    <col min="8975" max="8975" width="12.5703125" style="1768" customWidth="1"/>
    <col min="8976" max="8976" width="1.5703125" style="1768" customWidth="1"/>
    <col min="8977" max="8977" width="22.5703125" style="1768" customWidth="1"/>
    <col min="8978" max="8978" width="4.5703125" style="1768" customWidth="1"/>
    <col min="8979" max="8992" width="0" style="1768" hidden="1" customWidth="1"/>
    <col min="8993" max="9217" width="9.42578125" style="1768"/>
    <col min="9218" max="9218" width="0" style="1768" hidden="1" customWidth="1"/>
    <col min="9219" max="9219" width="11.42578125" style="1768" customWidth="1"/>
    <col min="9220" max="9220" width="1.5703125" style="1768" customWidth="1"/>
    <col min="9221" max="9221" width="7.42578125" style="1768" bestFit="1" customWidth="1"/>
    <col min="9222" max="9222" width="1.5703125" style="1768" customWidth="1"/>
    <col min="9223" max="9223" width="12.5703125" style="1768" customWidth="1"/>
    <col min="9224" max="9224" width="1.5703125" style="1768" customWidth="1"/>
    <col min="9225" max="9225" width="20.5703125" style="1768" customWidth="1"/>
    <col min="9226" max="9226" width="2.5703125" style="1768" customWidth="1"/>
    <col min="9227" max="9227" width="10.5703125" style="1768" customWidth="1"/>
    <col min="9228" max="9228" width="1.5703125" style="1768" customWidth="1"/>
    <col min="9229" max="9229" width="10.5703125" style="1768" customWidth="1"/>
    <col min="9230" max="9230" width="1.5703125" style="1768" customWidth="1"/>
    <col min="9231" max="9231" width="12.5703125" style="1768" customWidth="1"/>
    <col min="9232" max="9232" width="1.5703125" style="1768" customWidth="1"/>
    <col min="9233" max="9233" width="22.5703125" style="1768" customWidth="1"/>
    <col min="9234" max="9234" width="4.5703125" style="1768" customWidth="1"/>
    <col min="9235" max="9248" width="0" style="1768" hidden="1" customWidth="1"/>
    <col min="9249" max="9473" width="9.42578125" style="1768"/>
    <col min="9474" max="9474" width="0" style="1768" hidden="1" customWidth="1"/>
    <col min="9475" max="9475" width="11.42578125" style="1768" customWidth="1"/>
    <col min="9476" max="9476" width="1.5703125" style="1768" customWidth="1"/>
    <col min="9477" max="9477" width="7.42578125" style="1768" bestFit="1" customWidth="1"/>
    <col min="9478" max="9478" width="1.5703125" style="1768" customWidth="1"/>
    <col min="9479" max="9479" width="12.5703125" style="1768" customWidth="1"/>
    <col min="9480" max="9480" width="1.5703125" style="1768" customWidth="1"/>
    <col min="9481" max="9481" width="20.5703125" style="1768" customWidth="1"/>
    <col min="9482" max="9482" width="2.5703125" style="1768" customWidth="1"/>
    <col min="9483" max="9483" width="10.5703125" style="1768" customWidth="1"/>
    <col min="9484" max="9484" width="1.5703125" style="1768" customWidth="1"/>
    <col min="9485" max="9485" width="10.5703125" style="1768" customWidth="1"/>
    <col min="9486" max="9486" width="1.5703125" style="1768" customWidth="1"/>
    <col min="9487" max="9487" width="12.5703125" style="1768" customWidth="1"/>
    <col min="9488" max="9488" width="1.5703125" style="1768" customWidth="1"/>
    <col min="9489" max="9489" width="22.5703125" style="1768" customWidth="1"/>
    <col min="9490" max="9490" width="4.5703125" style="1768" customWidth="1"/>
    <col min="9491" max="9504" width="0" style="1768" hidden="1" customWidth="1"/>
    <col min="9505" max="9729" width="9.42578125" style="1768"/>
    <col min="9730" max="9730" width="0" style="1768" hidden="1" customWidth="1"/>
    <col min="9731" max="9731" width="11.42578125" style="1768" customWidth="1"/>
    <col min="9732" max="9732" width="1.5703125" style="1768" customWidth="1"/>
    <col min="9733" max="9733" width="7.42578125" style="1768" bestFit="1" customWidth="1"/>
    <col min="9734" max="9734" width="1.5703125" style="1768" customWidth="1"/>
    <col min="9735" max="9735" width="12.5703125" style="1768" customWidth="1"/>
    <col min="9736" max="9736" width="1.5703125" style="1768" customWidth="1"/>
    <col min="9737" max="9737" width="20.5703125" style="1768" customWidth="1"/>
    <col min="9738" max="9738" width="2.5703125" style="1768" customWidth="1"/>
    <col min="9739" max="9739" width="10.5703125" style="1768" customWidth="1"/>
    <col min="9740" max="9740" width="1.5703125" style="1768" customWidth="1"/>
    <col min="9741" max="9741" width="10.5703125" style="1768" customWidth="1"/>
    <col min="9742" max="9742" width="1.5703125" style="1768" customWidth="1"/>
    <col min="9743" max="9743" width="12.5703125" style="1768" customWidth="1"/>
    <col min="9744" max="9744" width="1.5703125" style="1768" customWidth="1"/>
    <col min="9745" max="9745" width="22.5703125" style="1768" customWidth="1"/>
    <col min="9746" max="9746" width="4.5703125" style="1768" customWidth="1"/>
    <col min="9747" max="9760" width="0" style="1768" hidden="1" customWidth="1"/>
    <col min="9761" max="9985" width="9.42578125" style="1768"/>
    <col min="9986" max="9986" width="0" style="1768" hidden="1" customWidth="1"/>
    <col min="9987" max="9987" width="11.42578125" style="1768" customWidth="1"/>
    <col min="9988" max="9988" width="1.5703125" style="1768" customWidth="1"/>
    <col min="9989" max="9989" width="7.42578125" style="1768" bestFit="1" customWidth="1"/>
    <col min="9990" max="9990" width="1.5703125" style="1768" customWidth="1"/>
    <col min="9991" max="9991" width="12.5703125" style="1768" customWidth="1"/>
    <col min="9992" max="9992" width="1.5703125" style="1768" customWidth="1"/>
    <col min="9993" max="9993" width="20.5703125" style="1768" customWidth="1"/>
    <col min="9994" max="9994" width="2.5703125" style="1768" customWidth="1"/>
    <col min="9995" max="9995" width="10.5703125" style="1768" customWidth="1"/>
    <col min="9996" max="9996" width="1.5703125" style="1768" customWidth="1"/>
    <col min="9997" max="9997" width="10.5703125" style="1768" customWidth="1"/>
    <col min="9998" max="9998" width="1.5703125" style="1768" customWidth="1"/>
    <col min="9999" max="9999" width="12.5703125" style="1768" customWidth="1"/>
    <col min="10000" max="10000" width="1.5703125" style="1768" customWidth="1"/>
    <col min="10001" max="10001" width="22.5703125" style="1768" customWidth="1"/>
    <col min="10002" max="10002" width="4.5703125" style="1768" customWidth="1"/>
    <col min="10003" max="10016" width="0" style="1768" hidden="1" customWidth="1"/>
    <col min="10017" max="10241" width="9.42578125" style="1768"/>
    <col min="10242" max="10242" width="0" style="1768" hidden="1" customWidth="1"/>
    <col min="10243" max="10243" width="11.42578125" style="1768" customWidth="1"/>
    <col min="10244" max="10244" width="1.5703125" style="1768" customWidth="1"/>
    <col min="10245" max="10245" width="7.42578125" style="1768" bestFit="1" customWidth="1"/>
    <col min="10246" max="10246" width="1.5703125" style="1768" customWidth="1"/>
    <col min="10247" max="10247" width="12.5703125" style="1768" customWidth="1"/>
    <col min="10248" max="10248" width="1.5703125" style="1768" customWidth="1"/>
    <col min="10249" max="10249" width="20.5703125" style="1768" customWidth="1"/>
    <col min="10250" max="10250" width="2.5703125" style="1768" customWidth="1"/>
    <col min="10251" max="10251" width="10.5703125" style="1768" customWidth="1"/>
    <col min="10252" max="10252" width="1.5703125" style="1768" customWidth="1"/>
    <col min="10253" max="10253" width="10.5703125" style="1768" customWidth="1"/>
    <col min="10254" max="10254" width="1.5703125" style="1768" customWidth="1"/>
    <col min="10255" max="10255" width="12.5703125" style="1768" customWidth="1"/>
    <col min="10256" max="10256" width="1.5703125" style="1768" customWidth="1"/>
    <col min="10257" max="10257" width="22.5703125" style="1768" customWidth="1"/>
    <col min="10258" max="10258" width="4.5703125" style="1768" customWidth="1"/>
    <col min="10259" max="10272" width="0" style="1768" hidden="1" customWidth="1"/>
    <col min="10273" max="10497" width="9.42578125" style="1768"/>
    <col min="10498" max="10498" width="0" style="1768" hidden="1" customWidth="1"/>
    <col min="10499" max="10499" width="11.42578125" style="1768" customWidth="1"/>
    <col min="10500" max="10500" width="1.5703125" style="1768" customWidth="1"/>
    <col min="10501" max="10501" width="7.42578125" style="1768" bestFit="1" customWidth="1"/>
    <col min="10502" max="10502" width="1.5703125" style="1768" customWidth="1"/>
    <col min="10503" max="10503" width="12.5703125" style="1768" customWidth="1"/>
    <col min="10504" max="10504" width="1.5703125" style="1768" customWidth="1"/>
    <col min="10505" max="10505" width="20.5703125" style="1768" customWidth="1"/>
    <col min="10506" max="10506" width="2.5703125" style="1768" customWidth="1"/>
    <col min="10507" max="10507" width="10.5703125" style="1768" customWidth="1"/>
    <col min="10508" max="10508" width="1.5703125" style="1768" customWidth="1"/>
    <col min="10509" max="10509" width="10.5703125" style="1768" customWidth="1"/>
    <col min="10510" max="10510" width="1.5703125" style="1768" customWidth="1"/>
    <col min="10511" max="10511" width="12.5703125" style="1768" customWidth="1"/>
    <col min="10512" max="10512" width="1.5703125" style="1768" customWidth="1"/>
    <col min="10513" max="10513" width="22.5703125" style="1768" customWidth="1"/>
    <col min="10514" max="10514" width="4.5703125" style="1768" customWidth="1"/>
    <col min="10515" max="10528" width="0" style="1768" hidden="1" customWidth="1"/>
    <col min="10529" max="10753" width="9.42578125" style="1768"/>
    <col min="10754" max="10754" width="0" style="1768" hidden="1" customWidth="1"/>
    <col min="10755" max="10755" width="11.42578125" style="1768" customWidth="1"/>
    <col min="10756" max="10756" width="1.5703125" style="1768" customWidth="1"/>
    <col min="10757" max="10757" width="7.42578125" style="1768" bestFit="1" customWidth="1"/>
    <col min="10758" max="10758" width="1.5703125" style="1768" customWidth="1"/>
    <col min="10759" max="10759" width="12.5703125" style="1768" customWidth="1"/>
    <col min="10760" max="10760" width="1.5703125" style="1768" customWidth="1"/>
    <col min="10761" max="10761" width="20.5703125" style="1768" customWidth="1"/>
    <col min="10762" max="10762" width="2.5703125" style="1768" customWidth="1"/>
    <col min="10763" max="10763" width="10.5703125" style="1768" customWidth="1"/>
    <col min="10764" max="10764" width="1.5703125" style="1768" customWidth="1"/>
    <col min="10765" max="10765" width="10.5703125" style="1768" customWidth="1"/>
    <col min="10766" max="10766" width="1.5703125" style="1768" customWidth="1"/>
    <col min="10767" max="10767" width="12.5703125" style="1768" customWidth="1"/>
    <col min="10768" max="10768" width="1.5703125" style="1768" customWidth="1"/>
    <col min="10769" max="10769" width="22.5703125" style="1768" customWidth="1"/>
    <col min="10770" max="10770" width="4.5703125" style="1768" customWidth="1"/>
    <col min="10771" max="10784" width="0" style="1768" hidden="1" customWidth="1"/>
    <col min="10785" max="11009" width="9.42578125" style="1768"/>
    <col min="11010" max="11010" width="0" style="1768" hidden="1" customWidth="1"/>
    <col min="11011" max="11011" width="11.42578125" style="1768" customWidth="1"/>
    <col min="11012" max="11012" width="1.5703125" style="1768" customWidth="1"/>
    <col min="11013" max="11013" width="7.42578125" style="1768" bestFit="1" customWidth="1"/>
    <col min="11014" max="11014" width="1.5703125" style="1768" customWidth="1"/>
    <col min="11015" max="11015" width="12.5703125" style="1768" customWidth="1"/>
    <col min="11016" max="11016" width="1.5703125" style="1768" customWidth="1"/>
    <col min="11017" max="11017" width="20.5703125" style="1768" customWidth="1"/>
    <col min="11018" max="11018" width="2.5703125" style="1768" customWidth="1"/>
    <col min="11019" max="11019" width="10.5703125" style="1768" customWidth="1"/>
    <col min="11020" max="11020" width="1.5703125" style="1768" customWidth="1"/>
    <col min="11021" max="11021" width="10.5703125" style="1768" customWidth="1"/>
    <col min="11022" max="11022" width="1.5703125" style="1768" customWidth="1"/>
    <col min="11023" max="11023" width="12.5703125" style="1768" customWidth="1"/>
    <col min="11024" max="11024" width="1.5703125" style="1768" customWidth="1"/>
    <col min="11025" max="11025" width="22.5703125" style="1768" customWidth="1"/>
    <col min="11026" max="11026" width="4.5703125" style="1768" customWidth="1"/>
    <col min="11027" max="11040" width="0" style="1768" hidden="1" customWidth="1"/>
    <col min="11041" max="11265" width="9.42578125" style="1768"/>
    <col min="11266" max="11266" width="0" style="1768" hidden="1" customWidth="1"/>
    <col min="11267" max="11267" width="11.42578125" style="1768" customWidth="1"/>
    <col min="11268" max="11268" width="1.5703125" style="1768" customWidth="1"/>
    <col min="11269" max="11269" width="7.42578125" style="1768" bestFit="1" customWidth="1"/>
    <col min="11270" max="11270" width="1.5703125" style="1768" customWidth="1"/>
    <col min="11271" max="11271" width="12.5703125" style="1768" customWidth="1"/>
    <col min="11272" max="11272" width="1.5703125" style="1768" customWidth="1"/>
    <col min="11273" max="11273" width="20.5703125" style="1768" customWidth="1"/>
    <col min="11274" max="11274" width="2.5703125" style="1768" customWidth="1"/>
    <col min="11275" max="11275" width="10.5703125" style="1768" customWidth="1"/>
    <col min="11276" max="11276" width="1.5703125" style="1768" customWidth="1"/>
    <col min="11277" max="11277" width="10.5703125" style="1768" customWidth="1"/>
    <col min="11278" max="11278" width="1.5703125" style="1768" customWidth="1"/>
    <col min="11279" max="11279" width="12.5703125" style="1768" customWidth="1"/>
    <col min="11280" max="11280" width="1.5703125" style="1768" customWidth="1"/>
    <col min="11281" max="11281" width="22.5703125" style="1768" customWidth="1"/>
    <col min="11282" max="11282" width="4.5703125" style="1768" customWidth="1"/>
    <col min="11283" max="11296" width="0" style="1768" hidden="1" customWidth="1"/>
    <col min="11297" max="11521" width="9.42578125" style="1768"/>
    <col min="11522" max="11522" width="0" style="1768" hidden="1" customWidth="1"/>
    <col min="11523" max="11523" width="11.42578125" style="1768" customWidth="1"/>
    <col min="11524" max="11524" width="1.5703125" style="1768" customWidth="1"/>
    <col min="11525" max="11525" width="7.42578125" style="1768" bestFit="1" customWidth="1"/>
    <col min="11526" max="11526" width="1.5703125" style="1768" customWidth="1"/>
    <col min="11527" max="11527" width="12.5703125" style="1768" customWidth="1"/>
    <col min="11528" max="11528" width="1.5703125" style="1768" customWidth="1"/>
    <col min="11529" max="11529" width="20.5703125" style="1768" customWidth="1"/>
    <col min="11530" max="11530" width="2.5703125" style="1768" customWidth="1"/>
    <col min="11531" max="11531" width="10.5703125" style="1768" customWidth="1"/>
    <col min="11532" max="11532" width="1.5703125" style="1768" customWidth="1"/>
    <col min="11533" max="11533" width="10.5703125" style="1768" customWidth="1"/>
    <col min="11534" max="11534" width="1.5703125" style="1768" customWidth="1"/>
    <col min="11535" max="11535" width="12.5703125" style="1768" customWidth="1"/>
    <col min="11536" max="11536" width="1.5703125" style="1768" customWidth="1"/>
    <col min="11537" max="11537" width="22.5703125" style="1768" customWidth="1"/>
    <col min="11538" max="11538" width="4.5703125" style="1768" customWidth="1"/>
    <col min="11539" max="11552" width="0" style="1768" hidden="1" customWidth="1"/>
    <col min="11553" max="11777" width="9.42578125" style="1768"/>
    <col min="11778" max="11778" width="0" style="1768" hidden="1" customWidth="1"/>
    <col min="11779" max="11779" width="11.42578125" style="1768" customWidth="1"/>
    <col min="11780" max="11780" width="1.5703125" style="1768" customWidth="1"/>
    <col min="11781" max="11781" width="7.42578125" style="1768" bestFit="1" customWidth="1"/>
    <col min="11782" max="11782" width="1.5703125" style="1768" customWidth="1"/>
    <col min="11783" max="11783" width="12.5703125" style="1768" customWidth="1"/>
    <col min="11784" max="11784" width="1.5703125" style="1768" customWidth="1"/>
    <col min="11785" max="11785" width="20.5703125" style="1768" customWidth="1"/>
    <col min="11786" max="11786" width="2.5703125" style="1768" customWidth="1"/>
    <col min="11787" max="11787" width="10.5703125" style="1768" customWidth="1"/>
    <col min="11788" max="11788" width="1.5703125" style="1768" customWidth="1"/>
    <col min="11789" max="11789" width="10.5703125" style="1768" customWidth="1"/>
    <col min="11790" max="11790" width="1.5703125" style="1768" customWidth="1"/>
    <col min="11791" max="11791" width="12.5703125" style="1768" customWidth="1"/>
    <col min="11792" max="11792" width="1.5703125" style="1768" customWidth="1"/>
    <col min="11793" max="11793" width="22.5703125" style="1768" customWidth="1"/>
    <col min="11794" max="11794" width="4.5703125" style="1768" customWidth="1"/>
    <col min="11795" max="11808" width="0" style="1768" hidden="1" customWidth="1"/>
    <col min="11809" max="12033" width="9.42578125" style="1768"/>
    <col min="12034" max="12034" width="0" style="1768" hidden="1" customWidth="1"/>
    <col min="12035" max="12035" width="11.42578125" style="1768" customWidth="1"/>
    <col min="12036" max="12036" width="1.5703125" style="1768" customWidth="1"/>
    <col min="12037" max="12037" width="7.42578125" style="1768" bestFit="1" customWidth="1"/>
    <col min="12038" max="12038" width="1.5703125" style="1768" customWidth="1"/>
    <col min="12039" max="12039" width="12.5703125" style="1768" customWidth="1"/>
    <col min="12040" max="12040" width="1.5703125" style="1768" customWidth="1"/>
    <col min="12041" max="12041" width="20.5703125" style="1768" customWidth="1"/>
    <col min="12042" max="12042" width="2.5703125" style="1768" customWidth="1"/>
    <col min="12043" max="12043" width="10.5703125" style="1768" customWidth="1"/>
    <col min="12044" max="12044" width="1.5703125" style="1768" customWidth="1"/>
    <col min="12045" max="12045" width="10.5703125" style="1768" customWidth="1"/>
    <col min="12046" max="12046" width="1.5703125" style="1768" customWidth="1"/>
    <col min="12047" max="12047" width="12.5703125" style="1768" customWidth="1"/>
    <col min="12048" max="12048" width="1.5703125" style="1768" customWidth="1"/>
    <col min="12049" max="12049" width="22.5703125" style="1768" customWidth="1"/>
    <col min="12050" max="12050" width="4.5703125" style="1768" customWidth="1"/>
    <col min="12051" max="12064" width="0" style="1768" hidden="1" customWidth="1"/>
    <col min="12065" max="12289" width="9.42578125" style="1768"/>
    <col min="12290" max="12290" width="0" style="1768" hidden="1" customWidth="1"/>
    <col min="12291" max="12291" width="11.42578125" style="1768" customWidth="1"/>
    <col min="12292" max="12292" width="1.5703125" style="1768" customWidth="1"/>
    <col min="12293" max="12293" width="7.42578125" style="1768" bestFit="1" customWidth="1"/>
    <col min="12294" max="12294" width="1.5703125" style="1768" customWidth="1"/>
    <col min="12295" max="12295" width="12.5703125" style="1768" customWidth="1"/>
    <col min="12296" max="12296" width="1.5703125" style="1768" customWidth="1"/>
    <col min="12297" max="12297" width="20.5703125" style="1768" customWidth="1"/>
    <col min="12298" max="12298" width="2.5703125" style="1768" customWidth="1"/>
    <col min="12299" max="12299" width="10.5703125" style="1768" customWidth="1"/>
    <col min="12300" max="12300" width="1.5703125" style="1768" customWidth="1"/>
    <col min="12301" max="12301" width="10.5703125" style="1768" customWidth="1"/>
    <col min="12302" max="12302" width="1.5703125" style="1768" customWidth="1"/>
    <col min="12303" max="12303" width="12.5703125" style="1768" customWidth="1"/>
    <col min="12304" max="12304" width="1.5703125" style="1768" customWidth="1"/>
    <col min="12305" max="12305" width="22.5703125" style="1768" customWidth="1"/>
    <col min="12306" max="12306" width="4.5703125" style="1768" customWidth="1"/>
    <col min="12307" max="12320" width="0" style="1768" hidden="1" customWidth="1"/>
    <col min="12321" max="12545" width="9.42578125" style="1768"/>
    <col min="12546" max="12546" width="0" style="1768" hidden="1" customWidth="1"/>
    <col min="12547" max="12547" width="11.42578125" style="1768" customWidth="1"/>
    <col min="12548" max="12548" width="1.5703125" style="1768" customWidth="1"/>
    <col min="12549" max="12549" width="7.42578125" style="1768" bestFit="1" customWidth="1"/>
    <col min="12550" max="12550" width="1.5703125" style="1768" customWidth="1"/>
    <col min="12551" max="12551" width="12.5703125" style="1768" customWidth="1"/>
    <col min="12552" max="12552" width="1.5703125" style="1768" customWidth="1"/>
    <col min="12553" max="12553" width="20.5703125" style="1768" customWidth="1"/>
    <col min="12554" max="12554" width="2.5703125" style="1768" customWidth="1"/>
    <col min="12555" max="12555" width="10.5703125" style="1768" customWidth="1"/>
    <col min="12556" max="12556" width="1.5703125" style="1768" customWidth="1"/>
    <col min="12557" max="12557" width="10.5703125" style="1768" customWidth="1"/>
    <col min="12558" max="12558" width="1.5703125" style="1768" customWidth="1"/>
    <col min="12559" max="12559" width="12.5703125" style="1768" customWidth="1"/>
    <col min="12560" max="12560" width="1.5703125" style="1768" customWidth="1"/>
    <col min="12561" max="12561" width="22.5703125" style="1768" customWidth="1"/>
    <col min="12562" max="12562" width="4.5703125" style="1768" customWidth="1"/>
    <col min="12563" max="12576" width="0" style="1768" hidden="1" customWidth="1"/>
    <col min="12577" max="12801" width="9.42578125" style="1768"/>
    <col min="12802" max="12802" width="0" style="1768" hidden="1" customWidth="1"/>
    <col min="12803" max="12803" width="11.42578125" style="1768" customWidth="1"/>
    <col min="12804" max="12804" width="1.5703125" style="1768" customWidth="1"/>
    <col min="12805" max="12805" width="7.42578125" style="1768" bestFit="1" customWidth="1"/>
    <col min="12806" max="12806" width="1.5703125" style="1768" customWidth="1"/>
    <col min="12807" max="12807" width="12.5703125" style="1768" customWidth="1"/>
    <col min="12808" max="12808" width="1.5703125" style="1768" customWidth="1"/>
    <col min="12809" max="12809" width="20.5703125" style="1768" customWidth="1"/>
    <col min="12810" max="12810" width="2.5703125" style="1768" customWidth="1"/>
    <col min="12811" max="12811" width="10.5703125" style="1768" customWidth="1"/>
    <col min="12812" max="12812" width="1.5703125" style="1768" customWidth="1"/>
    <col min="12813" max="12813" width="10.5703125" style="1768" customWidth="1"/>
    <col min="12814" max="12814" width="1.5703125" style="1768" customWidth="1"/>
    <col min="12815" max="12815" width="12.5703125" style="1768" customWidth="1"/>
    <col min="12816" max="12816" width="1.5703125" style="1768" customWidth="1"/>
    <col min="12817" max="12817" width="22.5703125" style="1768" customWidth="1"/>
    <col min="12818" max="12818" width="4.5703125" style="1768" customWidth="1"/>
    <col min="12819" max="12832" width="0" style="1768" hidden="1" customWidth="1"/>
    <col min="12833" max="13057" width="9.42578125" style="1768"/>
    <col min="13058" max="13058" width="0" style="1768" hidden="1" customWidth="1"/>
    <col min="13059" max="13059" width="11.42578125" style="1768" customWidth="1"/>
    <col min="13060" max="13060" width="1.5703125" style="1768" customWidth="1"/>
    <col min="13061" max="13061" width="7.42578125" style="1768" bestFit="1" customWidth="1"/>
    <col min="13062" max="13062" width="1.5703125" style="1768" customWidth="1"/>
    <col min="13063" max="13063" width="12.5703125" style="1768" customWidth="1"/>
    <col min="13064" max="13064" width="1.5703125" style="1768" customWidth="1"/>
    <col min="13065" max="13065" width="20.5703125" style="1768" customWidth="1"/>
    <col min="13066" max="13066" width="2.5703125" style="1768" customWidth="1"/>
    <col min="13067" max="13067" width="10.5703125" style="1768" customWidth="1"/>
    <col min="13068" max="13068" width="1.5703125" style="1768" customWidth="1"/>
    <col min="13069" max="13069" width="10.5703125" style="1768" customWidth="1"/>
    <col min="13070" max="13070" width="1.5703125" style="1768" customWidth="1"/>
    <col min="13071" max="13071" width="12.5703125" style="1768" customWidth="1"/>
    <col min="13072" max="13072" width="1.5703125" style="1768" customWidth="1"/>
    <col min="13073" max="13073" width="22.5703125" style="1768" customWidth="1"/>
    <col min="13074" max="13074" width="4.5703125" style="1768" customWidth="1"/>
    <col min="13075" max="13088" width="0" style="1768" hidden="1" customWidth="1"/>
    <col min="13089" max="13313" width="9.42578125" style="1768"/>
    <col min="13314" max="13314" width="0" style="1768" hidden="1" customWidth="1"/>
    <col min="13315" max="13315" width="11.42578125" style="1768" customWidth="1"/>
    <col min="13316" max="13316" width="1.5703125" style="1768" customWidth="1"/>
    <col min="13317" max="13317" width="7.42578125" style="1768" bestFit="1" customWidth="1"/>
    <col min="13318" max="13318" width="1.5703125" style="1768" customWidth="1"/>
    <col min="13319" max="13319" width="12.5703125" style="1768" customWidth="1"/>
    <col min="13320" max="13320" width="1.5703125" style="1768" customWidth="1"/>
    <col min="13321" max="13321" width="20.5703125" style="1768" customWidth="1"/>
    <col min="13322" max="13322" width="2.5703125" style="1768" customWidth="1"/>
    <col min="13323" max="13323" width="10.5703125" style="1768" customWidth="1"/>
    <col min="13324" max="13324" width="1.5703125" style="1768" customWidth="1"/>
    <col min="13325" max="13325" width="10.5703125" style="1768" customWidth="1"/>
    <col min="13326" max="13326" width="1.5703125" style="1768" customWidth="1"/>
    <col min="13327" max="13327" width="12.5703125" style="1768" customWidth="1"/>
    <col min="13328" max="13328" width="1.5703125" style="1768" customWidth="1"/>
    <col min="13329" max="13329" width="22.5703125" style="1768" customWidth="1"/>
    <col min="13330" max="13330" width="4.5703125" style="1768" customWidth="1"/>
    <col min="13331" max="13344" width="0" style="1768" hidden="1" customWidth="1"/>
    <col min="13345" max="13569" width="9.42578125" style="1768"/>
    <col min="13570" max="13570" width="0" style="1768" hidden="1" customWidth="1"/>
    <col min="13571" max="13571" width="11.42578125" style="1768" customWidth="1"/>
    <col min="13572" max="13572" width="1.5703125" style="1768" customWidth="1"/>
    <col min="13573" max="13573" width="7.42578125" style="1768" bestFit="1" customWidth="1"/>
    <col min="13574" max="13574" width="1.5703125" style="1768" customWidth="1"/>
    <col min="13575" max="13575" width="12.5703125" style="1768" customWidth="1"/>
    <col min="13576" max="13576" width="1.5703125" style="1768" customWidth="1"/>
    <col min="13577" max="13577" width="20.5703125" style="1768" customWidth="1"/>
    <col min="13578" max="13578" width="2.5703125" style="1768" customWidth="1"/>
    <col min="13579" max="13579" width="10.5703125" style="1768" customWidth="1"/>
    <col min="13580" max="13580" width="1.5703125" style="1768" customWidth="1"/>
    <col min="13581" max="13581" width="10.5703125" style="1768" customWidth="1"/>
    <col min="13582" max="13582" width="1.5703125" style="1768" customWidth="1"/>
    <col min="13583" max="13583" width="12.5703125" style="1768" customWidth="1"/>
    <col min="13584" max="13584" width="1.5703125" style="1768" customWidth="1"/>
    <col min="13585" max="13585" width="22.5703125" style="1768" customWidth="1"/>
    <col min="13586" max="13586" width="4.5703125" style="1768" customWidth="1"/>
    <col min="13587" max="13600" width="0" style="1768" hidden="1" customWidth="1"/>
    <col min="13601" max="13825" width="9.42578125" style="1768"/>
    <col min="13826" max="13826" width="0" style="1768" hidden="1" customWidth="1"/>
    <col min="13827" max="13827" width="11.42578125" style="1768" customWidth="1"/>
    <col min="13828" max="13828" width="1.5703125" style="1768" customWidth="1"/>
    <col min="13829" max="13829" width="7.42578125" style="1768" bestFit="1" customWidth="1"/>
    <col min="13830" max="13830" width="1.5703125" style="1768" customWidth="1"/>
    <col min="13831" max="13831" width="12.5703125" style="1768" customWidth="1"/>
    <col min="13832" max="13832" width="1.5703125" style="1768" customWidth="1"/>
    <col min="13833" max="13833" width="20.5703125" style="1768" customWidth="1"/>
    <col min="13834" max="13834" width="2.5703125" style="1768" customWidth="1"/>
    <col min="13835" max="13835" width="10.5703125" style="1768" customWidth="1"/>
    <col min="13836" max="13836" width="1.5703125" style="1768" customWidth="1"/>
    <col min="13837" max="13837" width="10.5703125" style="1768" customWidth="1"/>
    <col min="13838" max="13838" width="1.5703125" style="1768" customWidth="1"/>
    <col min="13839" max="13839" width="12.5703125" style="1768" customWidth="1"/>
    <col min="13840" max="13840" width="1.5703125" style="1768" customWidth="1"/>
    <col min="13841" max="13841" width="22.5703125" style="1768" customWidth="1"/>
    <col min="13842" max="13842" width="4.5703125" style="1768" customWidth="1"/>
    <col min="13843" max="13856" width="0" style="1768" hidden="1" customWidth="1"/>
    <col min="13857" max="14081" width="9.42578125" style="1768"/>
    <col min="14082" max="14082" width="0" style="1768" hidden="1" customWidth="1"/>
    <col min="14083" max="14083" width="11.42578125" style="1768" customWidth="1"/>
    <col min="14084" max="14084" width="1.5703125" style="1768" customWidth="1"/>
    <col min="14085" max="14085" width="7.42578125" style="1768" bestFit="1" customWidth="1"/>
    <col min="14086" max="14086" width="1.5703125" style="1768" customWidth="1"/>
    <col min="14087" max="14087" width="12.5703125" style="1768" customWidth="1"/>
    <col min="14088" max="14088" width="1.5703125" style="1768" customWidth="1"/>
    <col min="14089" max="14089" width="20.5703125" style="1768" customWidth="1"/>
    <col min="14090" max="14090" width="2.5703125" style="1768" customWidth="1"/>
    <col min="14091" max="14091" width="10.5703125" style="1768" customWidth="1"/>
    <col min="14092" max="14092" width="1.5703125" style="1768" customWidth="1"/>
    <col min="14093" max="14093" width="10.5703125" style="1768" customWidth="1"/>
    <col min="14094" max="14094" width="1.5703125" style="1768" customWidth="1"/>
    <col min="14095" max="14095" width="12.5703125" style="1768" customWidth="1"/>
    <col min="14096" max="14096" width="1.5703125" style="1768" customWidth="1"/>
    <col min="14097" max="14097" width="22.5703125" style="1768" customWidth="1"/>
    <col min="14098" max="14098" width="4.5703125" style="1768" customWidth="1"/>
    <col min="14099" max="14112" width="0" style="1768" hidden="1" customWidth="1"/>
    <col min="14113" max="14337" width="9.42578125" style="1768"/>
    <col min="14338" max="14338" width="0" style="1768" hidden="1" customWidth="1"/>
    <col min="14339" max="14339" width="11.42578125" style="1768" customWidth="1"/>
    <col min="14340" max="14340" width="1.5703125" style="1768" customWidth="1"/>
    <col min="14341" max="14341" width="7.42578125" style="1768" bestFit="1" customWidth="1"/>
    <col min="14342" max="14342" width="1.5703125" style="1768" customWidth="1"/>
    <col min="14343" max="14343" width="12.5703125" style="1768" customWidth="1"/>
    <col min="14344" max="14344" width="1.5703125" style="1768" customWidth="1"/>
    <col min="14345" max="14345" width="20.5703125" style="1768" customWidth="1"/>
    <col min="14346" max="14346" width="2.5703125" style="1768" customWidth="1"/>
    <col min="14347" max="14347" width="10.5703125" style="1768" customWidth="1"/>
    <col min="14348" max="14348" width="1.5703125" style="1768" customWidth="1"/>
    <col min="14349" max="14349" width="10.5703125" style="1768" customWidth="1"/>
    <col min="14350" max="14350" width="1.5703125" style="1768" customWidth="1"/>
    <col min="14351" max="14351" width="12.5703125" style="1768" customWidth="1"/>
    <col min="14352" max="14352" width="1.5703125" style="1768" customWidth="1"/>
    <col min="14353" max="14353" width="22.5703125" style="1768" customWidth="1"/>
    <col min="14354" max="14354" width="4.5703125" style="1768" customWidth="1"/>
    <col min="14355" max="14368" width="0" style="1768" hidden="1" customWidth="1"/>
    <col min="14369" max="14593" width="9.42578125" style="1768"/>
    <col min="14594" max="14594" width="0" style="1768" hidden="1" customWidth="1"/>
    <col min="14595" max="14595" width="11.42578125" style="1768" customWidth="1"/>
    <col min="14596" max="14596" width="1.5703125" style="1768" customWidth="1"/>
    <col min="14597" max="14597" width="7.42578125" style="1768" bestFit="1" customWidth="1"/>
    <col min="14598" max="14598" width="1.5703125" style="1768" customWidth="1"/>
    <col min="14599" max="14599" width="12.5703125" style="1768" customWidth="1"/>
    <col min="14600" max="14600" width="1.5703125" style="1768" customWidth="1"/>
    <col min="14601" max="14601" width="20.5703125" style="1768" customWidth="1"/>
    <col min="14602" max="14602" width="2.5703125" style="1768" customWidth="1"/>
    <col min="14603" max="14603" width="10.5703125" style="1768" customWidth="1"/>
    <col min="14604" max="14604" width="1.5703125" style="1768" customWidth="1"/>
    <col min="14605" max="14605" width="10.5703125" style="1768" customWidth="1"/>
    <col min="14606" max="14606" width="1.5703125" style="1768" customWidth="1"/>
    <col min="14607" max="14607" width="12.5703125" style="1768" customWidth="1"/>
    <col min="14608" max="14608" width="1.5703125" style="1768" customWidth="1"/>
    <col min="14609" max="14609" width="22.5703125" style="1768" customWidth="1"/>
    <col min="14610" max="14610" width="4.5703125" style="1768" customWidth="1"/>
    <col min="14611" max="14624" width="0" style="1768" hidden="1" customWidth="1"/>
    <col min="14625" max="14849" width="9.42578125" style="1768"/>
    <col min="14850" max="14850" width="0" style="1768" hidden="1" customWidth="1"/>
    <col min="14851" max="14851" width="11.42578125" style="1768" customWidth="1"/>
    <col min="14852" max="14852" width="1.5703125" style="1768" customWidth="1"/>
    <col min="14853" max="14853" width="7.42578125" style="1768" bestFit="1" customWidth="1"/>
    <col min="14854" max="14854" width="1.5703125" style="1768" customWidth="1"/>
    <col min="14855" max="14855" width="12.5703125" style="1768" customWidth="1"/>
    <col min="14856" max="14856" width="1.5703125" style="1768" customWidth="1"/>
    <col min="14857" max="14857" width="20.5703125" style="1768" customWidth="1"/>
    <col min="14858" max="14858" width="2.5703125" style="1768" customWidth="1"/>
    <col min="14859" max="14859" width="10.5703125" style="1768" customWidth="1"/>
    <col min="14860" max="14860" width="1.5703125" style="1768" customWidth="1"/>
    <col min="14861" max="14861" width="10.5703125" style="1768" customWidth="1"/>
    <col min="14862" max="14862" width="1.5703125" style="1768" customWidth="1"/>
    <col min="14863" max="14863" width="12.5703125" style="1768" customWidth="1"/>
    <col min="14864" max="14864" width="1.5703125" style="1768" customWidth="1"/>
    <col min="14865" max="14865" width="22.5703125" style="1768" customWidth="1"/>
    <col min="14866" max="14866" width="4.5703125" style="1768" customWidth="1"/>
    <col min="14867" max="14880" width="0" style="1768" hidden="1" customWidth="1"/>
    <col min="14881" max="15105" width="9.42578125" style="1768"/>
    <col min="15106" max="15106" width="0" style="1768" hidden="1" customWidth="1"/>
    <col min="15107" max="15107" width="11.42578125" style="1768" customWidth="1"/>
    <col min="15108" max="15108" width="1.5703125" style="1768" customWidth="1"/>
    <col min="15109" max="15109" width="7.42578125" style="1768" bestFit="1" customWidth="1"/>
    <col min="15110" max="15110" width="1.5703125" style="1768" customWidth="1"/>
    <col min="15111" max="15111" width="12.5703125" style="1768" customWidth="1"/>
    <col min="15112" max="15112" width="1.5703125" style="1768" customWidth="1"/>
    <col min="15113" max="15113" width="20.5703125" style="1768" customWidth="1"/>
    <col min="15114" max="15114" width="2.5703125" style="1768" customWidth="1"/>
    <col min="15115" max="15115" width="10.5703125" style="1768" customWidth="1"/>
    <col min="15116" max="15116" width="1.5703125" style="1768" customWidth="1"/>
    <col min="15117" max="15117" width="10.5703125" style="1768" customWidth="1"/>
    <col min="15118" max="15118" width="1.5703125" style="1768" customWidth="1"/>
    <col min="15119" max="15119" width="12.5703125" style="1768" customWidth="1"/>
    <col min="15120" max="15120" width="1.5703125" style="1768" customWidth="1"/>
    <col min="15121" max="15121" width="22.5703125" style="1768" customWidth="1"/>
    <col min="15122" max="15122" width="4.5703125" style="1768" customWidth="1"/>
    <col min="15123" max="15136" width="0" style="1768" hidden="1" customWidth="1"/>
    <col min="15137" max="15361" width="9.42578125" style="1768"/>
    <col min="15362" max="15362" width="0" style="1768" hidden="1" customWidth="1"/>
    <col min="15363" max="15363" width="11.42578125" style="1768" customWidth="1"/>
    <col min="15364" max="15364" width="1.5703125" style="1768" customWidth="1"/>
    <col min="15365" max="15365" width="7.42578125" style="1768" bestFit="1" customWidth="1"/>
    <col min="15366" max="15366" width="1.5703125" style="1768" customWidth="1"/>
    <col min="15367" max="15367" width="12.5703125" style="1768" customWidth="1"/>
    <col min="15368" max="15368" width="1.5703125" style="1768" customWidth="1"/>
    <col min="15369" max="15369" width="20.5703125" style="1768" customWidth="1"/>
    <col min="15370" max="15370" width="2.5703125" style="1768" customWidth="1"/>
    <col min="15371" max="15371" width="10.5703125" style="1768" customWidth="1"/>
    <col min="15372" max="15372" width="1.5703125" style="1768" customWidth="1"/>
    <col min="15373" max="15373" width="10.5703125" style="1768" customWidth="1"/>
    <col min="15374" max="15374" width="1.5703125" style="1768" customWidth="1"/>
    <col min="15375" max="15375" width="12.5703125" style="1768" customWidth="1"/>
    <col min="15376" max="15376" width="1.5703125" style="1768" customWidth="1"/>
    <col min="15377" max="15377" width="22.5703125" style="1768" customWidth="1"/>
    <col min="15378" max="15378" width="4.5703125" style="1768" customWidth="1"/>
    <col min="15379" max="15392" width="0" style="1768" hidden="1" customWidth="1"/>
    <col min="15393" max="15617" width="9.42578125" style="1768"/>
    <col min="15618" max="15618" width="0" style="1768" hidden="1" customWidth="1"/>
    <col min="15619" max="15619" width="11.42578125" style="1768" customWidth="1"/>
    <col min="15620" max="15620" width="1.5703125" style="1768" customWidth="1"/>
    <col min="15621" max="15621" width="7.42578125" style="1768" bestFit="1" customWidth="1"/>
    <col min="15622" max="15622" width="1.5703125" style="1768" customWidth="1"/>
    <col min="15623" max="15623" width="12.5703125" style="1768" customWidth="1"/>
    <col min="15624" max="15624" width="1.5703125" style="1768" customWidth="1"/>
    <col min="15625" max="15625" width="20.5703125" style="1768" customWidth="1"/>
    <col min="15626" max="15626" width="2.5703125" style="1768" customWidth="1"/>
    <col min="15627" max="15627" width="10.5703125" style="1768" customWidth="1"/>
    <col min="15628" max="15628" width="1.5703125" style="1768" customWidth="1"/>
    <col min="15629" max="15629" width="10.5703125" style="1768" customWidth="1"/>
    <col min="15630" max="15630" width="1.5703125" style="1768" customWidth="1"/>
    <col min="15631" max="15631" width="12.5703125" style="1768" customWidth="1"/>
    <col min="15632" max="15632" width="1.5703125" style="1768" customWidth="1"/>
    <col min="15633" max="15633" width="22.5703125" style="1768" customWidth="1"/>
    <col min="15634" max="15634" width="4.5703125" style="1768" customWidth="1"/>
    <col min="15635" max="15648" width="0" style="1768" hidden="1" customWidth="1"/>
    <col min="15649" max="15873" width="9.42578125" style="1768"/>
    <col min="15874" max="15874" width="0" style="1768" hidden="1" customWidth="1"/>
    <col min="15875" max="15875" width="11.42578125" style="1768" customWidth="1"/>
    <col min="15876" max="15876" width="1.5703125" style="1768" customWidth="1"/>
    <col min="15877" max="15877" width="7.42578125" style="1768" bestFit="1" customWidth="1"/>
    <col min="15878" max="15878" width="1.5703125" style="1768" customWidth="1"/>
    <col min="15879" max="15879" width="12.5703125" style="1768" customWidth="1"/>
    <col min="15880" max="15880" width="1.5703125" style="1768" customWidth="1"/>
    <col min="15881" max="15881" width="20.5703125" style="1768" customWidth="1"/>
    <col min="15882" max="15882" width="2.5703125" style="1768" customWidth="1"/>
    <col min="15883" max="15883" width="10.5703125" style="1768" customWidth="1"/>
    <col min="15884" max="15884" width="1.5703125" style="1768" customWidth="1"/>
    <col min="15885" max="15885" width="10.5703125" style="1768" customWidth="1"/>
    <col min="15886" max="15886" width="1.5703125" style="1768" customWidth="1"/>
    <col min="15887" max="15887" width="12.5703125" style="1768" customWidth="1"/>
    <col min="15888" max="15888" width="1.5703125" style="1768" customWidth="1"/>
    <col min="15889" max="15889" width="22.5703125" style="1768" customWidth="1"/>
    <col min="15890" max="15890" width="4.5703125" style="1768" customWidth="1"/>
    <col min="15891" max="15904" width="0" style="1768" hidden="1" customWidth="1"/>
    <col min="15905" max="16129" width="9.42578125" style="1768"/>
    <col min="16130" max="16130" width="0" style="1768" hidden="1" customWidth="1"/>
    <col min="16131" max="16131" width="11.42578125" style="1768" customWidth="1"/>
    <col min="16132" max="16132" width="1.5703125" style="1768" customWidth="1"/>
    <col min="16133" max="16133" width="7.42578125" style="1768" bestFit="1" customWidth="1"/>
    <col min="16134" max="16134" width="1.5703125" style="1768" customWidth="1"/>
    <col min="16135" max="16135" width="12.5703125" style="1768" customWidth="1"/>
    <col min="16136" max="16136" width="1.5703125" style="1768" customWidth="1"/>
    <col min="16137" max="16137" width="20.5703125" style="1768" customWidth="1"/>
    <col min="16138" max="16138" width="2.5703125" style="1768" customWidth="1"/>
    <col min="16139" max="16139" width="10.5703125" style="1768" customWidth="1"/>
    <col min="16140" max="16140" width="1.5703125" style="1768" customWidth="1"/>
    <col min="16141" max="16141" width="10.5703125" style="1768" customWidth="1"/>
    <col min="16142" max="16142" width="1.5703125" style="1768" customWidth="1"/>
    <col min="16143" max="16143" width="12.5703125" style="1768" customWidth="1"/>
    <col min="16144" max="16144" width="1.5703125" style="1768" customWidth="1"/>
    <col min="16145" max="16145" width="22.5703125" style="1768" customWidth="1"/>
    <col min="16146" max="16146" width="4.5703125" style="1768" customWidth="1"/>
    <col min="16147" max="16160" width="0" style="1768" hidden="1" customWidth="1"/>
    <col min="16161" max="16384" width="9.42578125" style="1768"/>
  </cols>
  <sheetData>
    <row r="1" spans="2:37" ht="15" customHeight="1" x14ac:dyDescent="0.25">
      <c r="B1" s="2764" t="str">
        <f>Index!A1</f>
        <v xml:space="preserve">                                                               Office of the State Controller                                                                </v>
      </c>
      <c r="C1" s="2764"/>
      <c r="D1" s="2764"/>
      <c r="E1" s="2764"/>
      <c r="F1" s="2764"/>
      <c r="G1" s="2764"/>
      <c r="H1" s="2764"/>
      <c r="I1" s="2764"/>
      <c r="J1" s="2764"/>
      <c r="K1" s="2764"/>
      <c r="L1" s="2764"/>
      <c r="M1" s="2764"/>
      <c r="N1" s="2764"/>
      <c r="O1" s="2764"/>
      <c r="P1" s="2764"/>
      <c r="Q1" s="2764"/>
      <c r="R1" s="2764"/>
      <c r="S1" s="182"/>
      <c r="T1" s="182"/>
      <c r="U1" s="182"/>
      <c r="V1" s="182"/>
      <c r="W1" s="182"/>
      <c r="X1" s="182"/>
      <c r="Y1" s="182"/>
      <c r="Z1" s="182"/>
      <c r="AA1" s="182"/>
      <c r="AB1" s="182"/>
      <c r="AC1" s="182"/>
      <c r="AD1" s="182"/>
      <c r="AK1" s="2510" t="str">
        <f>IF(Index!$B$75="na","NA","")</f>
        <v/>
      </c>
    </row>
    <row r="2" spans="2:37" ht="15" customHeight="1" x14ac:dyDescent="0.25">
      <c r="B2" s="2761" t="str">
        <f>Index!A2</f>
        <v>2022 ACFR Worksheets</v>
      </c>
      <c r="C2" s="2761"/>
      <c r="D2" s="2761"/>
      <c r="E2" s="2761"/>
      <c r="F2" s="2761"/>
      <c r="G2" s="2761"/>
      <c r="H2" s="2761"/>
      <c r="I2" s="2761"/>
      <c r="J2" s="2761"/>
      <c r="K2" s="2761"/>
      <c r="L2" s="2761"/>
      <c r="M2" s="2761"/>
      <c r="N2" s="2761"/>
      <c r="O2" s="2761"/>
      <c r="P2" s="2761"/>
      <c r="Q2" s="2761"/>
      <c r="R2" s="2761"/>
      <c r="S2" s="182"/>
      <c r="T2" s="182"/>
      <c r="U2" s="182"/>
      <c r="V2" s="182"/>
      <c r="W2" s="182"/>
      <c r="X2" s="182"/>
      <c r="Y2" s="182"/>
      <c r="Z2" s="182"/>
      <c r="AA2" s="182"/>
      <c r="AB2" s="182"/>
      <c r="AC2" s="182"/>
      <c r="AD2" s="182"/>
      <c r="AK2" s="2510"/>
    </row>
    <row r="3" spans="2:37" ht="15" customHeight="1" x14ac:dyDescent="0.25">
      <c r="B3" s="2762" t="s">
        <v>4304</v>
      </c>
      <c r="C3" s="2762"/>
      <c r="D3" s="2762"/>
      <c r="E3" s="2762"/>
      <c r="F3" s="2762"/>
      <c r="G3" s="2762"/>
      <c r="H3" s="2762"/>
      <c r="I3" s="2762"/>
      <c r="J3" s="2762"/>
      <c r="K3" s="2762"/>
      <c r="L3" s="2762"/>
      <c r="M3" s="2762"/>
      <c r="N3" s="2762"/>
      <c r="O3" s="2762"/>
      <c r="P3" s="2762"/>
      <c r="Q3" s="2762"/>
      <c r="R3" s="2762"/>
      <c r="S3" s="182"/>
      <c r="T3" s="182"/>
      <c r="U3" s="182"/>
      <c r="V3" s="182"/>
      <c r="W3" s="182"/>
      <c r="X3" s="182"/>
      <c r="Y3" s="182"/>
      <c r="Z3" s="182"/>
      <c r="AA3" s="182"/>
      <c r="AB3" s="182"/>
      <c r="AC3" s="182"/>
      <c r="AD3" s="182"/>
      <c r="AK3" s="2510"/>
    </row>
    <row r="4" spans="2:37" ht="15" customHeight="1" x14ac:dyDescent="0.25">
      <c r="B4" s="1769"/>
      <c r="C4" s="1770"/>
      <c r="D4" s="1770"/>
      <c r="E4" s="1770"/>
      <c r="F4" s="1770"/>
      <c r="G4" s="1770"/>
      <c r="H4" s="1770"/>
      <c r="I4" s="1769"/>
      <c r="J4" s="1770"/>
      <c r="K4" s="1770"/>
      <c r="L4" s="1770"/>
      <c r="M4" s="1770"/>
      <c r="N4" s="1770"/>
      <c r="O4" s="1771"/>
      <c r="P4" s="1770"/>
      <c r="Q4" s="1770"/>
      <c r="R4" s="1772" t="s">
        <v>1091</v>
      </c>
      <c r="S4" s="182"/>
      <c r="T4" s="182"/>
      <c r="U4" s="182"/>
      <c r="V4" s="182"/>
      <c r="W4" s="182"/>
      <c r="X4" s="182"/>
      <c r="Y4" s="182"/>
      <c r="Z4" s="182"/>
      <c r="AA4" s="182"/>
      <c r="AB4" s="182"/>
      <c r="AC4" s="182"/>
      <c r="AD4" s="182"/>
    </row>
    <row r="5" spans="2:37" s="1763" customFormat="1" ht="15" customHeight="1" x14ac:dyDescent="0.2">
      <c r="B5" s="1773" t="s">
        <v>4305</v>
      </c>
      <c r="C5" s="1774"/>
      <c r="D5" s="1774"/>
      <c r="E5" s="2756" t="str">
        <f>AgyIdx</f>
        <v>01</v>
      </c>
      <c r="F5" s="2756"/>
      <c r="G5" s="2756"/>
      <c r="H5" s="2756"/>
      <c r="I5" s="2756"/>
      <c r="J5" s="2756"/>
      <c r="K5" s="1775"/>
      <c r="L5" s="1773" t="s">
        <v>4306</v>
      </c>
      <c r="M5" s="1774"/>
      <c r="N5" s="1774"/>
      <c r="O5" s="2763" t="str">
        <f>CONCATENATE(Index!$E$12," ",Index!$E$14)</f>
        <v xml:space="preserve"> </v>
      </c>
      <c r="P5" s="2763"/>
      <c r="Q5" s="2763"/>
      <c r="R5" s="2763"/>
      <c r="S5" s="2763"/>
      <c r="T5" s="2763"/>
      <c r="U5" s="2763"/>
      <c r="V5" s="2763"/>
    </row>
    <row r="6" spans="2:37" s="1763" customFormat="1" ht="15" customHeight="1" x14ac:dyDescent="0.2">
      <c r="B6" s="1773" t="s">
        <v>4307</v>
      </c>
      <c r="C6" s="1774"/>
      <c r="D6" s="1774"/>
      <c r="E6" s="2779" t="str">
        <f>AgyName</f>
        <v>North Carolina General Assembly</v>
      </c>
      <c r="F6" s="2779"/>
      <c r="G6" s="2779"/>
      <c r="H6" s="2779"/>
      <c r="I6" s="2779"/>
      <c r="J6" s="2779"/>
      <c r="K6" s="1774"/>
      <c r="L6" s="1773" t="s">
        <v>4308</v>
      </c>
      <c r="M6" s="1774"/>
      <c r="N6" s="1774"/>
      <c r="O6" s="2768">
        <f>Index!E13</f>
        <v>0</v>
      </c>
      <c r="P6" s="2768"/>
      <c r="Q6" s="2768"/>
      <c r="R6" s="2768"/>
      <c r="S6" s="1776"/>
      <c r="T6" s="1776"/>
      <c r="U6" s="1776"/>
      <c r="V6" s="1776"/>
    </row>
    <row r="7" spans="2:37" s="1763" customFormat="1" ht="15" customHeight="1" x14ac:dyDescent="0.2">
      <c r="B7" s="1773" t="s">
        <v>4309</v>
      </c>
      <c r="C7" s="1774"/>
      <c r="D7" s="1777"/>
      <c r="E7" s="2767" t="s">
        <v>971</v>
      </c>
      <c r="F7" s="2767"/>
      <c r="G7" s="2767"/>
      <c r="H7" s="2767"/>
      <c r="I7" s="2767"/>
      <c r="J7" s="2767"/>
      <c r="K7" s="1774"/>
      <c r="L7" s="1778"/>
      <c r="M7" s="1778"/>
      <c r="N7" s="1778"/>
      <c r="O7" s="1778"/>
      <c r="P7" s="1778"/>
      <c r="Q7" s="1778"/>
      <c r="R7" s="1774"/>
      <c r="S7" s="1774"/>
      <c r="T7" s="1774"/>
      <c r="U7" s="1774"/>
      <c r="V7" s="1774"/>
    </row>
    <row r="8" spans="2:37" s="1763" customFormat="1" ht="15" customHeight="1" thickBot="1" x14ac:dyDescent="0.25">
      <c r="B8" s="1779"/>
      <c r="C8" s="1779"/>
      <c r="D8" s="1779"/>
      <c r="E8" s="1779"/>
      <c r="F8" s="1779"/>
      <c r="G8" s="1779"/>
      <c r="H8" s="1779"/>
      <c r="I8" s="1780"/>
      <c r="J8" s="1779"/>
      <c r="K8" s="1779"/>
      <c r="L8" s="1779"/>
      <c r="M8" s="1779"/>
      <c r="N8" s="1779"/>
      <c r="O8" s="1779"/>
      <c r="P8" s="1779"/>
      <c r="Q8" s="1779"/>
      <c r="R8" s="1779"/>
      <c r="S8" s="1774"/>
      <c r="T8" s="1774"/>
      <c r="U8" s="1774"/>
      <c r="V8" s="1774"/>
    </row>
    <row r="9" spans="2:37" s="1763" customFormat="1" ht="15" customHeight="1" x14ac:dyDescent="0.2">
      <c r="B9" s="1774"/>
      <c r="C9" s="1774"/>
      <c r="D9" s="1774"/>
      <c r="E9" s="1774"/>
      <c r="F9" s="1774"/>
      <c r="G9" s="1774"/>
      <c r="H9" s="1774"/>
      <c r="I9" s="1781"/>
      <c r="J9" s="1774"/>
      <c r="K9" s="1774"/>
      <c r="L9" s="1774"/>
      <c r="M9" s="1774"/>
      <c r="N9" s="1774"/>
      <c r="O9" s="1774"/>
      <c r="P9" s="1774"/>
      <c r="Q9" s="1774"/>
      <c r="R9" s="1774"/>
      <c r="S9" s="1774"/>
      <c r="T9" s="1774"/>
      <c r="U9" s="1774"/>
      <c r="V9" s="1774"/>
    </row>
    <row r="10" spans="2:37" s="1763" customFormat="1" ht="15" customHeight="1" thickBot="1" x14ac:dyDescent="0.25">
      <c r="B10" s="2758" t="s">
        <v>4310</v>
      </c>
      <c r="C10" s="2758"/>
      <c r="D10" s="2758"/>
      <c r="E10" s="2758"/>
      <c r="F10" s="2758"/>
      <c r="G10" s="2758"/>
      <c r="H10" s="2758"/>
      <c r="I10" s="1781"/>
      <c r="J10" s="2758" t="s">
        <v>4311</v>
      </c>
      <c r="K10" s="2758"/>
      <c r="L10" s="2758"/>
      <c r="M10" s="2758"/>
      <c r="N10" s="2758"/>
      <c r="O10" s="2758"/>
      <c r="P10" s="2758"/>
      <c r="Q10" s="1782"/>
      <c r="R10" s="1774"/>
      <c r="S10" s="1774"/>
      <c r="T10" s="1774"/>
      <c r="U10" s="1774"/>
      <c r="V10" s="1774"/>
    </row>
    <row r="11" spans="2:37" s="1763" customFormat="1" ht="15" customHeight="1" x14ac:dyDescent="0.2">
      <c r="B11" s="1774"/>
      <c r="C11" s="1774"/>
      <c r="D11" s="1774"/>
      <c r="E11" s="1774"/>
      <c r="F11" s="1782" t="s">
        <v>1155</v>
      </c>
      <c r="G11" s="1774"/>
      <c r="H11" s="1774"/>
      <c r="I11" s="1782"/>
      <c r="J11" s="1774"/>
      <c r="K11" s="1774"/>
      <c r="L11" s="1774"/>
      <c r="M11" s="1774"/>
      <c r="N11" s="1782" t="s">
        <v>1064</v>
      </c>
      <c r="O11" s="1774"/>
      <c r="P11" s="1774"/>
      <c r="Q11" s="1774"/>
      <c r="R11" s="1774"/>
      <c r="S11" s="1774"/>
      <c r="T11" s="1774"/>
      <c r="U11" s="1774"/>
      <c r="V11" s="1774"/>
    </row>
    <row r="12" spans="2:37" s="1763" customFormat="1" ht="15" customHeight="1" x14ac:dyDescent="0.2">
      <c r="B12" s="1783" t="s">
        <v>4295</v>
      </c>
      <c r="C12" s="1774"/>
      <c r="D12" s="1783" t="s">
        <v>1157</v>
      </c>
      <c r="E12" s="1774"/>
      <c r="F12" s="1782" t="s">
        <v>684</v>
      </c>
      <c r="G12" s="1774"/>
      <c r="H12" s="1774"/>
      <c r="I12" s="1782"/>
      <c r="J12" s="1782" t="s">
        <v>4295</v>
      </c>
      <c r="K12" s="1774"/>
      <c r="L12" s="1782" t="s">
        <v>1157</v>
      </c>
      <c r="M12" s="1774"/>
      <c r="N12" s="1782" t="s">
        <v>684</v>
      </c>
      <c r="O12" s="1774"/>
      <c r="P12" s="1774"/>
      <c r="Q12" s="1774"/>
      <c r="R12" s="1774"/>
      <c r="S12" s="1774"/>
      <c r="T12" s="1774"/>
      <c r="U12" s="1774"/>
      <c r="V12" s="1774"/>
    </row>
    <row r="13" spans="2:37" s="1763" customFormat="1" ht="15" customHeight="1" thickBot="1" x14ac:dyDescent="0.25">
      <c r="B13" s="1784" t="s">
        <v>685</v>
      </c>
      <c r="C13" s="1782"/>
      <c r="D13" s="1784" t="s">
        <v>685</v>
      </c>
      <c r="E13" s="1782"/>
      <c r="F13" s="1784" t="s">
        <v>685</v>
      </c>
      <c r="G13" s="1774"/>
      <c r="H13" s="1784" t="s">
        <v>1156</v>
      </c>
      <c r="I13" s="1782"/>
      <c r="J13" s="1784" t="s">
        <v>685</v>
      </c>
      <c r="K13" s="1782"/>
      <c r="L13" s="1784" t="s">
        <v>685</v>
      </c>
      <c r="M13" s="1782"/>
      <c r="N13" s="1784" t="s">
        <v>685</v>
      </c>
      <c r="O13" s="1774"/>
      <c r="P13" s="1784" t="s">
        <v>1156</v>
      </c>
      <c r="Q13" s="1782"/>
      <c r="R13" s="1784" t="s">
        <v>4312</v>
      </c>
      <c r="S13" s="1782"/>
      <c r="T13" s="1782"/>
      <c r="U13" s="1782"/>
      <c r="V13" s="1782"/>
      <c r="W13" s="1785"/>
      <c r="X13" s="1785"/>
      <c r="Y13" s="1785"/>
      <c r="Z13" s="1785"/>
      <c r="AA13" s="1785"/>
      <c r="AB13" s="1785"/>
      <c r="AC13" s="1785"/>
      <c r="AD13" s="1785"/>
    </row>
    <row r="14" spans="2:37" s="1763" customFormat="1" ht="15" customHeight="1" x14ac:dyDescent="0.2">
      <c r="B14" s="1786"/>
      <c r="C14" s="1787"/>
      <c r="D14" s="1788"/>
      <c r="E14" s="1787"/>
      <c r="F14" s="1788"/>
      <c r="G14" s="1787"/>
      <c r="H14" s="1789"/>
      <c r="I14" s="1774"/>
      <c r="J14" s="1790"/>
      <c r="K14" s="1791"/>
      <c r="L14" s="1788"/>
      <c r="M14" s="1787"/>
      <c r="N14" s="1788"/>
      <c r="O14" s="1774"/>
      <c r="P14" s="1789"/>
      <c r="Q14" s="1792"/>
      <c r="R14" s="1889"/>
      <c r="S14" s="1752" t="b">
        <f>IF(OR(T14=0,T14=4),TRUE, FALSE)</f>
        <v>1</v>
      </c>
      <c r="T14" s="1752">
        <f>COUNTIF(U14:X14,FALSE)</f>
        <v>0</v>
      </c>
      <c r="U14" s="1753" t="b">
        <f>ISBLANK(B14)</f>
        <v>1</v>
      </c>
      <c r="V14" s="1753" t="b">
        <f>ISBLANK(D14)</f>
        <v>1</v>
      </c>
      <c r="W14" s="1753" t="b">
        <f>ISBLANK(F14)</f>
        <v>1</v>
      </c>
      <c r="X14" s="1753" t="b">
        <f>ISBLANK(H14)</f>
        <v>1</v>
      </c>
      <c r="Y14" s="1752" t="b">
        <f>IF(OR(Z14=0,Z14=4),TRUE, FALSE)</f>
        <v>1</v>
      </c>
      <c r="Z14" s="1752">
        <f>COUNTIF(AA14:AD14,FALSE)</f>
        <v>0</v>
      </c>
      <c r="AA14" s="1753" t="b">
        <f>ISBLANK(J14)</f>
        <v>1</v>
      </c>
      <c r="AB14" s="1753" t="b">
        <f>ISBLANK(L14)</f>
        <v>1</v>
      </c>
      <c r="AC14" s="1753" t="b">
        <f>ISBLANK(N14)</f>
        <v>1</v>
      </c>
      <c r="AD14" s="1753" t="b">
        <f>ISBLANK(P14)</f>
        <v>1</v>
      </c>
      <c r="AE14" s="1754" t="b">
        <f>IF(ISBLANK(F14),TRUE,VALUE(LEFT(F14,4))=4381)</f>
        <v>1</v>
      </c>
      <c r="AF14" s="1754" t="b">
        <f>IF(ISBLANK(N14),TRUE,VALUE(LEFT(N14,4))=5381)</f>
        <v>1</v>
      </c>
    </row>
    <row r="15" spans="2:37" s="1763" customFormat="1" ht="15" customHeight="1" x14ac:dyDescent="0.2">
      <c r="B15" s="1786"/>
      <c r="C15" s="1787"/>
      <c r="D15" s="1788"/>
      <c r="E15" s="1787"/>
      <c r="F15" s="1788"/>
      <c r="G15" s="1787"/>
      <c r="H15" s="1789"/>
      <c r="I15" s="1774"/>
      <c r="J15" s="1790"/>
      <c r="K15" s="1791"/>
      <c r="L15" s="1788"/>
      <c r="M15" s="1787"/>
      <c r="N15" s="1788"/>
      <c r="O15" s="1774"/>
      <c r="P15" s="1789"/>
      <c r="Q15" s="1792"/>
      <c r="R15" s="1889"/>
      <c r="S15" s="1752" t="b">
        <f t="shared" ref="S15:S28" si="0">IF(OR(T15=0,T15=4),TRUE, FALSE)</f>
        <v>1</v>
      </c>
      <c r="T15" s="1752">
        <f t="shared" ref="T15:T28" si="1">COUNTIF(U15:X15,FALSE)</f>
        <v>0</v>
      </c>
      <c r="U15" s="1753" t="b">
        <f t="shared" ref="U15:U28" si="2">ISBLANK(B15)</f>
        <v>1</v>
      </c>
      <c r="V15" s="1753" t="b">
        <f t="shared" ref="V15:V28" si="3">ISBLANK(D15)</f>
        <v>1</v>
      </c>
      <c r="W15" s="1753" t="b">
        <f t="shared" ref="W15:W28" si="4">ISBLANK(F15)</f>
        <v>1</v>
      </c>
      <c r="X15" s="1753" t="b">
        <f t="shared" ref="X15:X28" si="5">ISBLANK(H15)</f>
        <v>1</v>
      </c>
      <c r="Y15" s="1752" t="b">
        <f t="shared" ref="Y15:Y28" si="6">IF(OR(Z15=0,Z15=4),TRUE, FALSE)</f>
        <v>1</v>
      </c>
      <c r="Z15" s="1752">
        <f t="shared" ref="Z15:Z28" si="7">COUNTIF(AA15:AD15,FALSE)</f>
        <v>0</v>
      </c>
      <c r="AA15" s="1753" t="b">
        <f t="shared" ref="AA15:AA28" si="8">ISBLANK(J15)</f>
        <v>1</v>
      </c>
      <c r="AB15" s="1753" t="b">
        <f t="shared" ref="AB15:AB28" si="9">ISBLANK(L15)</f>
        <v>1</v>
      </c>
      <c r="AC15" s="1753" t="b">
        <f t="shared" ref="AC15:AC28" si="10">ISBLANK(N15)</f>
        <v>1</v>
      </c>
      <c r="AD15" s="1753" t="b">
        <f t="shared" ref="AD15:AD28" si="11">ISBLANK(P15)</f>
        <v>1</v>
      </c>
      <c r="AE15" s="1754" t="b">
        <f t="shared" ref="AE15:AE28" si="12">IF(ISBLANK(F15),TRUE,VALUE(LEFT(F15,4))=4381)</f>
        <v>1</v>
      </c>
      <c r="AF15" s="1754" t="b">
        <f t="shared" ref="AF15:AF28" si="13">IF(ISBLANK(N15),TRUE,VALUE(LEFT(N15,4))=5381)</f>
        <v>1</v>
      </c>
    </row>
    <row r="16" spans="2:37" s="1763" customFormat="1" ht="15" customHeight="1" x14ac:dyDescent="0.2">
      <c r="B16" s="1790"/>
      <c r="C16" s="1787"/>
      <c r="D16" s="1788"/>
      <c r="E16" s="1787"/>
      <c r="F16" s="1788"/>
      <c r="G16" s="1787"/>
      <c r="H16" s="1789"/>
      <c r="I16" s="1774"/>
      <c r="J16" s="1790"/>
      <c r="K16" s="1791"/>
      <c r="L16" s="1788"/>
      <c r="M16" s="1787"/>
      <c r="N16" s="1788"/>
      <c r="O16" s="1774"/>
      <c r="P16" s="1789"/>
      <c r="Q16" s="1792"/>
      <c r="R16" s="1889"/>
      <c r="S16" s="1752" t="b">
        <f t="shared" si="0"/>
        <v>1</v>
      </c>
      <c r="T16" s="1752">
        <f t="shared" si="1"/>
        <v>0</v>
      </c>
      <c r="U16" s="1753" t="b">
        <f t="shared" si="2"/>
        <v>1</v>
      </c>
      <c r="V16" s="1753" t="b">
        <f t="shared" si="3"/>
        <v>1</v>
      </c>
      <c r="W16" s="1753" t="b">
        <f t="shared" si="4"/>
        <v>1</v>
      </c>
      <c r="X16" s="1753" t="b">
        <f t="shared" si="5"/>
        <v>1</v>
      </c>
      <c r="Y16" s="1752" t="b">
        <f t="shared" si="6"/>
        <v>1</v>
      </c>
      <c r="Z16" s="1752">
        <f t="shared" si="7"/>
        <v>0</v>
      </c>
      <c r="AA16" s="1753" t="b">
        <f t="shared" si="8"/>
        <v>1</v>
      </c>
      <c r="AB16" s="1753" t="b">
        <f t="shared" si="9"/>
        <v>1</v>
      </c>
      <c r="AC16" s="1753" t="b">
        <f t="shared" si="10"/>
        <v>1</v>
      </c>
      <c r="AD16" s="1753" t="b">
        <f t="shared" si="11"/>
        <v>1</v>
      </c>
      <c r="AE16" s="1754" t="b">
        <f t="shared" si="12"/>
        <v>1</v>
      </c>
      <c r="AF16" s="1754" t="b">
        <f t="shared" si="13"/>
        <v>1</v>
      </c>
    </row>
    <row r="17" spans="2:32" s="1763" customFormat="1" ht="15" customHeight="1" x14ac:dyDescent="0.2">
      <c r="B17" s="1790"/>
      <c r="C17" s="1787"/>
      <c r="D17" s="1788"/>
      <c r="E17" s="1787"/>
      <c r="F17" s="1788"/>
      <c r="G17" s="1787"/>
      <c r="H17" s="1789"/>
      <c r="I17" s="1774"/>
      <c r="J17" s="1790"/>
      <c r="K17" s="1791"/>
      <c r="L17" s="1788"/>
      <c r="M17" s="1787"/>
      <c r="N17" s="1788"/>
      <c r="O17" s="1774"/>
      <c r="P17" s="1789"/>
      <c r="Q17" s="1792"/>
      <c r="R17" s="1889"/>
      <c r="S17" s="1752" t="b">
        <f t="shared" si="0"/>
        <v>1</v>
      </c>
      <c r="T17" s="1752">
        <f t="shared" si="1"/>
        <v>0</v>
      </c>
      <c r="U17" s="1753" t="b">
        <f t="shared" si="2"/>
        <v>1</v>
      </c>
      <c r="V17" s="1753" t="b">
        <f t="shared" si="3"/>
        <v>1</v>
      </c>
      <c r="W17" s="1753" t="b">
        <f t="shared" si="4"/>
        <v>1</v>
      </c>
      <c r="X17" s="1753" t="b">
        <f t="shared" si="5"/>
        <v>1</v>
      </c>
      <c r="Y17" s="1752" t="b">
        <f t="shared" si="6"/>
        <v>1</v>
      </c>
      <c r="Z17" s="1752">
        <f t="shared" si="7"/>
        <v>0</v>
      </c>
      <c r="AA17" s="1753" t="b">
        <f t="shared" si="8"/>
        <v>1</v>
      </c>
      <c r="AB17" s="1753" t="b">
        <f t="shared" si="9"/>
        <v>1</v>
      </c>
      <c r="AC17" s="1753" t="b">
        <f t="shared" si="10"/>
        <v>1</v>
      </c>
      <c r="AD17" s="1753" t="b">
        <f t="shared" si="11"/>
        <v>1</v>
      </c>
      <c r="AE17" s="1754" t="b">
        <f t="shared" si="12"/>
        <v>1</v>
      </c>
      <c r="AF17" s="1754" t="b">
        <f t="shared" si="13"/>
        <v>1</v>
      </c>
    </row>
    <row r="18" spans="2:32" s="1763" customFormat="1" ht="15" customHeight="1" x14ac:dyDescent="0.2">
      <c r="B18" s="1790"/>
      <c r="C18" s="1787"/>
      <c r="D18" s="1788"/>
      <c r="E18" s="1787"/>
      <c r="F18" s="1788"/>
      <c r="G18" s="1787"/>
      <c r="H18" s="1789"/>
      <c r="I18" s="1774"/>
      <c r="J18" s="1790"/>
      <c r="K18" s="1791"/>
      <c r="L18" s="1788"/>
      <c r="M18" s="1787"/>
      <c r="N18" s="1788"/>
      <c r="O18" s="1774"/>
      <c r="P18" s="1789"/>
      <c r="Q18" s="1792"/>
      <c r="R18" s="1889"/>
      <c r="S18" s="1752" t="b">
        <f t="shared" si="0"/>
        <v>1</v>
      </c>
      <c r="T18" s="1752">
        <f t="shared" si="1"/>
        <v>0</v>
      </c>
      <c r="U18" s="1753" t="b">
        <f t="shared" si="2"/>
        <v>1</v>
      </c>
      <c r="V18" s="1753" t="b">
        <f t="shared" si="3"/>
        <v>1</v>
      </c>
      <c r="W18" s="1753" t="b">
        <f t="shared" si="4"/>
        <v>1</v>
      </c>
      <c r="X18" s="1753" t="b">
        <f t="shared" si="5"/>
        <v>1</v>
      </c>
      <c r="Y18" s="1752" t="b">
        <f t="shared" si="6"/>
        <v>1</v>
      </c>
      <c r="Z18" s="1752">
        <f t="shared" si="7"/>
        <v>0</v>
      </c>
      <c r="AA18" s="1753" t="b">
        <f t="shared" si="8"/>
        <v>1</v>
      </c>
      <c r="AB18" s="1753" t="b">
        <f t="shared" si="9"/>
        <v>1</v>
      </c>
      <c r="AC18" s="1753" t="b">
        <f t="shared" si="10"/>
        <v>1</v>
      </c>
      <c r="AD18" s="1753" t="b">
        <f t="shared" si="11"/>
        <v>1</v>
      </c>
      <c r="AE18" s="1754" t="b">
        <f t="shared" si="12"/>
        <v>1</v>
      </c>
      <c r="AF18" s="1754" t="b">
        <f t="shared" si="13"/>
        <v>1</v>
      </c>
    </row>
    <row r="19" spans="2:32" s="1763" customFormat="1" ht="15" customHeight="1" x14ac:dyDescent="0.2">
      <c r="B19" s="1790"/>
      <c r="C19" s="1787"/>
      <c r="D19" s="1788"/>
      <c r="E19" s="1787"/>
      <c r="F19" s="1788"/>
      <c r="G19" s="1787"/>
      <c r="H19" s="1789"/>
      <c r="I19" s="1774"/>
      <c r="J19" s="1790"/>
      <c r="K19" s="1791"/>
      <c r="L19" s="1788"/>
      <c r="M19" s="1787"/>
      <c r="N19" s="1788"/>
      <c r="O19" s="1774"/>
      <c r="P19" s="1789"/>
      <c r="Q19" s="1792"/>
      <c r="R19" s="1889"/>
      <c r="S19" s="1752" t="b">
        <f t="shared" si="0"/>
        <v>1</v>
      </c>
      <c r="T19" s="1752">
        <f t="shared" si="1"/>
        <v>0</v>
      </c>
      <c r="U19" s="1753" t="b">
        <f t="shared" si="2"/>
        <v>1</v>
      </c>
      <c r="V19" s="1753" t="b">
        <f t="shared" si="3"/>
        <v>1</v>
      </c>
      <c r="W19" s="1753" t="b">
        <f t="shared" si="4"/>
        <v>1</v>
      </c>
      <c r="X19" s="1753" t="b">
        <f t="shared" si="5"/>
        <v>1</v>
      </c>
      <c r="Y19" s="1752" t="b">
        <f t="shared" si="6"/>
        <v>1</v>
      </c>
      <c r="Z19" s="1752">
        <f t="shared" si="7"/>
        <v>0</v>
      </c>
      <c r="AA19" s="1753" t="b">
        <f t="shared" si="8"/>
        <v>1</v>
      </c>
      <c r="AB19" s="1753" t="b">
        <f t="shared" si="9"/>
        <v>1</v>
      </c>
      <c r="AC19" s="1753" t="b">
        <f t="shared" si="10"/>
        <v>1</v>
      </c>
      <c r="AD19" s="1753" t="b">
        <f t="shared" si="11"/>
        <v>1</v>
      </c>
      <c r="AE19" s="1754" t="b">
        <f t="shared" si="12"/>
        <v>1</v>
      </c>
      <c r="AF19" s="1754" t="b">
        <f t="shared" si="13"/>
        <v>1</v>
      </c>
    </row>
    <row r="20" spans="2:32" s="1763" customFormat="1" ht="15" customHeight="1" x14ac:dyDescent="0.2">
      <c r="B20" s="1790"/>
      <c r="C20" s="1787"/>
      <c r="D20" s="1788"/>
      <c r="E20" s="1787"/>
      <c r="F20" s="1788"/>
      <c r="G20" s="1787"/>
      <c r="H20" s="1789"/>
      <c r="I20" s="1774"/>
      <c r="J20" s="1790"/>
      <c r="K20" s="1791"/>
      <c r="L20" s="1788"/>
      <c r="M20" s="1787"/>
      <c r="N20" s="1788"/>
      <c r="O20" s="1774"/>
      <c r="P20" s="1789"/>
      <c r="Q20" s="1792"/>
      <c r="R20" s="1889"/>
      <c r="S20" s="1752" t="b">
        <f t="shared" si="0"/>
        <v>1</v>
      </c>
      <c r="T20" s="1752">
        <f t="shared" si="1"/>
        <v>0</v>
      </c>
      <c r="U20" s="1753" t="b">
        <f t="shared" si="2"/>
        <v>1</v>
      </c>
      <c r="V20" s="1753" t="b">
        <f t="shared" si="3"/>
        <v>1</v>
      </c>
      <c r="W20" s="1753" t="b">
        <f t="shared" si="4"/>
        <v>1</v>
      </c>
      <c r="X20" s="1753" t="b">
        <f t="shared" si="5"/>
        <v>1</v>
      </c>
      <c r="Y20" s="1752" t="b">
        <f t="shared" si="6"/>
        <v>1</v>
      </c>
      <c r="Z20" s="1752">
        <f t="shared" si="7"/>
        <v>0</v>
      </c>
      <c r="AA20" s="1753" t="b">
        <f t="shared" si="8"/>
        <v>1</v>
      </c>
      <c r="AB20" s="1753" t="b">
        <f t="shared" si="9"/>
        <v>1</v>
      </c>
      <c r="AC20" s="1753" t="b">
        <f t="shared" si="10"/>
        <v>1</v>
      </c>
      <c r="AD20" s="1753" t="b">
        <f t="shared" si="11"/>
        <v>1</v>
      </c>
      <c r="AE20" s="1754" t="b">
        <f t="shared" si="12"/>
        <v>1</v>
      </c>
      <c r="AF20" s="1754" t="b">
        <f t="shared" si="13"/>
        <v>1</v>
      </c>
    </row>
    <row r="21" spans="2:32" s="1763" customFormat="1" ht="15" customHeight="1" x14ac:dyDescent="0.2">
      <c r="B21" s="1790"/>
      <c r="C21" s="1787"/>
      <c r="D21" s="1788"/>
      <c r="E21" s="1787"/>
      <c r="F21" s="1788"/>
      <c r="G21" s="1787"/>
      <c r="H21" s="1789"/>
      <c r="I21" s="1774"/>
      <c r="J21" s="1790"/>
      <c r="K21" s="1791"/>
      <c r="L21" s="1788"/>
      <c r="M21" s="1787"/>
      <c r="N21" s="1788"/>
      <c r="O21" s="1774"/>
      <c r="P21" s="1789"/>
      <c r="Q21" s="1792"/>
      <c r="R21" s="1889"/>
      <c r="S21" s="1752" t="b">
        <f t="shared" si="0"/>
        <v>1</v>
      </c>
      <c r="T21" s="1752">
        <f t="shared" si="1"/>
        <v>0</v>
      </c>
      <c r="U21" s="1753" t="b">
        <f t="shared" si="2"/>
        <v>1</v>
      </c>
      <c r="V21" s="1753" t="b">
        <f t="shared" si="3"/>
        <v>1</v>
      </c>
      <c r="W21" s="1753" t="b">
        <f t="shared" si="4"/>
        <v>1</v>
      </c>
      <c r="X21" s="1753" t="b">
        <f t="shared" si="5"/>
        <v>1</v>
      </c>
      <c r="Y21" s="1752" t="b">
        <f t="shared" si="6"/>
        <v>1</v>
      </c>
      <c r="Z21" s="1752">
        <f t="shared" si="7"/>
        <v>0</v>
      </c>
      <c r="AA21" s="1753" t="b">
        <f t="shared" si="8"/>
        <v>1</v>
      </c>
      <c r="AB21" s="1753" t="b">
        <f t="shared" si="9"/>
        <v>1</v>
      </c>
      <c r="AC21" s="1753" t="b">
        <f t="shared" si="10"/>
        <v>1</v>
      </c>
      <c r="AD21" s="1753" t="b">
        <f t="shared" si="11"/>
        <v>1</v>
      </c>
      <c r="AE21" s="1754" t="b">
        <f t="shared" si="12"/>
        <v>1</v>
      </c>
      <c r="AF21" s="1754" t="b">
        <f t="shared" si="13"/>
        <v>1</v>
      </c>
    </row>
    <row r="22" spans="2:32" s="1763" customFormat="1" ht="15" customHeight="1" x14ac:dyDescent="0.2">
      <c r="B22" s="1790"/>
      <c r="C22" s="1787"/>
      <c r="D22" s="1788"/>
      <c r="E22" s="1787"/>
      <c r="F22" s="1788"/>
      <c r="G22" s="1787"/>
      <c r="H22" s="1789"/>
      <c r="I22" s="1774"/>
      <c r="J22" s="1790"/>
      <c r="K22" s="1791"/>
      <c r="L22" s="1788"/>
      <c r="M22" s="1787"/>
      <c r="N22" s="1788"/>
      <c r="O22" s="1774"/>
      <c r="P22" s="1789"/>
      <c r="Q22" s="1792"/>
      <c r="R22" s="1889"/>
      <c r="S22" s="1752" t="b">
        <f t="shared" si="0"/>
        <v>1</v>
      </c>
      <c r="T22" s="1752">
        <f t="shared" si="1"/>
        <v>0</v>
      </c>
      <c r="U22" s="1753" t="b">
        <f t="shared" si="2"/>
        <v>1</v>
      </c>
      <c r="V22" s="1753" t="b">
        <f t="shared" si="3"/>
        <v>1</v>
      </c>
      <c r="W22" s="1753" t="b">
        <f t="shared" si="4"/>
        <v>1</v>
      </c>
      <c r="X22" s="1753" t="b">
        <f t="shared" si="5"/>
        <v>1</v>
      </c>
      <c r="Y22" s="1752" t="b">
        <f t="shared" si="6"/>
        <v>1</v>
      </c>
      <c r="Z22" s="1752">
        <f t="shared" si="7"/>
        <v>0</v>
      </c>
      <c r="AA22" s="1753" t="b">
        <f t="shared" si="8"/>
        <v>1</v>
      </c>
      <c r="AB22" s="1753" t="b">
        <f t="shared" si="9"/>
        <v>1</v>
      </c>
      <c r="AC22" s="1753" t="b">
        <f t="shared" si="10"/>
        <v>1</v>
      </c>
      <c r="AD22" s="1753" t="b">
        <f t="shared" si="11"/>
        <v>1</v>
      </c>
      <c r="AE22" s="1754" t="b">
        <f t="shared" si="12"/>
        <v>1</v>
      </c>
      <c r="AF22" s="1754" t="b">
        <f t="shared" si="13"/>
        <v>1</v>
      </c>
    </row>
    <row r="23" spans="2:32" s="1763" customFormat="1" ht="15" customHeight="1" x14ac:dyDescent="0.2">
      <c r="B23" s="1790"/>
      <c r="C23" s="1787"/>
      <c r="D23" s="1788"/>
      <c r="E23" s="1787"/>
      <c r="F23" s="1788"/>
      <c r="G23" s="1787"/>
      <c r="H23" s="1789"/>
      <c r="I23" s="1774"/>
      <c r="J23" s="1790"/>
      <c r="K23" s="1791"/>
      <c r="L23" s="1788"/>
      <c r="M23" s="1787"/>
      <c r="N23" s="1788"/>
      <c r="O23" s="1774"/>
      <c r="P23" s="1789"/>
      <c r="Q23" s="1792"/>
      <c r="R23" s="1889"/>
      <c r="S23" s="1752" t="b">
        <f t="shared" si="0"/>
        <v>1</v>
      </c>
      <c r="T23" s="1752">
        <f t="shared" si="1"/>
        <v>0</v>
      </c>
      <c r="U23" s="1753" t="b">
        <f t="shared" si="2"/>
        <v>1</v>
      </c>
      <c r="V23" s="1753" t="b">
        <f t="shared" si="3"/>
        <v>1</v>
      </c>
      <c r="W23" s="1753" t="b">
        <f t="shared" si="4"/>
        <v>1</v>
      </c>
      <c r="X23" s="1753" t="b">
        <f t="shared" si="5"/>
        <v>1</v>
      </c>
      <c r="Y23" s="1752" t="b">
        <f t="shared" si="6"/>
        <v>1</v>
      </c>
      <c r="Z23" s="1752">
        <f t="shared" si="7"/>
        <v>0</v>
      </c>
      <c r="AA23" s="1753" t="b">
        <f t="shared" si="8"/>
        <v>1</v>
      </c>
      <c r="AB23" s="1753" t="b">
        <f t="shared" si="9"/>
        <v>1</v>
      </c>
      <c r="AC23" s="1753" t="b">
        <f t="shared" si="10"/>
        <v>1</v>
      </c>
      <c r="AD23" s="1753" t="b">
        <f t="shared" si="11"/>
        <v>1</v>
      </c>
      <c r="AE23" s="1754" t="b">
        <f t="shared" si="12"/>
        <v>1</v>
      </c>
      <c r="AF23" s="1754" t="b">
        <f t="shared" si="13"/>
        <v>1</v>
      </c>
    </row>
    <row r="24" spans="2:32" s="1763" customFormat="1" ht="15" customHeight="1" x14ac:dyDescent="0.2">
      <c r="B24" s="1790"/>
      <c r="C24" s="1787"/>
      <c r="D24" s="1788"/>
      <c r="E24" s="1787"/>
      <c r="F24" s="1788"/>
      <c r="G24" s="1787"/>
      <c r="H24" s="1789"/>
      <c r="I24" s="1774"/>
      <c r="J24" s="1790"/>
      <c r="K24" s="1791"/>
      <c r="L24" s="1788"/>
      <c r="M24" s="1787"/>
      <c r="N24" s="1788"/>
      <c r="O24" s="1774"/>
      <c r="P24" s="1789"/>
      <c r="Q24" s="1792"/>
      <c r="R24" s="1889"/>
      <c r="S24" s="1752" t="b">
        <f t="shared" si="0"/>
        <v>1</v>
      </c>
      <c r="T24" s="1752">
        <f t="shared" si="1"/>
        <v>0</v>
      </c>
      <c r="U24" s="1753" t="b">
        <f t="shared" si="2"/>
        <v>1</v>
      </c>
      <c r="V24" s="1753" t="b">
        <f t="shared" si="3"/>
        <v>1</v>
      </c>
      <c r="W24" s="1753" t="b">
        <f t="shared" si="4"/>
        <v>1</v>
      </c>
      <c r="X24" s="1753" t="b">
        <f t="shared" si="5"/>
        <v>1</v>
      </c>
      <c r="Y24" s="1752" t="b">
        <f t="shared" si="6"/>
        <v>1</v>
      </c>
      <c r="Z24" s="1752">
        <f t="shared" si="7"/>
        <v>0</v>
      </c>
      <c r="AA24" s="1753" t="b">
        <f t="shared" si="8"/>
        <v>1</v>
      </c>
      <c r="AB24" s="1753" t="b">
        <f t="shared" si="9"/>
        <v>1</v>
      </c>
      <c r="AC24" s="1753" t="b">
        <f t="shared" si="10"/>
        <v>1</v>
      </c>
      <c r="AD24" s="1753" t="b">
        <f t="shared" si="11"/>
        <v>1</v>
      </c>
      <c r="AE24" s="1754" t="b">
        <f t="shared" si="12"/>
        <v>1</v>
      </c>
      <c r="AF24" s="1754" t="b">
        <f t="shared" si="13"/>
        <v>1</v>
      </c>
    </row>
    <row r="25" spans="2:32" s="1763" customFormat="1" ht="15" customHeight="1" x14ac:dyDescent="0.2">
      <c r="B25" s="1790"/>
      <c r="C25" s="1787"/>
      <c r="D25" s="1788"/>
      <c r="E25" s="1787"/>
      <c r="F25" s="1788"/>
      <c r="G25" s="1787"/>
      <c r="H25" s="1789"/>
      <c r="I25" s="1774"/>
      <c r="J25" s="1790"/>
      <c r="K25" s="1791"/>
      <c r="L25" s="1788"/>
      <c r="M25" s="1787"/>
      <c r="N25" s="1788"/>
      <c r="O25" s="1774"/>
      <c r="P25" s="1789"/>
      <c r="Q25" s="1792"/>
      <c r="R25" s="1889"/>
      <c r="S25" s="1752" t="b">
        <f t="shared" si="0"/>
        <v>1</v>
      </c>
      <c r="T25" s="1752">
        <f t="shared" si="1"/>
        <v>0</v>
      </c>
      <c r="U25" s="1753" t="b">
        <f t="shared" si="2"/>
        <v>1</v>
      </c>
      <c r="V25" s="1753" t="b">
        <f t="shared" si="3"/>
        <v>1</v>
      </c>
      <c r="W25" s="1753" t="b">
        <f t="shared" si="4"/>
        <v>1</v>
      </c>
      <c r="X25" s="1753" t="b">
        <f t="shared" si="5"/>
        <v>1</v>
      </c>
      <c r="Y25" s="1752" t="b">
        <f t="shared" si="6"/>
        <v>1</v>
      </c>
      <c r="Z25" s="1752">
        <f t="shared" si="7"/>
        <v>0</v>
      </c>
      <c r="AA25" s="1753" t="b">
        <f t="shared" si="8"/>
        <v>1</v>
      </c>
      <c r="AB25" s="1753" t="b">
        <f t="shared" si="9"/>
        <v>1</v>
      </c>
      <c r="AC25" s="1753" t="b">
        <f t="shared" si="10"/>
        <v>1</v>
      </c>
      <c r="AD25" s="1753" t="b">
        <f t="shared" si="11"/>
        <v>1</v>
      </c>
      <c r="AE25" s="1754" t="b">
        <f t="shared" si="12"/>
        <v>1</v>
      </c>
      <c r="AF25" s="1754" t="b">
        <f t="shared" si="13"/>
        <v>1</v>
      </c>
    </row>
    <row r="26" spans="2:32" s="1763" customFormat="1" ht="15" customHeight="1" x14ac:dyDescent="0.2">
      <c r="B26" s="1790"/>
      <c r="C26" s="1787"/>
      <c r="D26" s="1788"/>
      <c r="E26" s="1787"/>
      <c r="F26" s="1788"/>
      <c r="G26" s="1787"/>
      <c r="H26" s="1789"/>
      <c r="I26" s="1774"/>
      <c r="J26" s="1790"/>
      <c r="K26" s="1791"/>
      <c r="L26" s="1788"/>
      <c r="M26" s="1787"/>
      <c r="N26" s="1788"/>
      <c r="O26" s="1774"/>
      <c r="P26" s="1789"/>
      <c r="Q26" s="1792"/>
      <c r="R26" s="1889"/>
      <c r="S26" s="1752" t="b">
        <f t="shared" si="0"/>
        <v>1</v>
      </c>
      <c r="T26" s="1752">
        <f t="shared" si="1"/>
        <v>0</v>
      </c>
      <c r="U26" s="1753" t="b">
        <f t="shared" si="2"/>
        <v>1</v>
      </c>
      <c r="V26" s="1753" t="b">
        <f t="shared" si="3"/>
        <v>1</v>
      </c>
      <c r="W26" s="1753" t="b">
        <f t="shared" si="4"/>
        <v>1</v>
      </c>
      <c r="X26" s="1753" t="b">
        <f t="shared" si="5"/>
        <v>1</v>
      </c>
      <c r="Y26" s="1752" t="b">
        <f t="shared" si="6"/>
        <v>1</v>
      </c>
      <c r="Z26" s="1752">
        <f t="shared" si="7"/>
        <v>0</v>
      </c>
      <c r="AA26" s="1753" t="b">
        <f t="shared" si="8"/>
        <v>1</v>
      </c>
      <c r="AB26" s="1753" t="b">
        <f t="shared" si="9"/>
        <v>1</v>
      </c>
      <c r="AC26" s="1753" t="b">
        <f t="shared" si="10"/>
        <v>1</v>
      </c>
      <c r="AD26" s="1753" t="b">
        <f t="shared" si="11"/>
        <v>1</v>
      </c>
      <c r="AE26" s="1754" t="b">
        <f t="shared" si="12"/>
        <v>1</v>
      </c>
      <c r="AF26" s="1754" t="b">
        <f t="shared" si="13"/>
        <v>1</v>
      </c>
    </row>
    <row r="27" spans="2:32" s="1763" customFormat="1" ht="15" customHeight="1" x14ac:dyDescent="0.2">
      <c r="B27" s="1790"/>
      <c r="C27" s="1787"/>
      <c r="D27" s="1788"/>
      <c r="E27" s="1787"/>
      <c r="F27" s="1788"/>
      <c r="G27" s="1787"/>
      <c r="H27" s="1789"/>
      <c r="I27" s="1774"/>
      <c r="J27" s="1790"/>
      <c r="K27" s="1791"/>
      <c r="L27" s="1788"/>
      <c r="M27" s="1787"/>
      <c r="N27" s="1788"/>
      <c r="O27" s="1774"/>
      <c r="P27" s="1789"/>
      <c r="Q27" s="1792"/>
      <c r="R27" s="1889"/>
      <c r="S27" s="1752" t="b">
        <f t="shared" si="0"/>
        <v>1</v>
      </c>
      <c r="T27" s="1752">
        <f t="shared" si="1"/>
        <v>0</v>
      </c>
      <c r="U27" s="1753" t="b">
        <f t="shared" si="2"/>
        <v>1</v>
      </c>
      <c r="V27" s="1753" t="b">
        <f t="shared" si="3"/>
        <v>1</v>
      </c>
      <c r="W27" s="1753" t="b">
        <f t="shared" si="4"/>
        <v>1</v>
      </c>
      <c r="X27" s="1753" t="b">
        <f t="shared" si="5"/>
        <v>1</v>
      </c>
      <c r="Y27" s="1752" t="b">
        <f t="shared" si="6"/>
        <v>1</v>
      </c>
      <c r="Z27" s="1752">
        <f t="shared" si="7"/>
        <v>0</v>
      </c>
      <c r="AA27" s="1753" t="b">
        <f t="shared" si="8"/>
        <v>1</v>
      </c>
      <c r="AB27" s="1753" t="b">
        <f t="shared" si="9"/>
        <v>1</v>
      </c>
      <c r="AC27" s="1753" t="b">
        <f t="shared" si="10"/>
        <v>1</v>
      </c>
      <c r="AD27" s="1753" t="b">
        <f t="shared" si="11"/>
        <v>1</v>
      </c>
      <c r="AE27" s="1754" t="b">
        <f t="shared" si="12"/>
        <v>1</v>
      </c>
      <c r="AF27" s="1754" t="b">
        <f t="shared" si="13"/>
        <v>1</v>
      </c>
    </row>
    <row r="28" spans="2:32" s="1763" customFormat="1" ht="15" customHeight="1" x14ac:dyDescent="0.2">
      <c r="B28" s="1790"/>
      <c r="C28" s="1787"/>
      <c r="D28" s="1788"/>
      <c r="E28" s="1787"/>
      <c r="F28" s="1788"/>
      <c r="G28" s="1787"/>
      <c r="H28" s="1789"/>
      <c r="I28" s="1774"/>
      <c r="J28" s="1790"/>
      <c r="K28" s="1791"/>
      <c r="L28" s="1788"/>
      <c r="M28" s="1787"/>
      <c r="N28" s="1788"/>
      <c r="O28" s="1774"/>
      <c r="P28" s="1789"/>
      <c r="Q28" s="1792"/>
      <c r="R28" s="1889"/>
      <c r="S28" s="1752" t="b">
        <f t="shared" si="0"/>
        <v>1</v>
      </c>
      <c r="T28" s="1752">
        <f t="shared" si="1"/>
        <v>0</v>
      </c>
      <c r="U28" s="1753" t="b">
        <f t="shared" si="2"/>
        <v>1</v>
      </c>
      <c r="V28" s="1753" t="b">
        <f t="shared" si="3"/>
        <v>1</v>
      </c>
      <c r="W28" s="1753" t="b">
        <f t="shared" si="4"/>
        <v>1</v>
      </c>
      <c r="X28" s="1753" t="b">
        <f t="shared" si="5"/>
        <v>1</v>
      </c>
      <c r="Y28" s="1752" t="b">
        <f t="shared" si="6"/>
        <v>1</v>
      </c>
      <c r="Z28" s="1752">
        <f t="shared" si="7"/>
        <v>0</v>
      </c>
      <c r="AA28" s="1753" t="b">
        <f t="shared" si="8"/>
        <v>1</v>
      </c>
      <c r="AB28" s="1753" t="b">
        <f t="shared" si="9"/>
        <v>1</v>
      </c>
      <c r="AC28" s="1753" t="b">
        <f t="shared" si="10"/>
        <v>1</v>
      </c>
      <c r="AD28" s="1753" t="b">
        <f t="shared" si="11"/>
        <v>1</v>
      </c>
      <c r="AE28" s="1754" t="b">
        <f t="shared" si="12"/>
        <v>1</v>
      </c>
      <c r="AF28" s="1754" t="b">
        <f t="shared" si="13"/>
        <v>1</v>
      </c>
    </row>
    <row r="29" spans="2:32" s="1763" customFormat="1" ht="15" customHeight="1" x14ac:dyDescent="0.2">
      <c r="B29" s="1774"/>
      <c r="C29" s="1774"/>
      <c r="D29" s="1774"/>
      <c r="E29" s="1774"/>
      <c r="F29" s="1782"/>
      <c r="G29" s="1782"/>
      <c r="H29" s="1793"/>
      <c r="I29" s="1774"/>
      <c r="J29" s="1774"/>
      <c r="K29" s="1774"/>
      <c r="L29" s="1774"/>
      <c r="M29" s="1774"/>
      <c r="N29" s="1782"/>
      <c r="O29" s="1782"/>
      <c r="P29" s="1793"/>
      <c r="Q29" s="1793"/>
      <c r="R29" s="1794"/>
      <c r="S29" s="1752">
        <f>COUNTIF(S14:S28,FALSE)</f>
        <v>0</v>
      </c>
      <c r="T29" s="1795"/>
      <c r="U29" s="1795"/>
      <c r="V29" s="1795"/>
      <c r="W29" s="1759"/>
      <c r="X29" s="1759"/>
      <c r="Y29" s="1752">
        <f>COUNTIF(Y14:Y28,FALSE)</f>
        <v>0</v>
      </c>
      <c r="Z29" s="1759"/>
      <c r="AA29" s="1759"/>
      <c r="AB29" s="1759"/>
      <c r="AC29" s="1759"/>
      <c r="AD29" s="1759"/>
      <c r="AE29" s="1759">
        <f>COUNTIF(AE14:AE28,FALSE)</f>
        <v>0</v>
      </c>
      <c r="AF29" s="1759">
        <f>COUNTIF(AF14:AF28,FALSE)</f>
        <v>0</v>
      </c>
    </row>
    <row r="30" spans="2:32" s="1796" customFormat="1" ht="21.75" customHeight="1" x14ac:dyDescent="0.2">
      <c r="F30" s="2777"/>
      <c r="G30" s="2777"/>
      <c r="H30" s="2777"/>
      <c r="M30" s="2778"/>
      <c r="N30" s="2778"/>
      <c r="O30" s="1797"/>
      <c r="P30" s="1798"/>
      <c r="Q30" s="1798"/>
      <c r="R30" s="1759"/>
    </row>
    <row r="31" spans="2:32" ht="20.85" customHeight="1" x14ac:dyDescent="0.25"/>
    <row r="32" spans="2:32" ht="20.85" customHeight="1" x14ac:dyDescent="0.25"/>
    <row r="33" spans="1:30" ht="20.85" customHeight="1" x14ac:dyDescent="0.25">
      <c r="A33" s="794" t="str">
        <f ca="1">MID(CELL("filename",A3),FIND("]",CELL("filename",A3))+1,256)</f>
        <v>560</v>
      </c>
      <c r="B33" s="1799"/>
    </row>
    <row r="34" spans="1:30" ht="20.85" customHeight="1" x14ac:dyDescent="0.25">
      <c r="A34" s="794" t="s">
        <v>446</v>
      </c>
      <c r="B34" s="1161"/>
    </row>
    <row r="35" spans="1:30" ht="20.85" customHeight="1" x14ac:dyDescent="0.25">
      <c r="A35" s="794" t="s">
        <v>447</v>
      </c>
      <c r="B35" s="794" t="s">
        <v>4119</v>
      </c>
    </row>
    <row r="36" spans="1:30" ht="20.85" customHeight="1" x14ac:dyDescent="0.25">
      <c r="A36" s="794" t="s">
        <v>448</v>
      </c>
      <c r="B36" s="794" t="s">
        <v>4119</v>
      </c>
    </row>
    <row r="37" spans="1:30" ht="20.85" customHeight="1" x14ac:dyDescent="0.25">
      <c r="A37" s="794" t="s">
        <v>450</v>
      </c>
      <c r="B37" s="794" t="s">
        <v>4119</v>
      </c>
      <c r="F37" s="1768" t="s">
        <v>973</v>
      </c>
      <c r="N37" s="1768" t="s">
        <v>973</v>
      </c>
      <c r="R37" s="1768" t="s">
        <v>973</v>
      </c>
    </row>
    <row r="38" spans="1:30" ht="20.85" customHeight="1" x14ac:dyDescent="0.25">
      <c r="A38" s="794" t="s">
        <v>451</v>
      </c>
      <c r="B38" s="794" t="s">
        <v>4119</v>
      </c>
    </row>
    <row r="39" spans="1:30" ht="20.85" customHeight="1" x14ac:dyDescent="0.25">
      <c r="A39" s="794" t="s">
        <v>452</v>
      </c>
      <c r="B39" s="794" t="s">
        <v>4119</v>
      </c>
    </row>
    <row r="40" spans="1:30" ht="20.85" customHeight="1" x14ac:dyDescent="0.25">
      <c r="A40" s="794" t="s">
        <v>453</v>
      </c>
      <c r="B40" s="794" t="s">
        <v>4119</v>
      </c>
    </row>
    <row r="41" spans="1:30" ht="20.85" customHeight="1" x14ac:dyDescent="0.25">
      <c r="A41" s="794" t="s">
        <v>454</v>
      </c>
      <c r="B41" s="794" t="s">
        <v>4119</v>
      </c>
    </row>
    <row r="42" spans="1:30" ht="20.85" customHeight="1" x14ac:dyDescent="0.25">
      <c r="A42" s="794" t="s">
        <v>455</v>
      </c>
      <c r="B42" s="794" t="s">
        <v>4119</v>
      </c>
    </row>
    <row r="43" spans="1:30" ht="20.85" customHeight="1" x14ac:dyDescent="0.25">
      <c r="A43" s="794" t="s">
        <v>456</v>
      </c>
      <c r="B43" s="794" t="s">
        <v>4119</v>
      </c>
    </row>
    <row r="44" spans="1:30" ht="20.85" customHeight="1" x14ac:dyDescent="0.25">
      <c r="F44" s="1768" t="s">
        <v>973</v>
      </c>
    </row>
    <row r="45" spans="1:30" ht="20.85" customHeight="1" x14ac:dyDescent="0.25"/>
    <row r="46" spans="1:30" ht="20.85" customHeight="1" x14ac:dyDescent="0.25"/>
    <row r="47" spans="1:30" ht="20.85" customHeight="1" x14ac:dyDescent="0.25">
      <c r="F47" s="1800" t="s">
        <v>973</v>
      </c>
      <c r="G47" s="1800"/>
      <c r="M47" s="1800"/>
      <c r="N47" s="1801" t="s">
        <v>973</v>
      </c>
      <c r="O47" s="1801"/>
      <c r="R47" s="1800" t="s">
        <v>973</v>
      </c>
      <c r="S47" s="1800"/>
      <c r="T47" s="1800"/>
      <c r="U47" s="1800"/>
      <c r="V47" s="1800"/>
      <c r="W47" s="1800"/>
      <c r="X47" s="1800"/>
      <c r="Y47" s="1800"/>
      <c r="Z47" s="1800"/>
      <c r="AA47" s="1800"/>
      <c r="AB47" s="1800"/>
      <c r="AC47" s="1800"/>
      <c r="AD47" s="1800"/>
    </row>
  </sheetData>
  <sheetProtection algorithmName="SHA-512" hashValue="MtOmG/lWR1T7sjwadRcs0x8ggyIj+Tvjn2vcUvTWT01nFNvoyXG0AuJn7+ZGTM57FuGcL32EHkioin8+a+eRmw==" saltValue="TyD7eTUYKJ5yctZHDxwW7g==" spinCount="100000" sheet="1" objects="1" scenarios="1" autoFilter="0"/>
  <dataConsolidate link="1"/>
  <mergeCells count="13">
    <mergeCell ref="F30:H30"/>
    <mergeCell ref="M30:N30"/>
    <mergeCell ref="B1:R1"/>
    <mergeCell ref="AK1:AK3"/>
    <mergeCell ref="B2:R2"/>
    <mergeCell ref="B3:R3"/>
    <mergeCell ref="E5:J5"/>
    <mergeCell ref="O5:V5"/>
    <mergeCell ref="E6:J6"/>
    <mergeCell ref="O6:R6"/>
    <mergeCell ref="E7:J7"/>
    <mergeCell ref="B10:H10"/>
    <mergeCell ref="J10:P10"/>
  </mergeCells>
  <conditionalFormatting sqref="S1:AD4">
    <cfRule type="cellIs" dxfId="53" priority="3" stopIfTrue="1" operator="equal">
      <formula>"na"</formula>
    </cfRule>
  </conditionalFormatting>
  <conditionalFormatting sqref="AK1:AK3">
    <cfRule type="cellIs" dxfId="52" priority="1" stopIfTrue="1" operator="equal">
      <formula>"na"</formula>
    </cfRule>
  </conditionalFormatting>
  <dataValidations count="2">
    <dataValidation type="textLength" operator="equal" allowBlank="1" showInputMessage="1" showErrorMessage="1" errorTitle="Invalid data!" error="GASB number must be 4 digits." sqref="D14:D28 JA14:JA28 SW14:SW28 ACS14:ACS28 AMO14:AMO28 AWK14:AWK28 BGG14:BGG28 BQC14:BQC28 BZY14:BZY28 CJU14:CJU28 CTQ14:CTQ28 DDM14:DDM28 DNI14:DNI28 DXE14:DXE28 EHA14:EHA28 EQW14:EQW28 FAS14:FAS28 FKO14:FKO28 FUK14:FUK28 GEG14:GEG28 GOC14:GOC28 GXY14:GXY28 HHU14:HHU28 HRQ14:HRQ28 IBM14:IBM28 ILI14:ILI28 IVE14:IVE28 JFA14:JFA28 JOW14:JOW28 JYS14:JYS28 KIO14:KIO28 KSK14:KSK28 LCG14:LCG28 LMC14:LMC28 LVY14:LVY28 MFU14:MFU28 MPQ14:MPQ28 MZM14:MZM28 NJI14:NJI28 NTE14:NTE28 ODA14:ODA28 OMW14:OMW28 OWS14:OWS28 PGO14:PGO28 PQK14:PQK28 QAG14:QAG28 QKC14:QKC28 QTY14:QTY28 RDU14:RDU28 RNQ14:RNQ28 RXM14:RXM28 SHI14:SHI28 SRE14:SRE28 TBA14:TBA28 TKW14:TKW28 TUS14:TUS28 UEO14:UEO28 UOK14:UOK28 UYG14:UYG28 VIC14:VIC28 VRY14:VRY28 WBU14:WBU28 WLQ14:WLQ28 WVM14:WVM28 D65545:D65559 JA65545:JA65559 SW65545:SW65559 ACS65545:ACS65559 AMO65545:AMO65559 AWK65545:AWK65559 BGG65545:BGG65559 BQC65545:BQC65559 BZY65545:BZY65559 CJU65545:CJU65559 CTQ65545:CTQ65559 DDM65545:DDM65559 DNI65545:DNI65559 DXE65545:DXE65559 EHA65545:EHA65559 EQW65545:EQW65559 FAS65545:FAS65559 FKO65545:FKO65559 FUK65545:FUK65559 GEG65545:GEG65559 GOC65545:GOC65559 GXY65545:GXY65559 HHU65545:HHU65559 HRQ65545:HRQ65559 IBM65545:IBM65559 ILI65545:ILI65559 IVE65545:IVE65559 JFA65545:JFA65559 JOW65545:JOW65559 JYS65545:JYS65559 KIO65545:KIO65559 KSK65545:KSK65559 LCG65545:LCG65559 LMC65545:LMC65559 LVY65545:LVY65559 MFU65545:MFU65559 MPQ65545:MPQ65559 MZM65545:MZM65559 NJI65545:NJI65559 NTE65545:NTE65559 ODA65545:ODA65559 OMW65545:OMW65559 OWS65545:OWS65559 PGO65545:PGO65559 PQK65545:PQK65559 QAG65545:QAG65559 QKC65545:QKC65559 QTY65545:QTY65559 RDU65545:RDU65559 RNQ65545:RNQ65559 RXM65545:RXM65559 SHI65545:SHI65559 SRE65545:SRE65559 TBA65545:TBA65559 TKW65545:TKW65559 TUS65545:TUS65559 UEO65545:UEO65559 UOK65545:UOK65559 UYG65545:UYG65559 VIC65545:VIC65559 VRY65545:VRY65559 WBU65545:WBU65559 WLQ65545:WLQ65559 WVM65545:WVM65559 D131081:D131095 JA131081:JA131095 SW131081:SW131095 ACS131081:ACS131095 AMO131081:AMO131095 AWK131081:AWK131095 BGG131081:BGG131095 BQC131081:BQC131095 BZY131081:BZY131095 CJU131081:CJU131095 CTQ131081:CTQ131095 DDM131081:DDM131095 DNI131081:DNI131095 DXE131081:DXE131095 EHA131081:EHA131095 EQW131081:EQW131095 FAS131081:FAS131095 FKO131081:FKO131095 FUK131081:FUK131095 GEG131081:GEG131095 GOC131081:GOC131095 GXY131081:GXY131095 HHU131081:HHU131095 HRQ131081:HRQ131095 IBM131081:IBM131095 ILI131081:ILI131095 IVE131081:IVE131095 JFA131081:JFA131095 JOW131081:JOW131095 JYS131081:JYS131095 KIO131081:KIO131095 KSK131081:KSK131095 LCG131081:LCG131095 LMC131081:LMC131095 LVY131081:LVY131095 MFU131081:MFU131095 MPQ131081:MPQ131095 MZM131081:MZM131095 NJI131081:NJI131095 NTE131081:NTE131095 ODA131081:ODA131095 OMW131081:OMW131095 OWS131081:OWS131095 PGO131081:PGO131095 PQK131081:PQK131095 QAG131081:QAG131095 QKC131081:QKC131095 QTY131081:QTY131095 RDU131081:RDU131095 RNQ131081:RNQ131095 RXM131081:RXM131095 SHI131081:SHI131095 SRE131081:SRE131095 TBA131081:TBA131095 TKW131081:TKW131095 TUS131081:TUS131095 UEO131081:UEO131095 UOK131081:UOK131095 UYG131081:UYG131095 VIC131081:VIC131095 VRY131081:VRY131095 WBU131081:WBU131095 WLQ131081:WLQ131095 WVM131081:WVM131095 D196617:D196631 JA196617:JA196631 SW196617:SW196631 ACS196617:ACS196631 AMO196617:AMO196631 AWK196617:AWK196631 BGG196617:BGG196631 BQC196617:BQC196631 BZY196617:BZY196631 CJU196617:CJU196631 CTQ196617:CTQ196631 DDM196617:DDM196631 DNI196617:DNI196631 DXE196617:DXE196631 EHA196617:EHA196631 EQW196617:EQW196631 FAS196617:FAS196631 FKO196617:FKO196631 FUK196617:FUK196631 GEG196617:GEG196631 GOC196617:GOC196631 GXY196617:GXY196631 HHU196617:HHU196631 HRQ196617:HRQ196631 IBM196617:IBM196631 ILI196617:ILI196631 IVE196617:IVE196631 JFA196617:JFA196631 JOW196617:JOW196631 JYS196617:JYS196631 KIO196617:KIO196631 KSK196617:KSK196631 LCG196617:LCG196631 LMC196617:LMC196631 LVY196617:LVY196631 MFU196617:MFU196631 MPQ196617:MPQ196631 MZM196617:MZM196631 NJI196617:NJI196631 NTE196617:NTE196631 ODA196617:ODA196631 OMW196617:OMW196631 OWS196617:OWS196631 PGO196617:PGO196631 PQK196617:PQK196631 QAG196617:QAG196631 QKC196617:QKC196631 QTY196617:QTY196631 RDU196617:RDU196631 RNQ196617:RNQ196631 RXM196617:RXM196631 SHI196617:SHI196631 SRE196617:SRE196631 TBA196617:TBA196631 TKW196617:TKW196631 TUS196617:TUS196631 UEO196617:UEO196631 UOK196617:UOK196631 UYG196617:UYG196631 VIC196617:VIC196631 VRY196617:VRY196631 WBU196617:WBU196631 WLQ196617:WLQ196631 WVM196617:WVM196631 D262153:D262167 JA262153:JA262167 SW262153:SW262167 ACS262153:ACS262167 AMO262153:AMO262167 AWK262153:AWK262167 BGG262153:BGG262167 BQC262153:BQC262167 BZY262153:BZY262167 CJU262153:CJU262167 CTQ262153:CTQ262167 DDM262153:DDM262167 DNI262153:DNI262167 DXE262153:DXE262167 EHA262153:EHA262167 EQW262153:EQW262167 FAS262153:FAS262167 FKO262153:FKO262167 FUK262153:FUK262167 GEG262153:GEG262167 GOC262153:GOC262167 GXY262153:GXY262167 HHU262153:HHU262167 HRQ262153:HRQ262167 IBM262153:IBM262167 ILI262153:ILI262167 IVE262153:IVE262167 JFA262153:JFA262167 JOW262153:JOW262167 JYS262153:JYS262167 KIO262153:KIO262167 KSK262153:KSK262167 LCG262153:LCG262167 LMC262153:LMC262167 LVY262153:LVY262167 MFU262153:MFU262167 MPQ262153:MPQ262167 MZM262153:MZM262167 NJI262153:NJI262167 NTE262153:NTE262167 ODA262153:ODA262167 OMW262153:OMW262167 OWS262153:OWS262167 PGO262153:PGO262167 PQK262153:PQK262167 QAG262153:QAG262167 QKC262153:QKC262167 QTY262153:QTY262167 RDU262153:RDU262167 RNQ262153:RNQ262167 RXM262153:RXM262167 SHI262153:SHI262167 SRE262153:SRE262167 TBA262153:TBA262167 TKW262153:TKW262167 TUS262153:TUS262167 UEO262153:UEO262167 UOK262153:UOK262167 UYG262153:UYG262167 VIC262153:VIC262167 VRY262153:VRY262167 WBU262153:WBU262167 WLQ262153:WLQ262167 WVM262153:WVM262167 D327689:D327703 JA327689:JA327703 SW327689:SW327703 ACS327689:ACS327703 AMO327689:AMO327703 AWK327689:AWK327703 BGG327689:BGG327703 BQC327689:BQC327703 BZY327689:BZY327703 CJU327689:CJU327703 CTQ327689:CTQ327703 DDM327689:DDM327703 DNI327689:DNI327703 DXE327689:DXE327703 EHA327689:EHA327703 EQW327689:EQW327703 FAS327689:FAS327703 FKO327689:FKO327703 FUK327689:FUK327703 GEG327689:GEG327703 GOC327689:GOC327703 GXY327689:GXY327703 HHU327689:HHU327703 HRQ327689:HRQ327703 IBM327689:IBM327703 ILI327689:ILI327703 IVE327689:IVE327703 JFA327689:JFA327703 JOW327689:JOW327703 JYS327689:JYS327703 KIO327689:KIO327703 KSK327689:KSK327703 LCG327689:LCG327703 LMC327689:LMC327703 LVY327689:LVY327703 MFU327689:MFU327703 MPQ327689:MPQ327703 MZM327689:MZM327703 NJI327689:NJI327703 NTE327689:NTE327703 ODA327689:ODA327703 OMW327689:OMW327703 OWS327689:OWS327703 PGO327689:PGO327703 PQK327689:PQK327703 QAG327689:QAG327703 QKC327689:QKC327703 QTY327689:QTY327703 RDU327689:RDU327703 RNQ327689:RNQ327703 RXM327689:RXM327703 SHI327689:SHI327703 SRE327689:SRE327703 TBA327689:TBA327703 TKW327689:TKW327703 TUS327689:TUS327703 UEO327689:UEO327703 UOK327689:UOK327703 UYG327689:UYG327703 VIC327689:VIC327703 VRY327689:VRY327703 WBU327689:WBU327703 WLQ327689:WLQ327703 WVM327689:WVM327703 D393225:D393239 JA393225:JA393239 SW393225:SW393239 ACS393225:ACS393239 AMO393225:AMO393239 AWK393225:AWK393239 BGG393225:BGG393239 BQC393225:BQC393239 BZY393225:BZY393239 CJU393225:CJU393239 CTQ393225:CTQ393239 DDM393225:DDM393239 DNI393225:DNI393239 DXE393225:DXE393239 EHA393225:EHA393239 EQW393225:EQW393239 FAS393225:FAS393239 FKO393225:FKO393239 FUK393225:FUK393239 GEG393225:GEG393239 GOC393225:GOC393239 GXY393225:GXY393239 HHU393225:HHU393239 HRQ393225:HRQ393239 IBM393225:IBM393239 ILI393225:ILI393239 IVE393225:IVE393239 JFA393225:JFA393239 JOW393225:JOW393239 JYS393225:JYS393239 KIO393225:KIO393239 KSK393225:KSK393239 LCG393225:LCG393239 LMC393225:LMC393239 LVY393225:LVY393239 MFU393225:MFU393239 MPQ393225:MPQ393239 MZM393225:MZM393239 NJI393225:NJI393239 NTE393225:NTE393239 ODA393225:ODA393239 OMW393225:OMW393239 OWS393225:OWS393239 PGO393225:PGO393239 PQK393225:PQK393239 QAG393225:QAG393239 QKC393225:QKC393239 QTY393225:QTY393239 RDU393225:RDU393239 RNQ393225:RNQ393239 RXM393225:RXM393239 SHI393225:SHI393239 SRE393225:SRE393239 TBA393225:TBA393239 TKW393225:TKW393239 TUS393225:TUS393239 UEO393225:UEO393239 UOK393225:UOK393239 UYG393225:UYG393239 VIC393225:VIC393239 VRY393225:VRY393239 WBU393225:WBU393239 WLQ393225:WLQ393239 WVM393225:WVM393239 D458761:D458775 JA458761:JA458775 SW458761:SW458775 ACS458761:ACS458775 AMO458761:AMO458775 AWK458761:AWK458775 BGG458761:BGG458775 BQC458761:BQC458775 BZY458761:BZY458775 CJU458761:CJU458775 CTQ458761:CTQ458775 DDM458761:DDM458775 DNI458761:DNI458775 DXE458761:DXE458775 EHA458761:EHA458775 EQW458761:EQW458775 FAS458761:FAS458775 FKO458761:FKO458775 FUK458761:FUK458775 GEG458761:GEG458775 GOC458761:GOC458775 GXY458761:GXY458775 HHU458761:HHU458775 HRQ458761:HRQ458775 IBM458761:IBM458775 ILI458761:ILI458775 IVE458761:IVE458775 JFA458761:JFA458775 JOW458761:JOW458775 JYS458761:JYS458775 KIO458761:KIO458775 KSK458761:KSK458775 LCG458761:LCG458775 LMC458761:LMC458775 LVY458761:LVY458775 MFU458761:MFU458775 MPQ458761:MPQ458775 MZM458761:MZM458775 NJI458761:NJI458775 NTE458761:NTE458775 ODA458761:ODA458775 OMW458761:OMW458775 OWS458761:OWS458775 PGO458761:PGO458775 PQK458761:PQK458775 QAG458761:QAG458775 QKC458761:QKC458775 QTY458761:QTY458775 RDU458761:RDU458775 RNQ458761:RNQ458775 RXM458761:RXM458775 SHI458761:SHI458775 SRE458761:SRE458775 TBA458761:TBA458775 TKW458761:TKW458775 TUS458761:TUS458775 UEO458761:UEO458775 UOK458761:UOK458775 UYG458761:UYG458775 VIC458761:VIC458775 VRY458761:VRY458775 WBU458761:WBU458775 WLQ458761:WLQ458775 WVM458761:WVM458775 D524297:D524311 JA524297:JA524311 SW524297:SW524311 ACS524297:ACS524311 AMO524297:AMO524311 AWK524297:AWK524311 BGG524297:BGG524311 BQC524297:BQC524311 BZY524297:BZY524311 CJU524297:CJU524311 CTQ524297:CTQ524311 DDM524297:DDM524311 DNI524297:DNI524311 DXE524297:DXE524311 EHA524297:EHA524311 EQW524297:EQW524311 FAS524297:FAS524311 FKO524297:FKO524311 FUK524297:FUK524311 GEG524297:GEG524311 GOC524297:GOC524311 GXY524297:GXY524311 HHU524297:HHU524311 HRQ524297:HRQ524311 IBM524297:IBM524311 ILI524297:ILI524311 IVE524297:IVE524311 JFA524297:JFA524311 JOW524297:JOW524311 JYS524297:JYS524311 KIO524297:KIO524311 KSK524297:KSK524311 LCG524297:LCG524311 LMC524297:LMC524311 LVY524297:LVY524311 MFU524297:MFU524311 MPQ524297:MPQ524311 MZM524297:MZM524311 NJI524297:NJI524311 NTE524297:NTE524311 ODA524297:ODA524311 OMW524297:OMW524311 OWS524297:OWS524311 PGO524297:PGO524311 PQK524297:PQK524311 QAG524297:QAG524311 QKC524297:QKC524311 QTY524297:QTY524311 RDU524297:RDU524311 RNQ524297:RNQ524311 RXM524297:RXM524311 SHI524297:SHI524311 SRE524297:SRE524311 TBA524297:TBA524311 TKW524297:TKW524311 TUS524297:TUS524311 UEO524297:UEO524311 UOK524297:UOK524311 UYG524297:UYG524311 VIC524297:VIC524311 VRY524297:VRY524311 WBU524297:WBU524311 WLQ524297:WLQ524311 WVM524297:WVM524311 D589833:D589847 JA589833:JA589847 SW589833:SW589847 ACS589833:ACS589847 AMO589833:AMO589847 AWK589833:AWK589847 BGG589833:BGG589847 BQC589833:BQC589847 BZY589833:BZY589847 CJU589833:CJU589847 CTQ589833:CTQ589847 DDM589833:DDM589847 DNI589833:DNI589847 DXE589833:DXE589847 EHA589833:EHA589847 EQW589833:EQW589847 FAS589833:FAS589847 FKO589833:FKO589847 FUK589833:FUK589847 GEG589833:GEG589847 GOC589833:GOC589847 GXY589833:GXY589847 HHU589833:HHU589847 HRQ589833:HRQ589847 IBM589833:IBM589847 ILI589833:ILI589847 IVE589833:IVE589847 JFA589833:JFA589847 JOW589833:JOW589847 JYS589833:JYS589847 KIO589833:KIO589847 KSK589833:KSK589847 LCG589833:LCG589847 LMC589833:LMC589847 LVY589833:LVY589847 MFU589833:MFU589847 MPQ589833:MPQ589847 MZM589833:MZM589847 NJI589833:NJI589847 NTE589833:NTE589847 ODA589833:ODA589847 OMW589833:OMW589847 OWS589833:OWS589847 PGO589833:PGO589847 PQK589833:PQK589847 QAG589833:QAG589847 QKC589833:QKC589847 QTY589833:QTY589847 RDU589833:RDU589847 RNQ589833:RNQ589847 RXM589833:RXM589847 SHI589833:SHI589847 SRE589833:SRE589847 TBA589833:TBA589847 TKW589833:TKW589847 TUS589833:TUS589847 UEO589833:UEO589847 UOK589833:UOK589847 UYG589833:UYG589847 VIC589833:VIC589847 VRY589833:VRY589847 WBU589833:WBU589847 WLQ589833:WLQ589847 WVM589833:WVM589847 D655369:D655383 JA655369:JA655383 SW655369:SW655383 ACS655369:ACS655383 AMO655369:AMO655383 AWK655369:AWK655383 BGG655369:BGG655383 BQC655369:BQC655383 BZY655369:BZY655383 CJU655369:CJU655383 CTQ655369:CTQ655383 DDM655369:DDM655383 DNI655369:DNI655383 DXE655369:DXE655383 EHA655369:EHA655383 EQW655369:EQW655383 FAS655369:FAS655383 FKO655369:FKO655383 FUK655369:FUK655383 GEG655369:GEG655383 GOC655369:GOC655383 GXY655369:GXY655383 HHU655369:HHU655383 HRQ655369:HRQ655383 IBM655369:IBM655383 ILI655369:ILI655383 IVE655369:IVE655383 JFA655369:JFA655383 JOW655369:JOW655383 JYS655369:JYS655383 KIO655369:KIO655383 KSK655369:KSK655383 LCG655369:LCG655383 LMC655369:LMC655383 LVY655369:LVY655383 MFU655369:MFU655383 MPQ655369:MPQ655383 MZM655369:MZM655383 NJI655369:NJI655383 NTE655369:NTE655383 ODA655369:ODA655383 OMW655369:OMW655383 OWS655369:OWS655383 PGO655369:PGO655383 PQK655369:PQK655383 QAG655369:QAG655383 QKC655369:QKC655383 QTY655369:QTY655383 RDU655369:RDU655383 RNQ655369:RNQ655383 RXM655369:RXM655383 SHI655369:SHI655383 SRE655369:SRE655383 TBA655369:TBA655383 TKW655369:TKW655383 TUS655369:TUS655383 UEO655369:UEO655383 UOK655369:UOK655383 UYG655369:UYG655383 VIC655369:VIC655383 VRY655369:VRY655383 WBU655369:WBU655383 WLQ655369:WLQ655383 WVM655369:WVM655383 D720905:D720919 JA720905:JA720919 SW720905:SW720919 ACS720905:ACS720919 AMO720905:AMO720919 AWK720905:AWK720919 BGG720905:BGG720919 BQC720905:BQC720919 BZY720905:BZY720919 CJU720905:CJU720919 CTQ720905:CTQ720919 DDM720905:DDM720919 DNI720905:DNI720919 DXE720905:DXE720919 EHA720905:EHA720919 EQW720905:EQW720919 FAS720905:FAS720919 FKO720905:FKO720919 FUK720905:FUK720919 GEG720905:GEG720919 GOC720905:GOC720919 GXY720905:GXY720919 HHU720905:HHU720919 HRQ720905:HRQ720919 IBM720905:IBM720919 ILI720905:ILI720919 IVE720905:IVE720919 JFA720905:JFA720919 JOW720905:JOW720919 JYS720905:JYS720919 KIO720905:KIO720919 KSK720905:KSK720919 LCG720905:LCG720919 LMC720905:LMC720919 LVY720905:LVY720919 MFU720905:MFU720919 MPQ720905:MPQ720919 MZM720905:MZM720919 NJI720905:NJI720919 NTE720905:NTE720919 ODA720905:ODA720919 OMW720905:OMW720919 OWS720905:OWS720919 PGO720905:PGO720919 PQK720905:PQK720919 QAG720905:QAG720919 QKC720905:QKC720919 QTY720905:QTY720919 RDU720905:RDU720919 RNQ720905:RNQ720919 RXM720905:RXM720919 SHI720905:SHI720919 SRE720905:SRE720919 TBA720905:TBA720919 TKW720905:TKW720919 TUS720905:TUS720919 UEO720905:UEO720919 UOK720905:UOK720919 UYG720905:UYG720919 VIC720905:VIC720919 VRY720905:VRY720919 WBU720905:WBU720919 WLQ720905:WLQ720919 WVM720905:WVM720919 D786441:D786455 JA786441:JA786455 SW786441:SW786455 ACS786441:ACS786455 AMO786441:AMO786455 AWK786441:AWK786455 BGG786441:BGG786455 BQC786441:BQC786455 BZY786441:BZY786455 CJU786441:CJU786455 CTQ786441:CTQ786455 DDM786441:DDM786455 DNI786441:DNI786455 DXE786441:DXE786455 EHA786441:EHA786455 EQW786441:EQW786455 FAS786441:FAS786455 FKO786441:FKO786455 FUK786441:FUK786455 GEG786441:GEG786455 GOC786441:GOC786455 GXY786441:GXY786455 HHU786441:HHU786455 HRQ786441:HRQ786455 IBM786441:IBM786455 ILI786441:ILI786455 IVE786441:IVE786455 JFA786441:JFA786455 JOW786441:JOW786455 JYS786441:JYS786455 KIO786441:KIO786455 KSK786441:KSK786455 LCG786441:LCG786455 LMC786441:LMC786455 LVY786441:LVY786455 MFU786441:MFU786455 MPQ786441:MPQ786455 MZM786441:MZM786455 NJI786441:NJI786455 NTE786441:NTE786455 ODA786441:ODA786455 OMW786441:OMW786455 OWS786441:OWS786455 PGO786441:PGO786455 PQK786441:PQK786455 QAG786441:QAG786455 QKC786441:QKC786455 QTY786441:QTY786455 RDU786441:RDU786455 RNQ786441:RNQ786455 RXM786441:RXM786455 SHI786441:SHI786455 SRE786441:SRE786455 TBA786441:TBA786455 TKW786441:TKW786455 TUS786441:TUS786455 UEO786441:UEO786455 UOK786441:UOK786455 UYG786441:UYG786455 VIC786441:VIC786455 VRY786441:VRY786455 WBU786441:WBU786455 WLQ786441:WLQ786455 WVM786441:WVM786455 D851977:D851991 JA851977:JA851991 SW851977:SW851991 ACS851977:ACS851991 AMO851977:AMO851991 AWK851977:AWK851991 BGG851977:BGG851991 BQC851977:BQC851991 BZY851977:BZY851991 CJU851977:CJU851991 CTQ851977:CTQ851991 DDM851977:DDM851991 DNI851977:DNI851991 DXE851977:DXE851991 EHA851977:EHA851991 EQW851977:EQW851991 FAS851977:FAS851991 FKO851977:FKO851991 FUK851977:FUK851991 GEG851977:GEG851991 GOC851977:GOC851991 GXY851977:GXY851991 HHU851977:HHU851991 HRQ851977:HRQ851991 IBM851977:IBM851991 ILI851977:ILI851991 IVE851977:IVE851991 JFA851977:JFA851991 JOW851977:JOW851991 JYS851977:JYS851991 KIO851977:KIO851991 KSK851977:KSK851991 LCG851977:LCG851991 LMC851977:LMC851991 LVY851977:LVY851991 MFU851977:MFU851991 MPQ851977:MPQ851991 MZM851977:MZM851991 NJI851977:NJI851991 NTE851977:NTE851991 ODA851977:ODA851991 OMW851977:OMW851991 OWS851977:OWS851991 PGO851977:PGO851991 PQK851977:PQK851991 QAG851977:QAG851991 QKC851977:QKC851991 QTY851977:QTY851991 RDU851977:RDU851991 RNQ851977:RNQ851991 RXM851977:RXM851991 SHI851977:SHI851991 SRE851977:SRE851991 TBA851977:TBA851991 TKW851977:TKW851991 TUS851977:TUS851991 UEO851977:UEO851991 UOK851977:UOK851991 UYG851977:UYG851991 VIC851977:VIC851991 VRY851977:VRY851991 WBU851977:WBU851991 WLQ851977:WLQ851991 WVM851977:WVM851991 D917513:D917527 JA917513:JA917527 SW917513:SW917527 ACS917513:ACS917527 AMO917513:AMO917527 AWK917513:AWK917527 BGG917513:BGG917527 BQC917513:BQC917527 BZY917513:BZY917527 CJU917513:CJU917527 CTQ917513:CTQ917527 DDM917513:DDM917527 DNI917513:DNI917527 DXE917513:DXE917527 EHA917513:EHA917527 EQW917513:EQW917527 FAS917513:FAS917527 FKO917513:FKO917527 FUK917513:FUK917527 GEG917513:GEG917527 GOC917513:GOC917527 GXY917513:GXY917527 HHU917513:HHU917527 HRQ917513:HRQ917527 IBM917513:IBM917527 ILI917513:ILI917527 IVE917513:IVE917527 JFA917513:JFA917527 JOW917513:JOW917527 JYS917513:JYS917527 KIO917513:KIO917527 KSK917513:KSK917527 LCG917513:LCG917527 LMC917513:LMC917527 LVY917513:LVY917527 MFU917513:MFU917527 MPQ917513:MPQ917527 MZM917513:MZM917527 NJI917513:NJI917527 NTE917513:NTE917527 ODA917513:ODA917527 OMW917513:OMW917527 OWS917513:OWS917527 PGO917513:PGO917527 PQK917513:PQK917527 QAG917513:QAG917527 QKC917513:QKC917527 QTY917513:QTY917527 RDU917513:RDU917527 RNQ917513:RNQ917527 RXM917513:RXM917527 SHI917513:SHI917527 SRE917513:SRE917527 TBA917513:TBA917527 TKW917513:TKW917527 TUS917513:TUS917527 UEO917513:UEO917527 UOK917513:UOK917527 UYG917513:UYG917527 VIC917513:VIC917527 VRY917513:VRY917527 WBU917513:WBU917527 WLQ917513:WLQ917527 WVM917513:WVM917527 D983049:D983063 JA983049:JA983063 SW983049:SW983063 ACS983049:ACS983063 AMO983049:AMO983063 AWK983049:AWK983063 BGG983049:BGG983063 BQC983049:BQC983063 BZY983049:BZY983063 CJU983049:CJU983063 CTQ983049:CTQ983063 DDM983049:DDM983063 DNI983049:DNI983063 DXE983049:DXE983063 EHA983049:EHA983063 EQW983049:EQW983063 FAS983049:FAS983063 FKO983049:FKO983063 FUK983049:FUK983063 GEG983049:GEG983063 GOC983049:GOC983063 GXY983049:GXY983063 HHU983049:HHU983063 HRQ983049:HRQ983063 IBM983049:IBM983063 ILI983049:ILI983063 IVE983049:IVE983063 JFA983049:JFA983063 JOW983049:JOW983063 JYS983049:JYS983063 KIO983049:KIO983063 KSK983049:KSK983063 LCG983049:LCG983063 LMC983049:LMC983063 LVY983049:LVY983063 MFU983049:MFU983063 MPQ983049:MPQ983063 MZM983049:MZM983063 NJI983049:NJI983063 NTE983049:NTE983063 ODA983049:ODA983063 OMW983049:OMW983063 OWS983049:OWS983063 PGO983049:PGO983063 PQK983049:PQK983063 QAG983049:QAG983063 QKC983049:QKC983063 QTY983049:QTY983063 RDU983049:RDU983063 RNQ983049:RNQ983063 RXM983049:RXM983063 SHI983049:SHI983063 SRE983049:SRE983063 TBA983049:TBA983063 TKW983049:TKW983063 TUS983049:TUS983063 UEO983049:UEO983063 UOK983049:UOK983063 UYG983049:UYG983063 VIC983049:VIC983063 VRY983049:VRY983063 WBU983049:WBU983063 WLQ983049:WLQ983063 WVM983049:WVM983063 K14:L28 JH14:JI28 TD14:TE28 ACZ14:ADA28 AMV14:AMW28 AWR14:AWS28 BGN14:BGO28 BQJ14:BQK28 CAF14:CAG28 CKB14:CKC28 CTX14:CTY28 DDT14:DDU28 DNP14:DNQ28 DXL14:DXM28 EHH14:EHI28 ERD14:ERE28 FAZ14:FBA28 FKV14:FKW28 FUR14:FUS28 GEN14:GEO28 GOJ14:GOK28 GYF14:GYG28 HIB14:HIC28 HRX14:HRY28 IBT14:IBU28 ILP14:ILQ28 IVL14:IVM28 JFH14:JFI28 JPD14:JPE28 JYZ14:JZA28 KIV14:KIW28 KSR14:KSS28 LCN14:LCO28 LMJ14:LMK28 LWF14:LWG28 MGB14:MGC28 MPX14:MPY28 MZT14:MZU28 NJP14:NJQ28 NTL14:NTM28 ODH14:ODI28 OND14:ONE28 OWZ14:OXA28 PGV14:PGW28 PQR14:PQS28 QAN14:QAO28 QKJ14:QKK28 QUF14:QUG28 REB14:REC28 RNX14:RNY28 RXT14:RXU28 SHP14:SHQ28 SRL14:SRM28 TBH14:TBI28 TLD14:TLE28 TUZ14:TVA28 UEV14:UEW28 UOR14:UOS28 UYN14:UYO28 VIJ14:VIK28 VSF14:VSG28 WCB14:WCC28 WLX14:WLY28 WVT14:WVU28 K65545:L65559 JH65545:JI65559 TD65545:TE65559 ACZ65545:ADA65559 AMV65545:AMW65559 AWR65545:AWS65559 BGN65545:BGO65559 BQJ65545:BQK65559 CAF65545:CAG65559 CKB65545:CKC65559 CTX65545:CTY65559 DDT65545:DDU65559 DNP65545:DNQ65559 DXL65545:DXM65559 EHH65545:EHI65559 ERD65545:ERE65559 FAZ65545:FBA65559 FKV65545:FKW65559 FUR65545:FUS65559 GEN65545:GEO65559 GOJ65545:GOK65559 GYF65545:GYG65559 HIB65545:HIC65559 HRX65545:HRY65559 IBT65545:IBU65559 ILP65545:ILQ65559 IVL65545:IVM65559 JFH65545:JFI65559 JPD65545:JPE65559 JYZ65545:JZA65559 KIV65545:KIW65559 KSR65545:KSS65559 LCN65545:LCO65559 LMJ65545:LMK65559 LWF65545:LWG65559 MGB65545:MGC65559 MPX65545:MPY65559 MZT65545:MZU65559 NJP65545:NJQ65559 NTL65545:NTM65559 ODH65545:ODI65559 OND65545:ONE65559 OWZ65545:OXA65559 PGV65545:PGW65559 PQR65545:PQS65559 QAN65545:QAO65559 QKJ65545:QKK65559 QUF65545:QUG65559 REB65545:REC65559 RNX65545:RNY65559 RXT65545:RXU65559 SHP65545:SHQ65559 SRL65545:SRM65559 TBH65545:TBI65559 TLD65545:TLE65559 TUZ65545:TVA65559 UEV65545:UEW65559 UOR65545:UOS65559 UYN65545:UYO65559 VIJ65545:VIK65559 VSF65545:VSG65559 WCB65545:WCC65559 WLX65545:WLY65559 WVT65545:WVU65559 K131081:L131095 JH131081:JI131095 TD131081:TE131095 ACZ131081:ADA131095 AMV131081:AMW131095 AWR131081:AWS131095 BGN131081:BGO131095 BQJ131081:BQK131095 CAF131081:CAG131095 CKB131081:CKC131095 CTX131081:CTY131095 DDT131081:DDU131095 DNP131081:DNQ131095 DXL131081:DXM131095 EHH131081:EHI131095 ERD131081:ERE131095 FAZ131081:FBA131095 FKV131081:FKW131095 FUR131081:FUS131095 GEN131081:GEO131095 GOJ131081:GOK131095 GYF131081:GYG131095 HIB131081:HIC131095 HRX131081:HRY131095 IBT131081:IBU131095 ILP131081:ILQ131095 IVL131081:IVM131095 JFH131081:JFI131095 JPD131081:JPE131095 JYZ131081:JZA131095 KIV131081:KIW131095 KSR131081:KSS131095 LCN131081:LCO131095 LMJ131081:LMK131095 LWF131081:LWG131095 MGB131081:MGC131095 MPX131081:MPY131095 MZT131081:MZU131095 NJP131081:NJQ131095 NTL131081:NTM131095 ODH131081:ODI131095 OND131081:ONE131095 OWZ131081:OXA131095 PGV131081:PGW131095 PQR131081:PQS131095 QAN131081:QAO131095 QKJ131081:QKK131095 QUF131081:QUG131095 REB131081:REC131095 RNX131081:RNY131095 RXT131081:RXU131095 SHP131081:SHQ131095 SRL131081:SRM131095 TBH131081:TBI131095 TLD131081:TLE131095 TUZ131081:TVA131095 UEV131081:UEW131095 UOR131081:UOS131095 UYN131081:UYO131095 VIJ131081:VIK131095 VSF131081:VSG131095 WCB131081:WCC131095 WLX131081:WLY131095 WVT131081:WVU131095 K196617:L196631 JH196617:JI196631 TD196617:TE196631 ACZ196617:ADA196631 AMV196617:AMW196631 AWR196617:AWS196631 BGN196617:BGO196631 BQJ196617:BQK196631 CAF196617:CAG196631 CKB196617:CKC196631 CTX196617:CTY196631 DDT196617:DDU196631 DNP196617:DNQ196631 DXL196617:DXM196631 EHH196617:EHI196631 ERD196617:ERE196631 FAZ196617:FBA196631 FKV196617:FKW196631 FUR196617:FUS196631 GEN196617:GEO196631 GOJ196617:GOK196631 GYF196617:GYG196631 HIB196617:HIC196631 HRX196617:HRY196631 IBT196617:IBU196631 ILP196617:ILQ196631 IVL196617:IVM196631 JFH196617:JFI196631 JPD196617:JPE196631 JYZ196617:JZA196631 KIV196617:KIW196631 KSR196617:KSS196631 LCN196617:LCO196631 LMJ196617:LMK196631 LWF196617:LWG196631 MGB196617:MGC196631 MPX196617:MPY196631 MZT196617:MZU196631 NJP196617:NJQ196631 NTL196617:NTM196631 ODH196617:ODI196631 OND196617:ONE196631 OWZ196617:OXA196631 PGV196617:PGW196631 PQR196617:PQS196631 QAN196617:QAO196631 QKJ196617:QKK196631 QUF196617:QUG196631 REB196617:REC196631 RNX196617:RNY196631 RXT196617:RXU196631 SHP196617:SHQ196631 SRL196617:SRM196631 TBH196617:TBI196631 TLD196617:TLE196631 TUZ196617:TVA196631 UEV196617:UEW196631 UOR196617:UOS196631 UYN196617:UYO196631 VIJ196617:VIK196631 VSF196617:VSG196631 WCB196617:WCC196631 WLX196617:WLY196631 WVT196617:WVU196631 K262153:L262167 JH262153:JI262167 TD262153:TE262167 ACZ262153:ADA262167 AMV262153:AMW262167 AWR262153:AWS262167 BGN262153:BGO262167 BQJ262153:BQK262167 CAF262153:CAG262167 CKB262153:CKC262167 CTX262153:CTY262167 DDT262153:DDU262167 DNP262153:DNQ262167 DXL262153:DXM262167 EHH262153:EHI262167 ERD262153:ERE262167 FAZ262153:FBA262167 FKV262153:FKW262167 FUR262153:FUS262167 GEN262153:GEO262167 GOJ262153:GOK262167 GYF262153:GYG262167 HIB262153:HIC262167 HRX262153:HRY262167 IBT262153:IBU262167 ILP262153:ILQ262167 IVL262153:IVM262167 JFH262153:JFI262167 JPD262153:JPE262167 JYZ262153:JZA262167 KIV262153:KIW262167 KSR262153:KSS262167 LCN262153:LCO262167 LMJ262153:LMK262167 LWF262153:LWG262167 MGB262153:MGC262167 MPX262153:MPY262167 MZT262153:MZU262167 NJP262153:NJQ262167 NTL262153:NTM262167 ODH262153:ODI262167 OND262153:ONE262167 OWZ262153:OXA262167 PGV262153:PGW262167 PQR262153:PQS262167 QAN262153:QAO262167 QKJ262153:QKK262167 QUF262153:QUG262167 REB262153:REC262167 RNX262153:RNY262167 RXT262153:RXU262167 SHP262153:SHQ262167 SRL262153:SRM262167 TBH262153:TBI262167 TLD262153:TLE262167 TUZ262153:TVA262167 UEV262153:UEW262167 UOR262153:UOS262167 UYN262153:UYO262167 VIJ262153:VIK262167 VSF262153:VSG262167 WCB262153:WCC262167 WLX262153:WLY262167 WVT262153:WVU262167 K327689:L327703 JH327689:JI327703 TD327689:TE327703 ACZ327689:ADA327703 AMV327689:AMW327703 AWR327689:AWS327703 BGN327689:BGO327703 BQJ327689:BQK327703 CAF327689:CAG327703 CKB327689:CKC327703 CTX327689:CTY327703 DDT327689:DDU327703 DNP327689:DNQ327703 DXL327689:DXM327703 EHH327689:EHI327703 ERD327689:ERE327703 FAZ327689:FBA327703 FKV327689:FKW327703 FUR327689:FUS327703 GEN327689:GEO327703 GOJ327689:GOK327703 GYF327689:GYG327703 HIB327689:HIC327703 HRX327689:HRY327703 IBT327689:IBU327703 ILP327689:ILQ327703 IVL327689:IVM327703 JFH327689:JFI327703 JPD327689:JPE327703 JYZ327689:JZA327703 KIV327689:KIW327703 KSR327689:KSS327703 LCN327689:LCO327703 LMJ327689:LMK327703 LWF327689:LWG327703 MGB327689:MGC327703 MPX327689:MPY327703 MZT327689:MZU327703 NJP327689:NJQ327703 NTL327689:NTM327703 ODH327689:ODI327703 OND327689:ONE327703 OWZ327689:OXA327703 PGV327689:PGW327703 PQR327689:PQS327703 QAN327689:QAO327703 QKJ327689:QKK327703 QUF327689:QUG327703 REB327689:REC327703 RNX327689:RNY327703 RXT327689:RXU327703 SHP327689:SHQ327703 SRL327689:SRM327703 TBH327689:TBI327703 TLD327689:TLE327703 TUZ327689:TVA327703 UEV327689:UEW327703 UOR327689:UOS327703 UYN327689:UYO327703 VIJ327689:VIK327703 VSF327689:VSG327703 WCB327689:WCC327703 WLX327689:WLY327703 WVT327689:WVU327703 K393225:L393239 JH393225:JI393239 TD393225:TE393239 ACZ393225:ADA393239 AMV393225:AMW393239 AWR393225:AWS393239 BGN393225:BGO393239 BQJ393225:BQK393239 CAF393225:CAG393239 CKB393225:CKC393239 CTX393225:CTY393239 DDT393225:DDU393239 DNP393225:DNQ393239 DXL393225:DXM393239 EHH393225:EHI393239 ERD393225:ERE393239 FAZ393225:FBA393239 FKV393225:FKW393239 FUR393225:FUS393239 GEN393225:GEO393239 GOJ393225:GOK393239 GYF393225:GYG393239 HIB393225:HIC393239 HRX393225:HRY393239 IBT393225:IBU393239 ILP393225:ILQ393239 IVL393225:IVM393239 JFH393225:JFI393239 JPD393225:JPE393239 JYZ393225:JZA393239 KIV393225:KIW393239 KSR393225:KSS393239 LCN393225:LCO393239 LMJ393225:LMK393239 LWF393225:LWG393239 MGB393225:MGC393239 MPX393225:MPY393239 MZT393225:MZU393239 NJP393225:NJQ393239 NTL393225:NTM393239 ODH393225:ODI393239 OND393225:ONE393239 OWZ393225:OXA393239 PGV393225:PGW393239 PQR393225:PQS393239 QAN393225:QAO393239 QKJ393225:QKK393239 QUF393225:QUG393239 REB393225:REC393239 RNX393225:RNY393239 RXT393225:RXU393239 SHP393225:SHQ393239 SRL393225:SRM393239 TBH393225:TBI393239 TLD393225:TLE393239 TUZ393225:TVA393239 UEV393225:UEW393239 UOR393225:UOS393239 UYN393225:UYO393239 VIJ393225:VIK393239 VSF393225:VSG393239 WCB393225:WCC393239 WLX393225:WLY393239 WVT393225:WVU393239 K458761:L458775 JH458761:JI458775 TD458761:TE458775 ACZ458761:ADA458775 AMV458761:AMW458775 AWR458761:AWS458775 BGN458761:BGO458775 BQJ458761:BQK458775 CAF458761:CAG458775 CKB458761:CKC458775 CTX458761:CTY458775 DDT458761:DDU458775 DNP458761:DNQ458775 DXL458761:DXM458775 EHH458761:EHI458775 ERD458761:ERE458775 FAZ458761:FBA458775 FKV458761:FKW458775 FUR458761:FUS458775 GEN458761:GEO458775 GOJ458761:GOK458775 GYF458761:GYG458775 HIB458761:HIC458775 HRX458761:HRY458775 IBT458761:IBU458775 ILP458761:ILQ458775 IVL458761:IVM458775 JFH458761:JFI458775 JPD458761:JPE458775 JYZ458761:JZA458775 KIV458761:KIW458775 KSR458761:KSS458775 LCN458761:LCO458775 LMJ458761:LMK458775 LWF458761:LWG458775 MGB458761:MGC458775 MPX458761:MPY458775 MZT458761:MZU458775 NJP458761:NJQ458775 NTL458761:NTM458775 ODH458761:ODI458775 OND458761:ONE458775 OWZ458761:OXA458775 PGV458761:PGW458775 PQR458761:PQS458775 QAN458761:QAO458775 QKJ458761:QKK458775 QUF458761:QUG458775 REB458761:REC458775 RNX458761:RNY458775 RXT458761:RXU458775 SHP458761:SHQ458775 SRL458761:SRM458775 TBH458761:TBI458775 TLD458761:TLE458775 TUZ458761:TVA458775 UEV458761:UEW458775 UOR458761:UOS458775 UYN458761:UYO458775 VIJ458761:VIK458775 VSF458761:VSG458775 WCB458761:WCC458775 WLX458761:WLY458775 WVT458761:WVU458775 K524297:L524311 JH524297:JI524311 TD524297:TE524311 ACZ524297:ADA524311 AMV524297:AMW524311 AWR524297:AWS524311 BGN524297:BGO524311 BQJ524297:BQK524311 CAF524297:CAG524311 CKB524297:CKC524311 CTX524297:CTY524311 DDT524297:DDU524311 DNP524297:DNQ524311 DXL524297:DXM524311 EHH524297:EHI524311 ERD524297:ERE524311 FAZ524297:FBA524311 FKV524297:FKW524311 FUR524297:FUS524311 GEN524297:GEO524311 GOJ524297:GOK524311 GYF524297:GYG524311 HIB524297:HIC524311 HRX524297:HRY524311 IBT524297:IBU524311 ILP524297:ILQ524311 IVL524297:IVM524311 JFH524297:JFI524311 JPD524297:JPE524311 JYZ524297:JZA524311 KIV524297:KIW524311 KSR524297:KSS524311 LCN524297:LCO524311 LMJ524297:LMK524311 LWF524297:LWG524311 MGB524297:MGC524311 MPX524297:MPY524311 MZT524297:MZU524311 NJP524297:NJQ524311 NTL524297:NTM524311 ODH524297:ODI524311 OND524297:ONE524311 OWZ524297:OXA524311 PGV524297:PGW524311 PQR524297:PQS524311 QAN524297:QAO524311 QKJ524297:QKK524311 QUF524297:QUG524311 REB524297:REC524311 RNX524297:RNY524311 RXT524297:RXU524311 SHP524297:SHQ524311 SRL524297:SRM524311 TBH524297:TBI524311 TLD524297:TLE524311 TUZ524297:TVA524311 UEV524297:UEW524311 UOR524297:UOS524311 UYN524297:UYO524311 VIJ524297:VIK524311 VSF524297:VSG524311 WCB524297:WCC524311 WLX524297:WLY524311 WVT524297:WVU524311 K589833:L589847 JH589833:JI589847 TD589833:TE589847 ACZ589833:ADA589847 AMV589833:AMW589847 AWR589833:AWS589847 BGN589833:BGO589847 BQJ589833:BQK589847 CAF589833:CAG589847 CKB589833:CKC589847 CTX589833:CTY589847 DDT589833:DDU589847 DNP589833:DNQ589847 DXL589833:DXM589847 EHH589833:EHI589847 ERD589833:ERE589847 FAZ589833:FBA589847 FKV589833:FKW589847 FUR589833:FUS589847 GEN589833:GEO589847 GOJ589833:GOK589847 GYF589833:GYG589847 HIB589833:HIC589847 HRX589833:HRY589847 IBT589833:IBU589847 ILP589833:ILQ589847 IVL589833:IVM589847 JFH589833:JFI589847 JPD589833:JPE589847 JYZ589833:JZA589847 KIV589833:KIW589847 KSR589833:KSS589847 LCN589833:LCO589847 LMJ589833:LMK589847 LWF589833:LWG589847 MGB589833:MGC589847 MPX589833:MPY589847 MZT589833:MZU589847 NJP589833:NJQ589847 NTL589833:NTM589847 ODH589833:ODI589847 OND589833:ONE589847 OWZ589833:OXA589847 PGV589833:PGW589847 PQR589833:PQS589847 QAN589833:QAO589847 QKJ589833:QKK589847 QUF589833:QUG589847 REB589833:REC589847 RNX589833:RNY589847 RXT589833:RXU589847 SHP589833:SHQ589847 SRL589833:SRM589847 TBH589833:TBI589847 TLD589833:TLE589847 TUZ589833:TVA589847 UEV589833:UEW589847 UOR589833:UOS589847 UYN589833:UYO589847 VIJ589833:VIK589847 VSF589833:VSG589847 WCB589833:WCC589847 WLX589833:WLY589847 WVT589833:WVU589847 K655369:L655383 JH655369:JI655383 TD655369:TE655383 ACZ655369:ADA655383 AMV655369:AMW655383 AWR655369:AWS655383 BGN655369:BGO655383 BQJ655369:BQK655383 CAF655369:CAG655383 CKB655369:CKC655383 CTX655369:CTY655383 DDT655369:DDU655383 DNP655369:DNQ655383 DXL655369:DXM655383 EHH655369:EHI655383 ERD655369:ERE655383 FAZ655369:FBA655383 FKV655369:FKW655383 FUR655369:FUS655383 GEN655369:GEO655383 GOJ655369:GOK655383 GYF655369:GYG655383 HIB655369:HIC655383 HRX655369:HRY655383 IBT655369:IBU655383 ILP655369:ILQ655383 IVL655369:IVM655383 JFH655369:JFI655383 JPD655369:JPE655383 JYZ655369:JZA655383 KIV655369:KIW655383 KSR655369:KSS655383 LCN655369:LCO655383 LMJ655369:LMK655383 LWF655369:LWG655383 MGB655369:MGC655383 MPX655369:MPY655383 MZT655369:MZU655383 NJP655369:NJQ655383 NTL655369:NTM655383 ODH655369:ODI655383 OND655369:ONE655383 OWZ655369:OXA655383 PGV655369:PGW655383 PQR655369:PQS655383 QAN655369:QAO655383 QKJ655369:QKK655383 QUF655369:QUG655383 REB655369:REC655383 RNX655369:RNY655383 RXT655369:RXU655383 SHP655369:SHQ655383 SRL655369:SRM655383 TBH655369:TBI655383 TLD655369:TLE655383 TUZ655369:TVA655383 UEV655369:UEW655383 UOR655369:UOS655383 UYN655369:UYO655383 VIJ655369:VIK655383 VSF655369:VSG655383 WCB655369:WCC655383 WLX655369:WLY655383 WVT655369:WVU655383 K720905:L720919 JH720905:JI720919 TD720905:TE720919 ACZ720905:ADA720919 AMV720905:AMW720919 AWR720905:AWS720919 BGN720905:BGO720919 BQJ720905:BQK720919 CAF720905:CAG720919 CKB720905:CKC720919 CTX720905:CTY720919 DDT720905:DDU720919 DNP720905:DNQ720919 DXL720905:DXM720919 EHH720905:EHI720919 ERD720905:ERE720919 FAZ720905:FBA720919 FKV720905:FKW720919 FUR720905:FUS720919 GEN720905:GEO720919 GOJ720905:GOK720919 GYF720905:GYG720919 HIB720905:HIC720919 HRX720905:HRY720919 IBT720905:IBU720919 ILP720905:ILQ720919 IVL720905:IVM720919 JFH720905:JFI720919 JPD720905:JPE720919 JYZ720905:JZA720919 KIV720905:KIW720919 KSR720905:KSS720919 LCN720905:LCO720919 LMJ720905:LMK720919 LWF720905:LWG720919 MGB720905:MGC720919 MPX720905:MPY720919 MZT720905:MZU720919 NJP720905:NJQ720919 NTL720905:NTM720919 ODH720905:ODI720919 OND720905:ONE720919 OWZ720905:OXA720919 PGV720905:PGW720919 PQR720905:PQS720919 QAN720905:QAO720919 QKJ720905:QKK720919 QUF720905:QUG720919 REB720905:REC720919 RNX720905:RNY720919 RXT720905:RXU720919 SHP720905:SHQ720919 SRL720905:SRM720919 TBH720905:TBI720919 TLD720905:TLE720919 TUZ720905:TVA720919 UEV720905:UEW720919 UOR720905:UOS720919 UYN720905:UYO720919 VIJ720905:VIK720919 VSF720905:VSG720919 WCB720905:WCC720919 WLX720905:WLY720919 WVT720905:WVU720919 K786441:L786455 JH786441:JI786455 TD786441:TE786455 ACZ786441:ADA786455 AMV786441:AMW786455 AWR786441:AWS786455 BGN786441:BGO786455 BQJ786441:BQK786455 CAF786441:CAG786455 CKB786441:CKC786455 CTX786441:CTY786455 DDT786441:DDU786455 DNP786441:DNQ786455 DXL786441:DXM786455 EHH786441:EHI786455 ERD786441:ERE786455 FAZ786441:FBA786455 FKV786441:FKW786455 FUR786441:FUS786455 GEN786441:GEO786455 GOJ786441:GOK786455 GYF786441:GYG786455 HIB786441:HIC786455 HRX786441:HRY786455 IBT786441:IBU786455 ILP786441:ILQ786455 IVL786441:IVM786455 JFH786441:JFI786455 JPD786441:JPE786455 JYZ786441:JZA786455 KIV786441:KIW786455 KSR786441:KSS786455 LCN786441:LCO786455 LMJ786441:LMK786455 LWF786441:LWG786455 MGB786441:MGC786455 MPX786441:MPY786455 MZT786441:MZU786455 NJP786441:NJQ786455 NTL786441:NTM786455 ODH786441:ODI786455 OND786441:ONE786455 OWZ786441:OXA786455 PGV786441:PGW786455 PQR786441:PQS786455 QAN786441:QAO786455 QKJ786441:QKK786455 QUF786441:QUG786455 REB786441:REC786455 RNX786441:RNY786455 RXT786441:RXU786455 SHP786441:SHQ786455 SRL786441:SRM786455 TBH786441:TBI786455 TLD786441:TLE786455 TUZ786441:TVA786455 UEV786441:UEW786455 UOR786441:UOS786455 UYN786441:UYO786455 VIJ786441:VIK786455 VSF786441:VSG786455 WCB786441:WCC786455 WLX786441:WLY786455 WVT786441:WVU786455 K851977:L851991 JH851977:JI851991 TD851977:TE851991 ACZ851977:ADA851991 AMV851977:AMW851991 AWR851977:AWS851991 BGN851977:BGO851991 BQJ851977:BQK851991 CAF851977:CAG851991 CKB851977:CKC851991 CTX851977:CTY851991 DDT851977:DDU851991 DNP851977:DNQ851991 DXL851977:DXM851991 EHH851977:EHI851991 ERD851977:ERE851991 FAZ851977:FBA851991 FKV851977:FKW851991 FUR851977:FUS851991 GEN851977:GEO851991 GOJ851977:GOK851991 GYF851977:GYG851991 HIB851977:HIC851991 HRX851977:HRY851991 IBT851977:IBU851991 ILP851977:ILQ851991 IVL851977:IVM851991 JFH851977:JFI851991 JPD851977:JPE851991 JYZ851977:JZA851991 KIV851977:KIW851991 KSR851977:KSS851991 LCN851977:LCO851991 LMJ851977:LMK851991 LWF851977:LWG851991 MGB851977:MGC851991 MPX851977:MPY851991 MZT851977:MZU851991 NJP851977:NJQ851991 NTL851977:NTM851991 ODH851977:ODI851991 OND851977:ONE851991 OWZ851977:OXA851991 PGV851977:PGW851991 PQR851977:PQS851991 QAN851977:QAO851991 QKJ851977:QKK851991 QUF851977:QUG851991 REB851977:REC851991 RNX851977:RNY851991 RXT851977:RXU851991 SHP851977:SHQ851991 SRL851977:SRM851991 TBH851977:TBI851991 TLD851977:TLE851991 TUZ851977:TVA851991 UEV851977:UEW851991 UOR851977:UOS851991 UYN851977:UYO851991 VIJ851977:VIK851991 VSF851977:VSG851991 WCB851977:WCC851991 WLX851977:WLY851991 WVT851977:WVU851991 K917513:L917527 JH917513:JI917527 TD917513:TE917527 ACZ917513:ADA917527 AMV917513:AMW917527 AWR917513:AWS917527 BGN917513:BGO917527 BQJ917513:BQK917527 CAF917513:CAG917527 CKB917513:CKC917527 CTX917513:CTY917527 DDT917513:DDU917527 DNP917513:DNQ917527 DXL917513:DXM917527 EHH917513:EHI917527 ERD917513:ERE917527 FAZ917513:FBA917527 FKV917513:FKW917527 FUR917513:FUS917527 GEN917513:GEO917527 GOJ917513:GOK917527 GYF917513:GYG917527 HIB917513:HIC917527 HRX917513:HRY917527 IBT917513:IBU917527 ILP917513:ILQ917527 IVL917513:IVM917527 JFH917513:JFI917527 JPD917513:JPE917527 JYZ917513:JZA917527 KIV917513:KIW917527 KSR917513:KSS917527 LCN917513:LCO917527 LMJ917513:LMK917527 LWF917513:LWG917527 MGB917513:MGC917527 MPX917513:MPY917527 MZT917513:MZU917527 NJP917513:NJQ917527 NTL917513:NTM917527 ODH917513:ODI917527 OND917513:ONE917527 OWZ917513:OXA917527 PGV917513:PGW917527 PQR917513:PQS917527 QAN917513:QAO917527 QKJ917513:QKK917527 QUF917513:QUG917527 REB917513:REC917527 RNX917513:RNY917527 RXT917513:RXU917527 SHP917513:SHQ917527 SRL917513:SRM917527 TBH917513:TBI917527 TLD917513:TLE917527 TUZ917513:TVA917527 UEV917513:UEW917527 UOR917513:UOS917527 UYN917513:UYO917527 VIJ917513:VIK917527 VSF917513:VSG917527 WCB917513:WCC917527 WLX917513:WLY917527 WVT917513:WVU917527 K983049:L983063 JH983049:JI983063 TD983049:TE983063 ACZ983049:ADA983063 AMV983049:AMW983063 AWR983049:AWS983063 BGN983049:BGO983063 BQJ983049:BQK983063 CAF983049:CAG983063 CKB983049:CKC983063 CTX983049:CTY983063 DDT983049:DDU983063 DNP983049:DNQ983063 DXL983049:DXM983063 EHH983049:EHI983063 ERD983049:ERE983063 FAZ983049:FBA983063 FKV983049:FKW983063 FUR983049:FUS983063 GEN983049:GEO983063 GOJ983049:GOK983063 GYF983049:GYG983063 HIB983049:HIC983063 HRX983049:HRY983063 IBT983049:IBU983063 ILP983049:ILQ983063 IVL983049:IVM983063 JFH983049:JFI983063 JPD983049:JPE983063 JYZ983049:JZA983063 KIV983049:KIW983063 KSR983049:KSS983063 LCN983049:LCO983063 LMJ983049:LMK983063 LWF983049:LWG983063 MGB983049:MGC983063 MPX983049:MPY983063 MZT983049:MZU983063 NJP983049:NJQ983063 NTL983049:NTM983063 ODH983049:ODI983063 OND983049:ONE983063 OWZ983049:OXA983063 PGV983049:PGW983063 PQR983049:PQS983063 QAN983049:QAO983063 QKJ983049:QKK983063 QUF983049:QUG983063 REB983049:REC983063 RNX983049:RNY983063 RXT983049:RXU983063 SHP983049:SHQ983063 SRL983049:SRM983063 TBH983049:TBI983063 TLD983049:TLE983063 TUZ983049:TVA983063 UEV983049:UEW983063 UOR983049:UOS983063 UYN983049:UYO983063 VIJ983049:VIK983063 VSF983049:VSG983063 WCB983049:WCC983063 WLX983049:WLY983063 WVT983049:WVU983063" xr:uid="{00000000-0002-0000-3200-000000000000}">
      <formula1>4</formula1>
    </dataValidation>
    <dataValidation type="textLength" operator="equal" allowBlank="1" showInputMessage="1" showErrorMessage="1" errorTitle="Invalid data!" error="Company number must be 4 digits." sqref="B14:B28 IY14:IY28 SU14:SU28 ACQ14:ACQ28 AMM14:AMM28 AWI14:AWI28 BGE14:BGE28 BQA14:BQA28 BZW14:BZW28 CJS14:CJS28 CTO14:CTO28 DDK14:DDK28 DNG14:DNG28 DXC14:DXC28 EGY14:EGY28 EQU14:EQU28 FAQ14:FAQ28 FKM14:FKM28 FUI14:FUI28 GEE14:GEE28 GOA14:GOA28 GXW14:GXW28 HHS14:HHS28 HRO14:HRO28 IBK14:IBK28 ILG14:ILG28 IVC14:IVC28 JEY14:JEY28 JOU14:JOU28 JYQ14:JYQ28 KIM14:KIM28 KSI14:KSI28 LCE14:LCE28 LMA14:LMA28 LVW14:LVW28 MFS14:MFS28 MPO14:MPO28 MZK14:MZK28 NJG14:NJG28 NTC14:NTC28 OCY14:OCY28 OMU14:OMU28 OWQ14:OWQ28 PGM14:PGM28 PQI14:PQI28 QAE14:QAE28 QKA14:QKA28 QTW14:QTW28 RDS14:RDS28 RNO14:RNO28 RXK14:RXK28 SHG14:SHG28 SRC14:SRC28 TAY14:TAY28 TKU14:TKU28 TUQ14:TUQ28 UEM14:UEM28 UOI14:UOI28 UYE14:UYE28 VIA14:VIA28 VRW14:VRW28 WBS14:WBS28 WLO14:WLO28 WVK14:WVK28 B65545:B65559 IY65545:IY65559 SU65545:SU65559 ACQ65545:ACQ65559 AMM65545:AMM65559 AWI65545:AWI65559 BGE65545:BGE65559 BQA65545:BQA65559 BZW65545:BZW65559 CJS65545:CJS65559 CTO65545:CTO65559 DDK65545:DDK65559 DNG65545:DNG65559 DXC65545:DXC65559 EGY65545:EGY65559 EQU65545:EQU65559 FAQ65545:FAQ65559 FKM65545:FKM65559 FUI65545:FUI65559 GEE65545:GEE65559 GOA65545:GOA65559 GXW65545:GXW65559 HHS65545:HHS65559 HRO65545:HRO65559 IBK65545:IBK65559 ILG65545:ILG65559 IVC65545:IVC65559 JEY65545:JEY65559 JOU65545:JOU65559 JYQ65545:JYQ65559 KIM65545:KIM65559 KSI65545:KSI65559 LCE65545:LCE65559 LMA65545:LMA65559 LVW65545:LVW65559 MFS65545:MFS65559 MPO65545:MPO65559 MZK65545:MZK65559 NJG65545:NJG65559 NTC65545:NTC65559 OCY65545:OCY65559 OMU65545:OMU65559 OWQ65545:OWQ65559 PGM65545:PGM65559 PQI65545:PQI65559 QAE65545:QAE65559 QKA65545:QKA65559 QTW65545:QTW65559 RDS65545:RDS65559 RNO65545:RNO65559 RXK65545:RXK65559 SHG65545:SHG65559 SRC65545:SRC65559 TAY65545:TAY65559 TKU65545:TKU65559 TUQ65545:TUQ65559 UEM65545:UEM65559 UOI65545:UOI65559 UYE65545:UYE65559 VIA65545:VIA65559 VRW65545:VRW65559 WBS65545:WBS65559 WLO65545:WLO65559 WVK65545:WVK65559 B131081:B131095 IY131081:IY131095 SU131081:SU131095 ACQ131081:ACQ131095 AMM131081:AMM131095 AWI131081:AWI131095 BGE131081:BGE131095 BQA131081:BQA131095 BZW131081:BZW131095 CJS131081:CJS131095 CTO131081:CTO131095 DDK131081:DDK131095 DNG131081:DNG131095 DXC131081:DXC131095 EGY131081:EGY131095 EQU131081:EQU131095 FAQ131081:FAQ131095 FKM131081:FKM131095 FUI131081:FUI131095 GEE131081:GEE131095 GOA131081:GOA131095 GXW131081:GXW131095 HHS131081:HHS131095 HRO131081:HRO131095 IBK131081:IBK131095 ILG131081:ILG131095 IVC131081:IVC131095 JEY131081:JEY131095 JOU131081:JOU131095 JYQ131081:JYQ131095 KIM131081:KIM131095 KSI131081:KSI131095 LCE131081:LCE131095 LMA131081:LMA131095 LVW131081:LVW131095 MFS131081:MFS131095 MPO131081:MPO131095 MZK131081:MZK131095 NJG131081:NJG131095 NTC131081:NTC131095 OCY131081:OCY131095 OMU131081:OMU131095 OWQ131081:OWQ131095 PGM131081:PGM131095 PQI131081:PQI131095 QAE131081:QAE131095 QKA131081:QKA131095 QTW131081:QTW131095 RDS131081:RDS131095 RNO131081:RNO131095 RXK131081:RXK131095 SHG131081:SHG131095 SRC131081:SRC131095 TAY131081:TAY131095 TKU131081:TKU131095 TUQ131081:TUQ131095 UEM131081:UEM131095 UOI131081:UOI131095 UYE131081:UYE131095 VIA131081:VIA131095 VRW131081:VRW131095 WBS131081:WBS131095 WLO131081:WLO131095 WVK131081:WVK131095 B196617:B196631 IY196617:IY196631 SU196617:SU196631 ACQ196617:ACQ196631 AMM196617:AMM196631 AWI196617:AWI196631 BGE196617:BGE196631 BQA196617:BQA196631 BZW196617:BZW196631 CJS196617:CJS196631 CTO196617:CTO196631 DDK196617:DDK196631 DNG196617:DNG196631 DXC196617:DXC196631 EGY196617:EGY196631 EQU196617:EQU196631 FAQ196617:FAQ196631 FKM196617:FKM196631 FUI196617:FUI196631 GEE196617:GEE196631 GOA196617:GOA196631 GXW196617:GXW196631 HHS196617:HHS196631 HRO196617:HRO196631 IBK196617:IBK196631 ILG196617:ILG196631 IVC196617:IVC196631 JEY196617:JEY196631 JOU196617:JOU196631 JYQ196617:JYQ196631 KIM196617:KIM196631 KSI196617:KSI196631 LCE196617:LCE196631 LMA196617:LMA196631 LVW196617:LVW196631 MFS196617:MFS196631 MPO196617:MPO196631 MZK196617:MZK196631 NJG196617:NJG196631 NTC196617:NTC196631 OCY196617:OCY196631 OMU196617:OMU196631 OWQ196617:OWQ196631 PGM196617:PGM196631 PQI196617:PQI196631 QAE196617:QAE196631 QKA196617:QKA196631 QTW196617:QTW196631 RDS196617:RDS196631 RNO196617:RNO196631 RXK196617:RXK196631 SHG196617:SHG196631 SRC196617:SRC196631 TAY196617:TAY196631 TKU196617:TKU196631 TUQ196617:TUQ196631 UEM196617:UEM196631 UOI196617:UOI196631 UYE196617:UYE196631 VIA196617:VIA196631 VRW196617:VRW196631 WBS196617:WBS196631 WLO196617:WLO196631 WVK196617:WVK196631 B262153:B262167 IY262153:IY262167 SU262153:SU262167 ACQ262153:ACQ262167 AMM262153:AMM262167 AWI262153:AWI262167 BGE262153:BGE262167 BQA262153:BQA262167 BZW262153:BZW262167 CJS262153:CJS262167 CTO262153:CTO262167 DDK262153:DDK262167 DNG262153:DNG262167 DXC262153:DXC262167 EGY262153:EGY262167 EQU262153:EQU262167 FAQ262153:FAQ262167 FKM262153:FKM262167 FUI262153:FUI262167 GEE262153:GEE262167 GOA262153:GOA262167 GXW262153:GXW262167 HHS262153:HHS262167 HRO262153:HRO262167 IBK262153:IBK262167 ILG262153:ILG262167 IVC262153:IVC262167 JEY262153:JEY262167 JOU262153:JOU262167 JYQ262153:JYQ262167 KIM262153:KIM262167 KSI262153:KSI262167 LCE262153:LCE262167 LMA262153:LMA262167 LVW262153:LVW262167 MFS262153:MFS262167 MPO262153:MPO262167 MZK262153:MZK262167 NJG262153:NJG262167 NTC262153:NTC262167 OCY262153:OCY262167 OMU262153:OMU262167 OWQ262153:OWQ262167 PGM262153:PGM262167 PQI262153:PQI262167 QAE262153:QAE262167 QKA262153:QKA262167 QTW262153:QTW262167 RDS262153:RDS262167 RNO262153:RNO262167 RXK262153:RXK262167 SHG262153:SHG262167 SRC262153:SRC262167 TAY262153:TAY262167 TKU262153:TKU262167 TUQ262153:TUQ262167 UEM262153:UEM262167 UOI262153:UOI262167 UYE262153:UYE262167 VIA262153:VIA262167 VRW262153:VRW262167 WBS262153:WBS262167 WLO262153:WLO262167 WVK262153:WVK262167 B327689:B327703 IY327689:IY327703 SU327689:SU327703 ACQ327689:ACQ327703 AMM327689:AMM327703 AWI327689:AWI327703 BGE327689:BGE327703 BQA327689:BQA327703 BZW327689:BZW327703 CJS327689:CJS327703 CTO327689:CTO327703 DDK327689:DDK327703 DNG327689:DNG327703 DXC327689:DXC327703 EGY327689:EGY327703 EQU327689:EQU327703 FAQ327689:FAQ327703 FKM327689:FKM327703 FUI327689:FUI327703 GEE327689:GEE327703 GOA327689:GOA327703 GXW327689:GXW327703 HHS327689:HHS327703 HRO327689:HRO327703 IBK327689:IBK327703 ILG327689:ILG327703 IVC327689:IVC327703 JEY327689:JEY327703 JOU327689:JOU327703 JYQ327689:JYQ327703 KIM327689:KIM327703 KSI327689:KSI327703 LCE327689:LCE327703 LMA327689:LMA327703 LVW327689:LVW327703 MFS327689:MFS327703 MPO327689:MPO327703 MZK327689:MZK327703 NJG327689:NJG327703 NTC327689:NTC327703 OCY327689:OCY327703 OMU327689:OMU327703 OWQ327689:OWQ327703 PGM327689:PGM327703 PQI327689:PQI327703 QAE327689:QAE327703 QKA327689:QKA327703 QTW327689:QTW327703 RDS327689:RDS327703 RNO327689:RNO327703 RXK327689:RXK327703 SHG327689:SHG327703 SRC327689:SRC327703 TAY327689:TAY327703 TKU327689:TKU327703 TUQ327689:TUQ327703 UEM327689:UEM327703 UOI327689:UOI327703 UYE327689:UYE327703 VIA327689:VIA327703 VRW327689:VRW327703 WBS327689:WBS327703 WLO327689:WLO327703 WVK327689:WVK327703 B393225:B393239 IY393225:IY393239 SU393225:SU393239 ACQ393225:ACQ393239 AMM393225:AMM393239 AWI393225:AWI393239 BGE393225:BGE393239 BQA393225:BQA393239 BZW393225:BZW393239 CJS393225:CJS393239 CTO393225:CTO393239 DDK393225:DDK393239 DNG393225:DNG393239 DXC393225:DXC393239 EGY393225:EGY393239 EQU393225:EQU393239 FAQ393225:FAQ393239 FKM393225:FKM393239 FUI393225:FUI393239 GEE393225:GEE393239 GOA393225:GOA393239 GXW393225:GXW393239 HHS393225:HHS393239 HRO393225:HRO393239 IBK393225:IBK393239 ILG393225:ILG393239 IVC393225:IVC393239 JEY393225:JEY393239 JOU393225:JOU393239 JYQ393225:JYQ393239 KIM393225:KIM393239 KSI393225:KSI393239 LCE393225:LCE393239 LMA393225:LMA393239 LVW393225:LVW393239 MFS393225:MFS393239 MPO393225:MPO393239 MZK393225:MZK393239 NJG393225:NJG393239 NTC393225:NTC393239 OCY393225:OCY393239 OMU393225:OMU393239 OWQ393225:OWQ393239 PGM393225:PGM393239 PQI393225:PQI393239 QAE393225:QAE393239 QKA393225:QKA393239 QTW393225:QTW393239 RDS393225:RDS393239 RNO393225:RNO393239 RXK393225:RXK393239 SHG393225:SHG393239 SRC393225:SRC393239 TAY393225:TAY393239 TKU393225:TKU393239 TUQ393225:TUQ393239 UEM393225:UEM393239 UOI393225:UOI393239 UYE393225:UYE393239 VIA393225:VIA393239 VRW393225:VRW393239 WBS393225:WBS393239 WLO393225:WLO393239 WVK393225:WVK393239 B458761:B458775 IY458761:IY458775 SU458761:SU458775 ACQ458761:ACQ458775 AMM458761:AMM458775 AWI458761:AWI458775 BGE458761:BGE458775 BQA458761:BQA458775 BZW458761:BZW458775 CJS458761:CJS458775 CTO458761:CTO458775 DDK458761:DDK458775 DNG458761:DNG458775 DXC458761:DXC458775 EGY458761:EGY458775 EQU458761:EQU458775 FAQ458761:FAQ458775 FKM458761:FKM458775 FUI458761:FUI458775 GEE458761:GEE458775 GOA458761:GOA458775 GXW458761:GXW458775 HHS458761:HHS458775 HRO458761:HRO458775 IBK458761:IBK458775 ILG458761:ILG458775 IVC458761:IVC458775 JEY458761:JEY458775 JOU458761:JOU458775 JYQ458761:JYQ458775 KIM458761:KIM458775 KSI458761:KSI458775 LCE458761:LCE458775 LMA458761:LMA458775 LVW458761:LVW458775 MFS458761:MFS458775 MPO458761:MPO458775 MZK458761:MZK458775 NJG458761:NJG458775 NTC458761:NTC458775 OCY458761:OCY458775 OMU458761:OMU458775 OWQ458761:OWQ458775 PGM458761:PGM458775 PQI458761:PQI458775 QAE458761:QAE458775 QKA458761:QKA458775 QTW458761:QTW458775 RDS458761:RDS458775 RNO458761:RNO458775 RXK458761:RXK458775 SHG458761:SHG458775 SRC458761:SRC458775 TAY458761:TAY458775 TKU458761:TKU458775 TUQ458761:TUQ458775 UEM458761:UEM458775 UOI458761:UOI458775 UYE458761:UYE458775 VIA458761:VIA458775 VRW458761:VRW458775 WBS458761:WBS458775 WLO458761:WLO458775 WVK458761:WVK458775 B524297:B524311 IY524297:IY524311 SU524297:SU524311 ACQ524297:ACQ524311 AMM524297:AMM524311 AWI524297:AWI524311 BGE524297:BGE524311 BQA524297:BQA524311 BZW524297:BZW524311 CJS524297:CJS524311 CTO524297:CTO524311 DDK524297:DDK524311 DNG524297:DNG524311 DXC524297:DXC524311 EGY524297:EGY524311 EQU524297:EQU524311 FAQ524297:FAQ524311 FKM524297:FKM524311 FUI524297:FUI524311 GEE524297:GEE524311 GOA524297:GOA524311 GXW524297:GXW524311 HHS524297:HHS524311 HRO524297:HRO524311 IBK524297:IBK524311 ILG524297:ILG524311 IVC524297:IVC524311 JEY524297:JEY524311 JOU524297:JOU524311 JYQ524297:JYQ524311 KIM524297:KIM524311 KSI524297:KSI524311 LCE524297:LCE524311 LMA524297:LMA524311 LVW524297:LVW524311 MFS524297:MFS524311 MPO524297:MPO524311 MZK524297:MZK524311 NJG524297:NJG524311 NTC524297:NTC524311 OCY524297:OCY524311 OMU524297:OMU524311 OWQ524297:OWQ524311 PGM524297:PGM524311 PQI524297:PQI524311 QAE524297:QAE524311 QKA524297:QKA524311 QTW524297:QTW524311 RDS524297:RDS524311 RNO524297:RNO524311 RXK524297:RXK524311 SHG524297:SHG524311 SRC524297:SRC524311 TAY524297:TAY524311 TKU524297:TKU524311 TUQ524297:TUQ524311 UEM524297:UEM524311 UOI524297:UOI524311 UYE524297:UYE524311 VIA524297:VIA524311 VRW524297:VRW524311 WBS524297:WBS524311 WLO524297:WLO524311 WVK524297:WVK524311 B589833:B589847 IY589833:IY589847 SU589833:SU589847 ACQ589833:ACQ589847 AMM589833:AMM589847 AWI589833:AWI589847 BGE589833:BGE589847 BQA589833:BQA589847 BZW589833:BZW589847 CJS589833:CJS589847 CTO589833:CTO589847 DDK589833:DDK589847 DNG589833:DNG589847 DXC589833:DXC589847 EGY589833:EGY589847 EQU589833:EQU589847 FAQ589833:FAQ589847 FKM589833:FKM589847 FUI589833:FUI589847 GEE589833:GEE589847 GOA589833:GOA589847 GXW589833:GXW589847 HHS589833:HHS589847 HRO589833:HRO589847 IBK589833:IBK589847 ILG589833:ILG589847 IVC589833:IVC589847 JEY589833:JEY589847 JOU589833:JOU589847 JYQ589833:JYQ589847 KIM589833:KIM589847 KSI589833:KSI589847 LCE589833:LCE589847 LMA589833:LMA589847 LVW589833:LVW589847 MFS589833:MFS589847 MPO589833:MPO589847 MZK589833:MZK589847 NJG589833:NJG589847 NTC589833:NTC589847 OCY589833:OCY589847 OMU589833:OMU589847 OWQ589833:OWQ589847 PGM589833:PGM589847 PQI589833:PQI589847 QAE589833:QAE589847 QKA589833:QKA589847 QTW589833:QTW589847 RDS589833:RDS589847 RNO589833:RNO589847 RXK589833:RXK589847 SHG589833:SHG589847 SRC589833:SRC589847 TAY589833:TAY589847 TKU589833:TKU589847 TUQ589833:TUQ589847 UEM589833:UEM589847 UOI589833:UOI589847 UYE589833:UYE589847 VIA589833:VIA589847 VRW589833:VRW589847 WBS589833:WBS589847 WLO589833:WLO589847 WVK589833:WVK589847 B655369:B655383 IY655369:IY655383 SU655369:SU655383 ACQ655369:ACQ655383 AMM655369:AMM655383 AWI655369:AWI655383 BGE655369:BGE655383 BQA655369:BQA655383 BZW655369:BZW655383 CJS655369:CJS655383 CTO655369:CTO655383 DDK655369:DDK655383 DNG655369:DNG655383 DXC655369:DXC655383 EGY655369:EGY655383 EQU655369:EQU655383 FAQ655369:FAQ655383 FKM655369:FKM655383 FUI655369:FUI655383 GEE655369:GEE655383 GOA655369:GOA655383 GXW655369:GXW655383 HHS655369:HHS655383 HRO655369:HRO655383 IBK655369:IBK655383 ILG655369:ILG655383 IVC655369:IVC655383 JEY655369:JEY655383 JOU655369:JOU655383 JYQ655369:JYQ655383 KIM655369:KIM655383 KSI655369:KSI655383 LCE655369:LCE655383 LMA655369:LMA655383 LVW655369:LVW655383 MFS655369:MFS655383 MPO655369:MPO655383 MZK655369:MZK655383 NJG655369:NJG655383 NTC655369:NTC655383 OCY655369:OCY655383 OMU655369:OMU655383 OWQ655369:OWQ655383 PGM655369:PGM655383 PQI655369:PQI655383 QAE655369:QAE655383 QKA655369:QKA655383 QTW655369:QTW655383 RDS655369:RDS655383 RNO655369:RNO655383 RXK655369:RXK655383 SHG655369:SHG655383 SRC655369:SRC655383 TAY655369:TAY655383 TKU655369:TKU655383 TUQ655369:TUQ655383 UEM655369:UEM655383 UOI655369:UOI655383 UYE655369:UYE655383 VIA655369:VIA655383 VRW655369:VRW655383 WBS655369:WBS655383 WLO655369:WLO655383 WVK655369:WVK655383 B720905:B720919 IY720905:IY720919 SU720905:SU720919 ACQ720905:ACQ720919 AMM720905:AMM720919 AWI720905:AWI720919 BGE720905:BGE720919 BQA720905:BQA720919 BZW720905:BZW720919 CJS720905:CJS720919 CTO720905:CTO720919 DDK720905:DDK720919 DNG720905:DNG720919 DXC720905:DXC720919 EGY720905:EGY720919 EQU720905:EQU720919 FAQ720905:FAQ720919 FKM720905:FKM720919 FUI720905:FUI720919 GEE720905:GEE720919 GOA720905:GOA720919 GXW720905:GXW720919 HHS720905:HHS720919 HRO720905:HRO720919 IBK720905:IBK720919 ILG720905:ILG720919 IVC720905:IVC720919 JEY720905:JEY720919 JOU720905:JOU720919 JYQ720905:JYQ720919 KIM720905:KIM720919 KSI720905:KSI720919 LCE720905:LCE720919 LMA720905:LMA720919 LVW720905:LVW720919 MFS720905:MFS720919 MPO720905:MPO720919 MZK720905:MZK720919 NJG720905:NJG720919 NTC720905:NTC720919 OCY720905:OCY720919 OMU720905:OMU720919 OWQ720905:OWQ720919 PGM720905:PGM720919 PQI720905:PQI720919 QAE720905:QAE720919 QKA720905:QKA720919 QTW720905:QTW720919 RDS720905:RDS720919 RNO720905:RNO720919 RXK720905:RXK720919 SHG720905:SHG720919 SRC720905:SRC720919 TAY720905:TAY720919 TKU720905:TKU720919 TUQ720905:TUQ720919 UEM720905:UEM720919 UOI720905:UOI720919 UYE720905:UYE720919 VIA720905:VIA720919 VRW720905:VRW720919 WBS720905:WBS720919 WLO720905:WLO720919 WVK720905:WVK720919 B786441:B786455 IY786441:IY786455 SU786441:SU786455 ACQ786441:ACQ786455 AMM786441:AMM786455 AWI786441:AWI786455 BGE786441:BGE786455 BQA786441:BQA786455 BZW786441:BZW786455 CJS786441:CJS786455 CTO786441:CTO786455 DDK786441:DDK786455 DNG786441:DNG786455 DXC786441:DXC786455 EGY786441:EGY786455 EQU786441:EQU786455 FAQ786441:FAQ786455 FKM786441:FKM786455 FUI786441:FUI786455 GEE786441:GEE786455 GOA786441:GOA786455 GXW786441:GXW786455 HHS786441:HHS786455 HRO786441:HRO786455 IBK786441:IBK786455 ILG786441:ILG786455 IVC786441:IVC786455 JEY786441:JEY786455 JOU786441:JOU786455 JYQ786441:JYQ786455 KIM786441:KIM786455 KSI786441:KSI786455 LCE786441:LCE786455 LMA786441:LMA786455 LVW786441:LVW786455 MFS786441:MFS786455 MPO786441:MPO786455 MZK786441:MZK786455 NJG786441:NJG786455 NTC786441:NTC786455 OCY786441:OCY786455 OMU786441:OMU786455 OWQ786441:OWQ786455 PGM786441:PGM786455 PQI786441:PQI786455 QAE786441:QAE786455 QKA786441:QKA786455 QTW786441:QTW786455 RDS786441:RDS786455 RNO786441:RNO786455 RXK786441:RXK786455 SHG786441:SHG786455 SRC786441:SRC786455 TAY786441:TAY786455 TKU786441:TKU786455 TUQ786441:TUQ786455 UEM786441:UEM786455 UOI786441:UOI786455 UYE786441:UYE786455 VIA786441:VIA786455 VRW786441:VRW786455 WBS786441:WBS786455 WLO786441:WLO786455 WVK786441:WVK786455 B851977:B851991 IY851977:IY851991 SU851977:SU851991 ACQ851977:ACQ851991 AMM851977:AMM851991 AWI851977:AWI851991 BGE851977:BGE851991 BQA851977:BQA851991 BZW851977:BZW851991 CJS851977:CJS851991 CTO851977:CTO851991 DDK851977:DDK851991 DNG851977:DNG851991 DXC851977:DXC851991 EGY851977:EGY851991 EQU851977:EQU851991 FAQ851977:FAQ851991 FKM851977:FKM851991 FUI851977:FUI851991 GEE851977:GEE851991 GOA851977:GOA851991 GXW851977:GXW851991 HHS851977:HHS851991 HRO851977:HRO851991 IBK851977:IBK851991 ILG851977:ILG851991 IVC851977:IVC851991 JEY851977:JEY851991 JOU851977:JOU851991 JYQ851977:JYQ851991 KIM851977:KIM851991 KSI851977:KSI851991 LCE851977:LCE851991 LMA851977:LMA851991 LVW851977:LVW851991 MFS851977:MFS851991 MPO851977:MPO851991 MZK851977:MZK851991 NJG851977:NJG851991 NTC851977:NTC851991 OCY851977:OCY851991 OMU851977:OMU851991 OWQ851977:OWQ851991 PGM851977:PGM851991 PQI851977:PQI851991 QAE851977:QAE851991 QKA851977:QKA851991 QTW851977:QTW851991 RDS851977:RDS851991 RNO851977:RNO851991 RXK851977:RXK851991 SHG851977:SHG851991 SRC851977:SRC851991 TAY851977:TAY851991 TKU851977:TKU851991 TUQ851977:TUQ851991 UEM851977:UEM851991 UOI851977:UOI851991 UYE851977:UYE851991 VIA851977:VIA851991 VRW851977:VRW851991 WBS851977:WBS851991 WLO851977:WLO851991 WVK851977:WVK851991 B917513:B917527 IY917513:IY917527 SU917513:SU917527 ACQ917513:ACQ917527 AMM917513:AMM917527 AWI917513:AWI917527 BGE917513:BGE917527 BQA917513:BQA917527 BZW917513:BZW917527 CJS917513:CJS917527 CTO917513:CTO917527 DDK917513:DDK917527 DNG917513:DNG917527 DXC917513:DXC917527 EGY917513:EGY917527 EQU917513:EQU917527 FAQ917513:FAQ917527 FKM917513:FKM917527 FUI917513:FUI917527 GEE917513:GEE917527 GOA917513:GOA917527 GXW917513:GXW917527 HHS917513:HHS917527 HRO917513:HRO917527 IBK917513:IBK917527 ILG917513:ILG917527 IVC917513:IVC917527 JEY917513:JEY917527 JOU917513:JOU917527 JYQ917513:JYQ917527 KIM917513:KIM917527 KSI917513:KSI917527 LCE917513:LCE917527 LMA917513:LMA917527 LVW917513:LVW917527 MFS917513:MFS917527 MPO917513:MPO917527 MZK917513:MZK917527 NJG917513:NJG917527 NTC917513:NTC917527 OCY917513:OCY917527 OMU917513:OMU917527 OWQ917513:OWQ917527 PGM917513:PGM917527 PQI917513:PQI917527 QAE917513:QAE917527 QKA917513:QKA917527 QTW917513:QTW917527 RDS917513:RDS917527 RNO917513:RNO917527 RXK917513:RXK917527 SHG917513:SHG917527 SRC917513:SRC917527 TAY917513:TAY917527 TKU917513:TKU917527 TUQ917513:TUQ917527 UEM917513:UEM917527 UOI917513:UOI917527 UYE917513:UYE917527 VIA917513:VIA917527 VRW917513:VRW917527 WBS917513:WBS917527 WLO917513:WLO917527 WVK917513:WVK917527 B983049:B983063 IY983049:IY983063 SU983049:SU983063 ACQ983049:ACQ983063 AMM983049:AMM983063 AWI983049:AWI983063 BGE983049:BGE983063 BQA983049:BQA983063 BZW983049:BZW983063 CJS983049:CJS983063 CTO983049:CTO983063 DDK983049:DDK983063 DNG983049:DNG983063 DXC983049:DXC983063 EGY983049:EGY983063 EQU983049:EQU983063 FAQ983049:FAQ983063 FKM983049:FKM983063 FUI983049:FUI983063 GEE983049:GEE983063 GOA983049:GOA983063 GXW983049:GXW983063 HHS983049:HHS983063 HRO983049:HRO983063 IBK983049:IBK983063 ILG983049:ILG983063 IVC983049:IVC983063 JEY983049:JEY983063 JOU983049:JOU983063 JYQ983049:JYQ983063 KIM983049:KIM983063 KSI983049:KSI983063 LCE983049:LCE983063 LMA983049:LMA983063 LVW983049:LVW983063 MFS983049:MFS983063 MPO983049:MPO983063 MZK983049:MZK983063 NJG983049:NJG983063 NTC983049:NTC983063 OCY983049:OCY983063 OMU983049:OMU983063 OWQ983049:OWQ983063 PGM983049:PGM983063 PQI983049:PQI983063 QAE983049:QAE983063 QKA983049:QKA983063 QTW983049:QTW983063 RDS983049:RDS983063 RNO983049:RNO983063 RXK983049:RXK983063 SHG983049:SHG983063 SRC983049:SRC983063 TAY983049:TAY983063 TKU983049:TKU983063 TUQ983049:TUQ983063 UEM983049:UEM983063 UOI983049:UOI983063 UYE983049:UYE983063 VIA983049:VIA983063 VRW983049:VRW983063 WBS983049:WBS983063 WLO983049:WLO983063 WVK983049:WVK983063 J14:J28 JG14:JG28 TC14:TC28 ACY14:ACY28 AMU14:AMU28 AWQ14:AWQ28 BGM14:BGM28 BQI14:BQI28 CAE14:CAE28 CKA14:CKA28 CTW14:CTW28 DDS14:DDS28 DNO14:DNO28 DXK14:DXK28 EHG14:EHG28 ERC14:ERC28 FAY14:FAY28 FKU14:FKU28 FUQ14:FUQ28 GEM14:GEM28 GOI14:GOI28 GYE14:GYE28 HIA14:HIA28 HRW14:HRW28 IBS14:IBS28 ILO14:ILO28 IVK14:IVK28 JFG14:JFG28 JPC14:JPC28 JYY14:JYY28 KIU14:KIU28 KSQ14:KSQ28 LCM14:LCM28 LMI14:LMI28 LWE14:LWE28 MGA14:MGA28 MPW14:MPW28 MZS14:MZS28 NJO14:NJO28 NTK14:NTK28 ODG14:ODG28 ONC14:ONC28 OWY14:OWY28 PGU14:PGU28 PQQ14:PQQ28 QAM14:QAM28 QKI14:QKI28 QUE14:QUE28 REA14:REA28 RNW14:RNW28 RXS14:RXS28 SHO14:SHO28 SRK14:SRK28 TBG14:TBG28 TLC14:TLC28 TUY14:TUY28 UEU14:UEU28 UOQ14:UOQ28 UYM14:UYM28 VII14:VII28 VSE14:VSE28 WCA14:WCA28 WLW14:WLW28 WVS14:WVS28 J65545:J65559 JG65545:JG65559 TC65545:TC65559 ACY65545:ACY65559 AMU65545:AMU65559 AWQ65545:AWQ65559 BGM65545:BGM65559 BQI65545:BQI65559 CAE65545:CAE65559 CKA65545:CKA65559 CTW65545:CTW65559 DDS65545:DDS65559 DNO65545:DNO65559 DXK65545:DXK65559 EHG65545:EHG65559 ERC65545:ERC65559 FAY65545:FAY65559 FKU65545:FKU65559 FUQ65545:FUQ65559 GEM65545:GEM65559 GOI65545:GOI65559 GYE65545:GYE65559 HIA65545:HIA65559 HRW65545:HRW65559 IBS65545:IBS65559 ILO65545:ILO65559 IVK65545:IVK65559 JFG65545:JFG65559 JPC65545:JPC65559 JYY65545:JYY65559 KIU65545:KIU65559 KSQ65545:KSQ65559 LCM65545:LCM65559 LMI65545:LMI65559 LWE65545:LWE65559 MGA65545:MGA65559 MPW65545:MPW65559 MZS65545:MZS65559 NJO65545:NJO65559 NTK65545:NTK65559 ODG65545:ODG65559 ONC65545:ONC65559 OWY65545:OWY65559 PGU65545:PGU65559 PQQ65545:PQQ65559 QAM65545:QAM65559 QKI65545:QKI65559 QUE65545:QUE65559 REA65545:REA65559 RNW65545:RNW65559 RXS65545:RXS65559 SHO65545:SHO65559 SRK65545:SRK65559 TBG65545:TBG65559 TLC65545:TLC65559 TUY65545:TUY65559 UEU65545:UEU65559 UOQ65545:UOQ65559 UYM65545:UYM65559 VII65545:VII65559 VSE65545:VSE65559 WCA65545:WCA65559 WLW65545:WLW65559 WVS65545:WVS65559 J131081:J131095 JG131081:JG131095 TC131081:TC131095 ACY131081:ACY131095 AMU131081:AMU131095 AWQ131081:AWQ131095 BGM131081:BGM131095 BQI131081:BQI131095 CAE131081:CAE131095 CKA131081:CKA131095 CTW131081:CTW131095 DDS131081:DDS131095 DNO131081:DNO131095 DXK131081:DXK131095 EHG131081:EHG131095 ERC131081:ERC131095 FAY131081:FAY131095 FKU131081:FKU131095 FUQ131081:FUQ131095 GEM131081:GEM131095 GOI131081:GOI131095 GYE131081:GYE131095 HIA131081:HIA131095 HRW131081:HRW131095 IBS131081:IBS131095 ILO131081:ILO131095 IVK131081:IVK131095 JFG131081:JFG131095 JPC131081:JPC131095 JYY131081:JYY131095 KIU131081:KIU131095 KSQ131081:KSQ131095 LCM131081:LCM131095 LMI131081:LMI131095 LWE131081:LWE131095 MGA131081:MGA131095 MPW131081:MPW131095 MZS131081:MZS131095 NJO131081:NJO131095 NTK131081:NTK131095 ODG131081:ODG131095 ONC131081:ONC131095 OWY131081:OWY131095 PGU131081:PGU131095 PQQ131081:PQQ131095 QAM131081:QAM131095 QKI131081:QKI131095 QUE131081:QUE131095 REA131081:REA131095 RNW131081:RNW131095 RXS131081:RXS131095 SHO131081:SHO131095 SRK131081:SRK131095 TBG131081:TBG131095 TLC131081:TLC131095 TUY131081:TUY131095 UEU131081:UEU131095 UOQ131081:UOQ131095 UYM131081:UYM131095 VII131081:VII131095 VSE131081:VSE131095 WCA131081:WCA131095 WLW131081:WLW131095 WVS131081:WVS131095 J196617:J196631 JG196617:JG196631 TC196617:TC196631 ACY196617:ACY196631 AMU196617:AMU196631 AWQ196617:AWQ196631 BGM196617:BGM196631 BQI196617:BQI196631 CAE196617:CAE196631 CKA196617:CKA196631 CTW196617:CTW196631 DDS196617:DDS196631 DNO196617:DNO196631 DXK196617:DXK196631 EHG196617:EHG196631 ERC196617:ERC196631 FAY196617:FAY196631 FKU196617:FKU196631 FUQ196617:FUQ196631 GEM196617:GEM196631 GOI196617:GOI196631 GYE196617:GYE196631 HIA196617:HIA196631 HRW196617:HRW196631 IBS196617:IBS196631 ILO196617:ILO196631 IVK196617:IVK196631 JFG196617:JFG196631 JPC196617:JPC196631 JYY196617:JYY196631 KIU196617:KIU196631 KSQ196617:KSQ196631 LCM196617:LCM196631 LMI196617:LMI196631 LWE196617:LWE196631 MGA196617:MGA196631 MPW196617:MPW196631 MZS196617:MZS196631 NJO196617:NJO196631 NTK196617:NTK196631 ODG196617:ODG196631 ONC196617:ONC196631 OWY196617:OWY196631 PGU196617:PGU196631 PQQ196617:PQQ196631 QAM196617:QAM196631 QKI196617:QKI196631 QUE196617:QUE196631 REA196617:REA196631 RNW196617:RNW196631 RXS196617:RXS196631 SHO196617:SHO196631 SRK196617:SRK196631 TBG196617:TBG196631 TLC196617:TLC196631 TUY196617:TUY196631 UEU196617:UEU196631 UOQ196617:UOQ196631 UYM196617:UYM196631 VII196617:VII196631 VSE196617:VSE196631 WCA196617:WCA196631 WLW196617:WLW196631 WVS196617:WVS196631 J262153:J262167 JG262153:JG262167 TC262153:TC262167 ACY262153:ACY262167 AMU262153:AMU262167 AWQ262153:AWQ262167 BGM262153:BGM262167 BQI262153:BQI262167 CAE262153:CAE262167 CKA262153:CKA262167 CTW262153:CTW262167 DDS262153:DDS262167 DNO262153:DNO262167 DXK262153:DXK262167 EHG262153:EHG262167 ERC262153:ERC262167 FAY262153:FAY262167 FKU262153:FKU262167 FUQ262153:FUQ262167 GEM262153:GEM262167 GOI262153:GOI262167 GYE262153:GYE262167 HIA262153:HIA262167 HRW262153:HRW262167 IBS262153:IBS262167 ILO262153:ILO262167 IVK262153:IVK262167 JFG262153:JFG262167 JPC262153:JPC262167 JYY262153:JYY262167 KIU262153:KIU262167 KSQ262153:KSQ262167 LCM262153:LCM262167 LMI262153:LMI262167 LWE262153:LWE262167 MGA262153:MGA262167 MPW262153:MPW262167 MZS262153:MZS262167 NJO262153:NJO262167 NTK262153:NTK262167 ODG262153:ODG262167 ONC262153:ONC262167 OWY262153:OWY262167 PGU262153:PGU262167 PQQ262153:PQQ262167 QAM262153:QAM262167 QKI262153:QKI262167 QUE262153:QUE262167 REA262153:REA262167 RNW262153:RNW262167 RXS262153:RXS262167 SHO262153:SHO262167 SRK262153:SRK262167 TBG262153:TBG262167 TLC262153:TLC262167 TUY262153:TUY262167 UEU262153:UEU262167 UOQ262153:UOQ262167 UYM262153:UYM262167 VII262153:VII262167 VSE262153:VSE262167 WCA262153:WCA262167 WLW262153:WLW262167 WVS262153:WVS262167 J327689:J327703 JG327689:JG327703 TC327689:TC327703 ACY327689:ACY327703 AMU327689:AMU327703 AWQ327689:AWQ327703 BGM327689:BGM327703 BQI327689:BQI327703 CAE327689:CAE327703 CKA327689:CKA327703 CTW327689:CTW327703 DDS327689:DDS327703 DNO327689:DNO327703 DXK327689:DXK327703 EHG327689:EHG327703 ERC327689:ERC327703 FAY327689:FAY327703 FKU327689:FKU327703 FUQ327689:FUQ327703 GEM327689:GEM327703 GOI327689:GOI327703 GYE327689:GYE327703 HIA327689:HIA327703 HRW327689:HRW327703 IBS327689:IBS327703 ILO327689:ILO327703 IVK327689:IVK327703 JFG327689:JFG327703 JPC327689:JPC327703 JYY327689:JYY327703 KIU327689:KIU327703 KSQ327689:KSQ327703 LCM327689:LCM327703 LMI327689:LMI327703 LWE327689:LWE327703 MGA327689:MGA327703 MPW327689:MPW327703 MZS327689:MZS327703 NJO327689:NJO327703 NTK327689:NTK327703 ODG327689:ODG327703 ONC327689:ONC327703 OWY327689:OWY327703 PGU327689:PGU327703 PQQ327689:PQQ327703 QAM327689:QAM327703 QKI327689:QKI327703 QUE327689:QUE327703 REA327689:REA327703 RNW327689:RNW327703 RXS327689:RXS327703 SHO327689:SHO327703 SRK327689:SRK327703 TBG327689:TBG327703 TLC327689:TLC327703 TUY327689:TUY327703 UEU327689:UEU327703 UOQ327689:UOQ327703 UYM327689:UYM327703 VII327689:VII327703 VSE327689:VSE327703 WCA327689:WCA327703 WLW327689:WLW327703 WVS327689:WVS327703 J393225:J393239 JG393225:JG393239 TC393225:TC393239 ACY393225:ACY393239 AMU393225:AMU393239 AWQ393225:AWQ393239 BGM393225:BGM393239 BQI393225:BQI393239 CAE393225:CAE393239 CKA393225:CKA393239 CTW393225:CTW393239 DDS393225:DDS393239 DNO393225:DNO393239 DXK393225:DXK393239 EHG393225:EHG393239 ERC393225:ERC393239 FAY393225:FAY393239 FKU393225:FKU393239 FUQ393225:FUQ393239 GEM393225:GEM393239 GOI393225:GOI393239 GYE393225:GYE393239 HIA393225:HIA393239 HRW393225:HRW393239 IBS393225:IBS393239 ILO393225:ILO393239 IVK393225:IVK393239 JFG393225:JFG393239 JPC393225:JPC393239 JYY393225:JYY393239 KIU393225:KIU393239 KSQ393225:KSQ393239 LCM393225:LCM393239 LMI393225:LMI393239 LWE393225:LWE393239 MGA393225:MGA393239 MPW393225:MPW393239 MZS393225:MZS393239 NJO393225:NJO393239 NTK393225:NTK393239 ODG393225:ODG393239 ONC393225:ONC393239 OWY393225:OWY393239 PGU393225:PGU393239 PQQ393225:PQQ393239 QAM393225:QAM393239 QKI393225:QKI393239 QUE393225:QUE393239 REA393225:REA393239 RNW393225:RNW393239 RXS393225:RXS393239 SHO393225:SHO393239 SRK393225:SRK393239 TBG393225:TBG393239 TLC393225:TLC393239 TUY393225:TUY393239 UEU393225:UEU393239 UOQ393225:UOQ393239 UYM393225:UYM393239 VII393225:VII393239 VSE393225:VSE393239 WCA393225:WCA393239 WLW393225:WLW393239 WVS393225:WVS393239 J458761:J458775 JG458761:JG458775 TC458761:TC458775 ACY458761:ACY458775 AMU458761:AMU458775 AWQ458761:AWQ458775 BGM458761:BGM458775 BQI458761:BQI458775 CAE458761:CAE458775 CKA458761:CKA458775 CTW458761:CTW458775 DDS458761:DDS458775 DNO458761:DNO458775 DXK458761:DXK458775 EHG458761:EHG458775 ERC458761:ERC458775 FAY458761:FAY458775 FKU458761:FKU458775 FUQ458761:FUQ458775 GEM458761:GEM458775 GOI458761:GOI458775 GYE458761:GYE458775 HIA458761:HIA458775 HRW458761:HRW458775 IBS458761:IBS458775 ILO458761:ILO458775 IVK458761:IVK458775 JFG458761:JFG458775 JPC458761:JPC458775 JYY458761:JYY458775 KIU458761:KIU458775 KSQ458761:KSQ458775 LCM458761:LCM458775 LMI458761:LMI458775 LWE458761:LWE458775 MGA458761:MGA458775 MPW458761:MPW458775 MZS458761:MZS458775 NJO458761:NJO458775 NTK458761:NTK458775 ODG458761:ODG458775 ONC458761:ONC458775 OWY458761:OWY458775 PGU458761:PGU458775 PQQ458761:PQQ458775 QAM458761:QAM458775 QKI458761:QKI458775 QUE458761:QUE458775 REA458761:REA458775 RNW458761:RNW458775 RXS458761:RXS458775 SHO458761:SHO458775 SRK458761:SRK458775 TBG458761:TBG458775 TLC458761:TLC458775 TUY458761:TUY458775 UEU458761:UEU458775 UOQ458761:UOQ458775 UYM458761:UYM458775 VII458761:VII458775 VSE458761:VSE458775 WCA458761:WCA458775 WLW458761:WLW458775 WVS458761:WVS458775 J524297:J524311 JG524297:JG524311 TC524297:TC524311 ACY524297:ACY524311 AMU524297:AMU524311 AWQ524297:AWQ524311 BGM524297:BGM524311 BQI524297:BQI524311 CAE524297:CAE524311 CKA524297:CKA524311 CTW524297:CTW524311 DDS524297:DDS524311 DNO524297:DNO524311 DXK524297:DXK524311 EHG524297:EHG524311 ERC524297:ERC524311 FAY524297:FAY524311 FKU524297:FKU524311 FUQ524297:FUQ524311 GEM524297:GEM524311 GOI524297:GOI524311 GYE524297:GYE524311 HIA524297:HIA524311 HRW524297:HRW524311 IBS524297:IBS524311 ILO524297:ILO524311 IVK524297:IVK524311 JFG524297:JFG524311 JPC524297:JPC524311 JYY524297:JYY524311 KIU524297:KIU524311 KSQ524297:KSQ524311 LCM524297:LCM524311 LMI524297:LMI524311 LWE524297:LWE524311 MGA524297:MGA524311 MPW524297:MPW524311 MZS524297:MZS524311 NJO524297:NJO524311 NTK524297:NTK524311 ODG524297:ODG524311 ONC524297:ONC524311 OWY524297:OWY524311 PGU524297:PGU524311 PQQ524297:PQQ524311 QAM524297:QAM524311 QKI524297:QKI524311 QUE524297:QUE524311 REA524297:REA524311 RNW524297:RNW524311 RXS524297:RXS524311 SHO524297:SHO524311 SRK524297:SRK524311 TBG524297:TBG524311 TLC524297:TLC524311 TUY524297:TUY524311 UEU524297:UEU524311 UOQ524297:UOQ524311 UYM524297:UYM524311 VII524297:VII524311 VSE524297:VSE524311 WCA524297:WCA524311 WLW524297:WLW524311 WVS524297:WVS524311 J589833:J589847 JG589833:JG589847 TC589833:TC589847 ACY589833:ACY589847 AMU589833:AMU589847 AWQ589833:AWQ589847 BGM589833:BGM589847 BQI589833:BQI589847 CAE589833:CAE589847 CKA589833:CKA589847 CTW589833:CTW589847 DDS589833:DDS589847 DNO589833:DNO589847 DXK589833:DXK589847 EHG589833:EHG589847 ERC589833:ERC589847 FAY589833:FAY589847 FKU589833:FKU589847 FUQ589833:FUQ589847 GEM589833:GEM589847 GOI589833:GOI589847 GYE589833:GYE589847 HIA589833:HIA589847 HRW589833:HRW589847 IBS589833:IBS589847 ILO589833:ILO589847 IVK589833:IVK589847 JFG589833:JFG589847 JPC589833:JPC589847 JYY589833:JYY589847 KIU589833:KIU589847 KSQ589833:KSQ589847 LCM589833:LCM589847 LMI589833:LMI589847 LWE589833:LWE589847 MGA589833:MGA589847 MPW589833:MPW589847 MZS589833:MZS589847 NJO589833:NJO589847 NTK589833:NTK589847 ODG589833:ODG589847 ONC589833:ONC589847 OWY589833:OWY589847 PGU589833:PGU589847 PQQ589833:PQQ589847 QAM589833:QAM589847 QKI589833:QKI589847 QUE589833:QUE589847 REA589833:REA589847 RNW589833:RNW589847 RXS589833:RXS589847 SHO589833:SHO589847 SRK589833:SRK589847 TBG589833:TBG589847 TLC589833:TLC589847 TUY589833:TUY589847 UEU589833:UEU589847 UOQ589833:UOQ589847 UYM589833:UYM589847 VII589833:VII589847 VSE589833:VSE589847 WCA589833:WCA589847 WLW589833:WLW589847 WVS589833:WVS589847 J655369:J655383 JG655369:JG655383 TC655369:TC655383 ACY655369:ACY655383 AMU655369:AMU655383 AWQ655369:AWQ655383 BGM655369:BGM655383 BQI655369:BQI655383 CAE655369:CAE655383 CKA655369:CKA655383 CTW655369:CTW655383 DDS655369:DDS655383 DNO655369:DNO655383 DXK655369:DXK655383 EHG655369:EHG655383 ERC655369:ERC655383 FAY655369:FAY655383 FKU655369:FKU655383 FUQ655369:FUQ655383 GEM655369:GEM655383 GOI655369:GOI655383 GYE655369:GYE655383 HIA655369:HIA655383 HRW655369:HRW655383 IBS655369:IBS655383 ILO655369:ILO655383 IVK655369:IVK655383 JFG655369:JFG655383 JPC655369:JPC655383 JYY655369:JYY655383 KIU655369:KIU655383 KSQ655369:KSQ655383 LCM655369:LCM655383 LMI655369:LMI655383 LWE655369:LWE655383 MGA655369:MGA655383 MPW655369:MPW655383 MZS655369:MZS655383 NJO655369:NJO655383 NTK655369:NTK655383 ODG655369:ODG655383 ONC655369:ONC655383 OWY655369:OWY655383 PGU655369:PGU655383 PQQ655369:PQQ655383 QAM655369:QAM655383 QKI655369:QKI655383 QUE655369:QUE655383 REA655369:REA655383 RNW655369:RNW655383 RXS655369:RXS655383 SHO655369:SHO655383 SRK655369:SRK655383 TBG655369:TBG655383 TLC655369:TLC655383 TUY655369:TUY655383 UEU655369:UEU655383 UOQ655369:UOQ655383 UYM655369:UYM655383 VII655369:VII655383 VSE655369:VSE655383 WCA655369:WCA655383 WLW655369:WLW655383 WVS655369:WVS655383 J720905:J720919 JG720905:JG720919 TC720905:TC720919 ACY720905:ACY720919 AMU720905:AMU720919 AWQ720905:AWQ720919 BGM720905:BGM720919 BQI720905:BQI720919 CAE720905:CAE720919 CKA720905:CKA720919 CTW720905:CTW720919 DDS720905:DDS720919 DNO720905:DNO720919 DXK720905:DXK720919 EHG720905:EHG720919 ERC720905:ERC720919 FAY720905:FAY720919 FKU720905:FKU720919 FUQ720905:FUQ720919 GEM720905:GEM720919 GOI720905:GOI720919 GYE720905:GYE720919 HIA720905:HIA720919 HRW720905:HRW720919 IBS720905:IBS720919 ILO720905:ILO720919 IVK720905:IVK720919 JFG720905:JFG720919 JPC720905:JPC720919 JYY720905:JYY720919 KIU720905:KIU720919 KSQ720905:KSQ720919 LCM720905:LCM720919 LMI720905:LMI720919 LWE720905:LWE720919 MGA720905:MGA720919 MPW720905:MPW720919 MZS720905:MZS720919 NJO720905:NJO720919 NTK720905:NTK720919 ODG720905:ODG720919 ONC720905:ONC720919 OWY720905:OWY720919 PGU720905:PGU720919 PQQ720905:PQQ720919 QAM720905:QAM720919 QKI720905:QKI720919 QUE720905:QUE720919 REA720905:REA720919 RNW720905:RNW720919 RXS720905:RXS720919 SHO720905:SHO720919 SRK720905:SRK720919 TBG720905:TBG720919 TLC720905:TLC720919 TUY720905:TUY720919 UEU720905:UEU720919 UOQ720905:UOQ720919 UYM720905:UYM720919 VII720905:VII720919 VSE720905:VSE720919 WCA720905:WCA720919 WLW720905:WLW720919 WVS720905:WVS720919 J786441:J786455 JG786441:JG786455 TC786441:TC786455 ACY786441:ACY786455 AMU786441:AMU786455 AWQ786441:AWQ786455 BGM786441:BGM786455 BQI786441:BQI786455 CAE786441:CAE786455 CKA786441:CKA786455 CTW786441:CTW786455 DDS786441:DDS786455 DNO786441:DNO786455 DXK786441:DXK786455 EHG786441:EHG786455 ERC786441:ERC786455 FAY786441:FAY786455 FKU786441:FKU786455 FUQ786441:FUQ786455 GEM786441:GEM786455 GOI786441:GOI786455 GYE786441:GYE786455 HIA786441:HIA786455 HRW786441:HRW786455 IBS786441:IBS786455 ILO786441:ILO786455 IVK786441:IVK786455 JFG786441:JFG786455 JPC786441:JPC786455 JYY786441:JYY786455 KIU786441:KIU786455 KSQ786441:KSQ786455 LCM786441:LCM786455 LMI786441:LMI786455 LWE786441:LWE786455 MGA786441:MGA786455 MPW786441:MPW786455 MZS786441:MZS786455 NJO786441:NJO786455 NTK786441:NTK786455 ODG786441:ODG786455 ONC786441:ONC786455 OWY786441:OWY786455 PGU786441:PGU786455 PQQ786441:PQQ786455 QAM786441:QAM786455 QKI786441:QKI786455 QUE786441:QUE786455 REA786441:REA786455 RNW786441:RNW786455 RXS786441:RXS786455 SHO786441:SHO786455 SRK786441:SRK786455 TBG786441:TBG786455 TLC786441:TLC786455 TUY786441:TUY786455 UEU786441:UEU786455 UOQ786441:UOQ786455 UYM786441:UYM786455 VII786441:VII786455 VSE786441:VSE786455 WCA786441:WCA786455 WLW786441:WLW786455 WVS786441:WVS786455 J851977:J851991 JG851977:JG851991 TC851977:TC851991 ACY851977:ACY851991 AMU851977:AMU851991 AWQ851977:AWQ851991 BGM851977:BGM851991 BQI851977:BQI851991 CAE851977:CAE851991 CKA851977:CKA851991 CTW851977:CTW851991 DDS851977:DDS851991 DNO851977:DNO851991 DXK851977:DXK851991 EHG851977:EHG851991 ERC851977:ERC851991 FAY851977:FAY851991 FKU851977:FKU851991 FUQ851977:FUQ851991 GEM851977:GEM851991 GOI851977:GOI851991 GYE851977:GYE851991 HIA851977:HIA851991 HRW851977:HRW851991 IBS851977:IBS851991 ILO851977:ILO851991 IVK851977:IVK851991 JFG851977:JFG851991 JPC851977:JPC851991 JYY851977:JYY851991 KIU851977:KIU851991 KSQ851977:KSQ851991 LCM851977:LCM851991 LMI851977:LMI851991 LWE851977:LWE851991 MGA851977:MGA851991 MPW851977:MPW851991 MZS851977:MZS851991 NJO851977:NJO851991 NTK851977:NTK851991 ODG851977:ODG851991 ONC851977:ONC851991 OWY851977:OWY851991 PGU851977:PGU851991 PQQ851977:PQQ851991 QAM851977:QAM851991 QKI851977:QKI851991 QUE851977:QUE851991 REA851977:REA851991 RNW851977:RNW851991 RXS851977:RXS851991 SHO851977:SHO851991 SRK851977:SRK851991 TBG851977:TBG851991 TLC851977:TLC851991 TUY851977:TUY851991 UEU851977:UEU851991 UOQ851977:UOQ851991 UYM851977:UYM851991 VII851977:VII851991 VSE851977:VSE851991 WCA851977:WCA851991 WLW851977:WLW851991 WVS851977:WVS851991 J917513:J917527 JG917513:JG917527 TC917513:TC917527 ACY917513:ACY917527 AMU917513:AMU917527 AWQ917513:AWQ917527 BGM917513:BGM917527 BQI917513:BQI917527 CAE917513:CAE917527 CKA917513:CKA917527 CTW917513:CTW917527 DDS917513:DDS917527 DNO917513:DNO917527 DXK917513:DXK917527 EHG917513:EHG917527 ERC917513:ERC917527 FAY917513:FAY917527 FKU917513:FKU917527 FUQ917513:FUQ917527 GEM917513:GEM917527 GOI917513:GOI917527 GYE917513:GYE917527 HIA917513:HIA917527 HRW917513:HRW917527 IBS917513:IBS917527 ILO917513:ILO917527 IVK917513:IVK917527 JFG917513:JFG917527 JPC917513:JPC917527 JYY917513:JYY917527 KIU917513:KIU917527 KSQ917513:KSQ917527 LCM917513:LCM917527 LMI917513:LMI917527 LWE917513:LWE917527 MGA917513:MGA917527 MPW917513:MPW917527 MZS917513:MZS917527 NJO917513:NJO917527 NTK917513:NTK917527 ODG917513:ODG917527 ONC917513:ONC917527 OWY917513:OWY917527 PGU917513:PGU917527 PQQ917513:PQQ917527 QAM917513:QAM917527 QKI917513:QKI917527 QUE917513:QUE917527 REA917513:REA917527 RNW917513:RNW917527 RXS917513:RXS917527 SHO917513:SHO917527 SRK917513:SRK917527 TBG917513:TBG917527 TLC917513:TLC917527 TUY917513:TUY917527 UEU917513:UEU917527 UOQ917513:UOQ917527 UYM917513:UYM917527 VII917513:VII917527 VSE917513:VSE917527 WCA917513:WCA917527 WLW917513:WLW917527 WVS917513:WVS917527 J983049:J983063 JG983049:JG983063 TC983049:TC983063 ACY983049:ACY983063 AMU983049:AMU983063 AWQ983049:AWQ983063 BGM983049:BGM983063 BQI983049:BQI983063 CAE983049:CAE983063 CKA983049:CKA983063 CTW983049:CTW983063 DDS983049:DDS983063 DNO983049:DNO983063 DXK983049:DXK983063 EHG983049:EHG983063 ERC983049:ERC983063 FAY983049:FAY983063 FKU983049:FKU983063 FUQ983049:FUQ983063 GEM983049:GEM983063 GOI983049:GOI983063 GYE983049:GYE983063 HIA983049:HIA983063 HRW983049:HRW983063 IBS983049:IBS983063 ILO983049:ILO983063 IVK983049:IVK983063 JFG983049:JFG983063 JPC983049:JPC983063 JYY983049:JYY983063 KIU983049:KIU983063 KSQ983049:KSQ983063 LCM983049:LCM983063 LMI983049:LMI983063 LWE983049:LWE983063 MGA983049:MGA983063 MPW983049:MPW983063 MZS983049:MZS983063 NJO983049:NJO983063 NTK983049:NTK983063 ODG983049:ODG983063 ONC983049:ONC983063 OWY983049:OWY983063 PGU983049:PGU983063 PQQ983049:PQQ983063 QAM983049:QAM983063 QKI983049:QKI983063 QUE983049:QUE983063 REA983049:REA983063 RNW983049:RNW983063 RXS983049:RXS983063 SHO983049:SHO983063 SRK983049:SRK983063 TBG983049:TBG983063 TLC983049:TLC983063 TUY983049:TUY983063 UEU983049:UEU983063 UOQ983049:UOQ983063 UYM983049:UYM983063 VII983049:VII983063 VSE983049:VSE983063 WCA983049:WCA983063 WLW983049:WLW983063 WVS983049:WVS983063" xr:uid="{00000000-0002-0000-3200-000001000000}">
      <formula1>4</formula1>
    </dataValidation>
  </dataValidations>
  <hyperlinks>
    <hyperlink ref="B1:P1" location="Index!A1" display="Index!A1" xr:uid="{00000000-0004-0000-3200-000000000000}"/>
  </hyperlinks>
  <printOptions horizontalCentered="1"/>
  <pageMargins left="0.5" right="0.5" top="0.75" bottom="0.5" header="0.5" footer="0.5"/>
  <pageSetup scale="79" orientation="landscape" blackAndWhite="1" r:id="rId1"/>
  <headerFooter alignWithMargins="0">
    <oddFooter>&amp;R&amp;A</oddFooter>
  </headerFooter>
  <ignoredErrors>
    <ignoredError sqref="O5:V6" unlockedFormula="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pageSetUpPr fitToPage="1"/>
  </sheetPr>
  <dimension ref="A1:X56"/>
  <sheetViews>
    <sheetView showGridLines="0" topLeftCell="B1" zoomScaleNormal="100" workbookViewId="0">
      <selection activeCell="B3" sqref="B3:N3"/>
    </sheetView>
  </sheetViews>
  <sheetFormatPr defaultColWidth="9.42578125" defaultRowHeight="15.75" x14ac:dyDescent="0.25"/>
  <cols>
    <col min="1" max="1" width="0" style="226" hidden="1" customWidth="1"/>
    <col min="2" max="2" width="12.42578125" style="226" customWidth="1"/>
    <col min="3" max="3" width="1.5703125" style="226" customWidth="1"/>
    <col min="4" max="4" width="24.42578125" style="226" customWidth="1"/>
    <col min="5" max="5" width="1.5703125" style="226" customWidth="1"/>
    <col min="6" max="6" width="30.5703125" style="226" customWidth="1"/>
    <col min="7" max="7" width="1.5703125" style="226" customWidth="1"/>
    <col min="8" max="8" width="15.5703125" style="226" customWidth="1"/>
    <col min="9" max="9" width="1.5703125" style="226" customWidth="1"/>
    <col min="10" max="10" width="6.5703125" style="226" customWidth="1"/>
    <col min="11" max="11" width="1.42578125" style="226" customWidth="1"/>
    <col min="12" max="12" width="9" style="226" customWidth="1"/>
    <col min="13" max="13" width="1.5703125" style="226" customWidth="1"/>
    <col min="14" max="14" width="9.5703125" style="226" customWidth="1"/>
    <col min="15" max="15" width="4.5703125" style="56" customWidth="1"/>
    <col min="16" max="16" width="7" style="226" hidden="1" customWidth="1"/>
    <col min="17" max="17" width="2" style="226" hidden="1" customWidth="1"/>
    <col min="18" max="18" width="7" style="226" hidden="1" customWidth="1"/>
    <col min="19" max="21" width="5.5703125" style="226" hidden="1" customWidth="1"/>
    <col min="22" max="23" width="7" style="226" hidden="1" customWidth="1"/>
    <col min="24" max="24" width="8.5703125" style="226" hidden="1" customWidth="1"/>
    <col min="25" max="16384" width="9.42578125" style="226"/>
  </cols>
  <sheetData>
    <row r="1" spans="2:24" s="209" customFormat="1" ht="15" customHeight="1" x14ac:dyDescent="0.25">
      <c r="B1" s="2449" t="str">
        <f>Index!$A$1</f>
        <v xml:space="preserve">                                                               Office of the State Controller                                                                </v>
      </c>
      <c r="C1" s="2449"/>
      <c r="D1" s="2449"/>
      <c r="E1" s="2449"/>
      <c r="F1" s="2449"/>
      <c r="G1" s="2449"/>
      <c r="H1" s="2449"/>
      <c r="I1" s="2449"/>
      <c r="J1" s="2449"/>
      <c r="K1" s="2449"/>
      <c r="L1" s="2449"/>
      <c r="M1" s="2449"/>
      <c r="N1" s="2449"/>
      <c r="O1" s="2510" t="str">
        <f>IF(Index!$B$76="na","NA","")</f>
        <v/>
      </c>
    </row>
    <row r="2" spans="2:24" s="209" customFormat="1" ht="15" customHeight="1" x14ac:dyDescent="0.25">
      <c r="B2" s="2781" t="str">
        <f>Index!$A$2</f>
        <v>2022 ACFR Worksheets</v>
      </c>
      <c r="C2" s="2781"/>
      <c r="D2" s="2781"/>
      <c r="E2" s="2781"/>
      <c r="F2" s="2781"/>
      <c r="G2" s="2781"/>
      <c r="H2" s="2781"/>
      <c r="I2" s="2781"/>
      <c r="J2" s="2781"/>
      <c r="K2" s="2781"/>
      <c r="L2" s="2781"/>
      <c r="M2" s="2781"/>
      <c r="N2" s="2781"/>
      <c r="O2" s="2510"/>
    </row>
    <row r="3" spans="2:24" s="209" customFormat="1" ht="15" customHeight="1" x14ac:dyDescent="0.25">
      <c r="B3" s="2781" t="s">
        <v>1530</v>
      </c>
      <c r="C3" s="2781"/>
      <c r="D3" s="2781"/>
      <c r="E3" s="2781"/>
      <c r="F3" s="2781"/>
      <c r="G3" s="2781"/>
      <c r="H3" s="2781"/>
      <c r="I3" s="2781"/>
      <c r="J3" s="2781"/>
      <c r="K3" s="2781"/>
      <c r="L3" s="2781"/>
      <c r="M3" s="2781"/>
      <c r="N3" s="2781"/>
      <c r="O3" s="2510"/>
    </row>
    <row r="4" spans="2:24" s="211" customFormat="1" ht="15" customHeight="1" x14ac:dyDescent="0.25">
      <c r="B4" s="210"/>
      <c r="C4" s="210"/>
      <c r="D4" s="210"/>
      <c r="E4" s="210"/>
      <c r="F4" s="210"/>
      <c r="G4" s="210"/>
      <c r="H4" s="238" t="s">
        <v>4715</v>
      </c>
      <c r="I4" s="210"/>
      <c r="J4" s="210"/>
      <c r="K4" s="210"/>
      <c r="L4" s="210"/>
      <c r="M4" s="210"/>
      <c r="N4" s="210"/>
      <c r="O4" s="183"/>
    </row>
    <row r="5" spans="2:24" s="184" customFormat="1" ht="21" customHeight="1" x14ac:dyDescent="0.2">
      <c r="B5" s="212" t="s">
        <v>327</v>
      </c>
      <c r="D5" s="213" t="str">
        <f>Index!$E$10</f>
        <v>01</v>
      </c>
      <c r="F5" s="214"/>
      <c r="H5" s="215" t="s">
        <v>972</v>
      </c>
      <c r="I5" s="2747" t="str">
        <f>CONCATENATE(Index!$E$12," ",Index!$E$14)</f>
        <v xml:space="preserve"> </v>
      </c>
      <c r="J5" s="2446"/>
      <c r="K5" s="2446"/>
      <c r="L5" s="2446"/>
      <c r="M5" s="2446"/>
      <c r="N5" s="2446"/>
    </row>
    <row r="6" spans="2:24" s="184" customFormat="1" ht="15" customHeight="1" x14ac:dyDescent="0.2">
      <c r="B6" s="212" t="s">
        <v>1154</v>
      </c>
      <c r="D6" s="2780" t="str">
        <f>Index!$E$11</f>
        <v>North Carolina General Assembly</v>
      </c>
      <c r="E6" s="2780"/>
      <c r="F6" s="2780"/>
      <c r="G6" s="214"/>
      <c r="H6" s="215" t="s">
        <v>348</v>
      </c>
      <c r="I6" s="2782">
        <f>+Index!$E$13</f>
        <v>0</v>
      </c>
      <c r="J6" s="2782"/>
      <c r="K6" s="2782"/>
      <c r="L6" s="2782"/>
      <c r="M6" s="2782"/>
      <c r="N6" s="2782"/>
      <c r="O6" s="57"/>
    </row>
    <row r="7" spans="2:24" s="184" customFormat="1" ht="15" customHeight="1" x14ac:dyDescent="0.2">
      <c r="B7" s="212" t="s">
        <v>723</v>
      </c>
      <c r="D7" s="2209" t="s">
        <v>351</v>
      </c>
      <c r="F7" s="216"/>
      <c r="O7" s="57"/>
    </row>
    <row r="8" spans="2:24" s="211" customFormat="1" ht="15" customHeight="1" thickBot="1" x14ac:dyDescent="0.25">
      <c r="B8" s="217"/>
      <c r="C8" s="217"/>
      <c r="D8" s="217"/>
      <c r="E8" s="217"/>
      <c r="F8" s="217"/>
      <c r="G8" s="217"/>
      <c r="H8" s="217"/>
      <c r="I8" s="217"/>
      <c r="J8" s="217"/>
      <c r="K8" s="218"/>
      <c r="L8" s="217"/>
      <c r="M8" s="217"/>
      <c r="N8" s="217"/>
      <c r="O8" s="57"/>
    </row>
    <row r="9" spans="2:24" s="211" customFormat="1" ht="15" customHeight="1" thickBot="1" x14ac:dyDescent="0.25">
      <c r="B9" s="219" t="s">
        <v>1155</v>
      </c>
      <c r="F9" s="219"/>
      <c r="I9" s="220"/>
      <c r="J9" s="221" t="s">
        <v>352</v>
      </c>
      <c r="K9" s="222"/>
      <c r="L9" s="222"/>
      <c r="M9" s="222"/>
      <c r="N9" s="222"/>
      <c r="O9" s="57"/>
    </row>
    <row r="10" spans="2:24" s="211" customFormat="1" ht="15" customHeight="1" x14ac:dyDescent="0.2">
      <c r="B10" s="219" t="s">
        <v>684</v>
      </c>
      <c r="D10" s="219" t="s">
        <v>353</v>
      </c>
      <c r="F10" s="219" t="s">
        <v>354</v>
      </c>
      <c r="I10" s="220"/>
      <c r="J10" s="210"/>
      <c r="K10" s="210"/>
      <c r="L10" s="210"/>
      <c r="M10" s="210"/>
      <c r="N10" s="220" t="s">
        <v>86</v>
      </c>
      <c r="O10" s="57"/>
    </row>
    <row r="11" spans="2:24" s="211" customFormat="1" ht="15" customHeight="1" thickBot="1" x14ac:dyDescent="0.25">
      <c r="B11" s="223" t="s">
        <v>355</v>
      </c>
      <c r="C11" s="219"/>
      <c r="D11" s="224" t="s">
        <v>1130</v>
      </c>
      <c r="F11" s="224" t="s">
        <v>356</v>
      </c>
      <c r="H11" s="224" t="s">
        <v>1156</v>
      </c>
      <c r="J11" s="224" t="s">
        <v>1198</v>
      </c>
      <c r="K11" s="219"/>
      <c r="L11" s="224" t="s">
        <v>1199</v>
      </c>
      <c r="N11" s="224" t="s">
        <v>1200</v>
      </c>
      <c r="O11" s="57"/>
    </row>
    <row r="12" spans="2:24" s="211" customFormat="1" ht="15" customHeight="1" x14ac:dyDescent="0.2">
      <c r="B12" s="570"/>
      <c r="D12" s="572"/>
      <c r="E12" s="573"/>
      <c r="F12" s="572"/>
      <c r="G12" s="573"/>
      <c r="H12" s="571"/>
      <c r="J12" s="572"/>
      <c r="K12" s="573"/>
      <c r="L12" s="572"/>
      <c r="M12" s="573"/>
      <c r="N12" s="572"/>
      <c r="O12" s="552" t="str">
        <f>IF(AND(P12,W12),"","*")</f>
        <v/>
      </c>
      <c r="P12" s="553" t="b">
        <f>IF(OR(Q12=0,Q12=5),TRUE, FALSE)</f>
        <v>1</v>
      </c>
      <c r="Q12" s="553">
        <f>COUNTIF(R12:V12,FALSE)</f>
        <v>0</v>
      </c>
      <c r="R12" s="211" t="b">
        <f>ISBLANK(B12)</f>
        <v>1</v>
      </c>
      <c r="S12" s="211" t="b">
        <f>ISBLANK(D12)</f>
        <v>1</v>
      </c>
      <c r="T12" s="211" t="b">
        <f>ISBLANK(F12)</f>
        <v>1</v>
      </c>
      <c r="U12" s="211" t="b">
        <f>ISBLANK(H12)</f>
        <v>1</v>
      </c>
      <c r="V12" s="211" t="b">
        <f>AND(ISBLANK(J12),ISBLANK(L12),ISBLANK(N12))</f>
        <v>1</v>
      </c>
      <c r="W12" s="211" t="b">
        <f>IF(ISBLANK(B12),TRUE,OR(X12=4387,X12=5387))</f>
        <v>1</v>
      </c>
      <c r="X12" s="211">
        <f>IF(ISBLANK(B12),0,VALUE(LEFT(B12,4)))</f>
        <v>0</v>
      </c>
    </row>
    <row r="13" spans="2:24" s="211" customFormat="1" ht="15" customHeight="1" x14ac:dyDescent="0.2">
      <c r="B13" s="570"/>
      <c r="D13" s="572"/>
      <c r="E13" s="573"/>
      <c r="F13" s="572"/>
      <c r="G13" s="573"/>
      <c r="H13" s="571"/>
      <c r="J13" s="574"/>
      <c r="K13" s="573"/>
      <c r="L13" s="574"/>
      <c r="M13" s="573"/>
      <c r="N13" s="574"/>
      <c r="O13" s="552" t="str">
        <f t="shared" ref="O13:O28" si="0">IF(AND(P13,W13),"","*")</f>
        <v/>
      </c>
      <c r="P13" s="553" t="b">
        <f t="shared" ref="P13:P28" si="1">IF(OR(Q13=0,Q13=5),TRUE, FALSE)</f>
        <v>1</v>
      </c>
      <c r="Q13" s="553">
        <f t="shared" ref="Q13:Q28" si="2">COUNTIF(R13:V13,FALSE)</f>
        <v>0</v>
      </c>
      <c r="R13" s="211" t="b">
        <f t="shared" ref="R13:R28" si="3">ISBLANK(B13)</f>
        <v>1</v>
      </c>
      <c r="S13" s="211" t="b">
        <f t="shared" ref="S13:S28" si="4">ISBLANK(D13)</f>
        <v>1</v>
      </c>
      <c r="T13" s="211" t="b">
        <f t="shared" ref="T13:T28" si="5">ISBLANK(F13)</f>
        <v>1</v>
      </c>
      <c r="U13" s="211" t="b">
        <f t="shared" ref="U13:U28" si="6">ISBLANK(H13)</f>
        <v>1</v>
      </c>
      <c r="V13" s="211" t="b">
        <f t="shared" ref="V13:V28" si="7">AND(ISBLANK(J13),ISBLANK(L13),ISBLANK(N13))</f>
        <v>1</v>
      </c>
      <c r="W13" s="211" t="b">
        <f t="shared" ref="W13:W28" si="8">IF(ISBLANK(B13),TRUE,OR(X13=4387,X13=5387))</f>
        <v>1</v>
      </c>
      <c r="X13" s="211">
        <f t="shared" ref="X13:X28" si="9">IF(ISBLANK(B13),0,VALUE(LEFT(B13,4)))</f>
        <v>0</v>
      </c>
    </row>
    <row r="14" spans="2:24" s="211" customFormat="1" ht="15" customHeight="1" x14ac:dyDescent="0.2">
      <c r="B14" s="570"/>
      <c r="D14" s="572"/>
      <c r="E14" s="573"/>
      <c r="F14" s="572"/>
      <c r="G14" s="573"/>
      <c r="H14" s="571"/>
      <c r="J14" s="574"/>
      <c r="K14" s="573"/>
      <c r="L14" s="572"/>
      <c r="M14" s="573"/>
      <c r="N14" s="574"/>
      <c r="O14" s="552" t="str">
        <f t="shared" si="0"/>
        <v/>
      </c>
      <c r="P14" s="553" t="b">
        <f t="shared" si="1"/>
        <v>1</v>
      </c>
      <c r="Q14" s="553">
        <f t="shared" si="2"/>
        <v>0</v>
      </c>
      <c r="R14" s="211" t="b">
        <f t="shared" si="3"/>
        <v>1</v>
      </c>
      <c r="S14" s="211" t="b">
        <f t="shared" si="4"/>
        <v>1</v>
      </c>
      <c r="T14" s="211" t="b">
        <f t="shared" si="5"/>
        <v>1</v>
      </c>
      <c r="U14" s="211" t="b">
        <f t="shared" si="6"/>
        <v>1</v>
      </c>
      <c r="V14" s="211" t="b">
        <f t="shared" si="7"/>
        <v>1</v>
      </c>
      <c r="W14" s="211" t="b">
        <f t="shared" si="8"/>
        <v>1</v>
      </c>
      <c r="X14" s="211">
        <f t="shared" si="9"/>
        <v>0</v>
      </c>
    </row>
    <row r="15" spans="2:24" s="211" customFormat="1" ht="15" customHeight="1" x14ac:dyDescent="0.2">
      <c r="B15" s="570"/>
      <c r="D15" s="572"/>
      <c r="E15" s="573"/>
      <c r="F15" s="572"/>
      <c r="G15" s="573"/>
      <c r="H15" s="571"/>
      <c r="J15" s="574"/>
      <c r="K15" s="573"/>
      <c r="L15" s="574"/>
      <c r="M15" s="573"/>
      <c r="N15" s="574"/>
      <c r="O15" s="552" t="str">
        <f t="shared" si="0"/>
        <v/>
      </c>
      <c r="P15" s="553" t="b">
        <f t="shared" si="1"/>
        <v>1</v>
      </c>
      <c r="Q15" s="553">
        <f t="shared" si="2"/>
        <v>0</v>
      </c>
      <c r="R15" s="211" t="b">
        <f t="shared" si="3"/>
        <v>1</v>
      </c>
      <c r="S15" s="211" t="b">
        <f t="shared" si="4"/>
        <v>1</v>
      </c>
      <c r="T15" s="211" t="b">
        <f t="shared" si="5"/>
        <v>1</v>
      </c>
      <c r="U15" s="211" t="b">
        <f t="shared" si="6"/>
        <v>1</v>
      </c>
      <c r="V15" s="211" t="b">
        <f t="shared" si="7"/>
        <v>1</v>
      </c>
      <c r="W15" s="211" t="b">
        <f t="shared" si="8"/>
        <v>1</v>
      </c>
      <c r="X15" s="211">
        <f t="shared" si="9"/>
        <v>0</v>
      </c>
    </row>
    <row r="16" spans="2:24" s="211" customFormat="1" ht="15" customHeight="1" x14ac:dyDescent="0.2">
      <c r="B16" s="570"/>
      <c r="D16" s="572"/>
      <c r="E16" s="573"/>
      <c r="F16" s="572"/>
      <c r="G16" s="573"/>
      <c r="H16" s="571"/>
      <c r="J16" s="574"/>
      <c r="K16" s="573"/>
      <c r="L16" s="574"/>
      <c r="M16" s="573"/>
      <c r="N16" s="574"/>
      <c r="O16" s="552" t="str">
        <f t="shared" si="0"/>
        <v/>
      </c>
      <c r="P16" s="553" t="b">
        <f t="shared" si="1"/>
        <v>1</v>
      </c>
      <c r="Q16" s="553">
        <f t="shared" si="2"/>
        <v>0</v>
      </c>
      <c r="R16" s="211" t="b">
        <f t="shared" si="3"/>
        <v>1</v>
      </c>
      <c r="S16" s="211" t="b">
        <f t="shared" si="4"/>
        <v>1</v>
      </c>
      <c r="T16" s="211" t="b">
        <f t="shared" si="5"/>
        <v>1</v>
      </c>
      <c r="U16" s="211" t="b">
        <f t="shared" si="6"/>
        <v>1</v>
      </c>
      <c r="V16" s="211" t="b">
        <f t="shared" si="7"/>
        <v>1</v>
      </c>
      <c r="W16" s="211" t="b">
        <f t="shared" si="8"/>
        <v>1</v>
      </c>
      <c r="X16" s="211">
        <f t="shared" si="9"/>
        <v>0</v>
      </c>
    </row>
    <row r="17" spans="2:24" s="211" customFormat="1" ht="15" customHeight="1" x14ac:dyDescent="0.2">
      <c r="B17" s="570"/>
      <c r="D17" s="572"/>
      <c r="E17" s="573"/>
      <c r="F17" s="572"/>
      <c r="G17" s="573"/>
      <c r="H17" s="571"/>
      <c r="J17" s="574"/>
      <c r="K17" s="573"/>
      <c r="L17" s="574"/>
      <c r="M17" s="573"/>
      <c r="N17" s="574"/>
      <c r="O17" s="552" t="str">
        <f t="shared" si="0"/>
        <v/>
      </c>
      <c r="P17" s="553" t="b">
        <f t="shared" si="1"/>
        <v>1</v>
      </c>
      <c r="Q17" s="553">
        <f t="shared" si="2"/>
        <v>0</v>
      </c>
      <c r="R17" s="211" t="b">
        <f t="shared" si="3"/>
        <v>1</v>
      </c>
      <c r="S17" s="211" t="b">
        <f t="shared" si="4"/>
        <v>1</v>
      </c>
      <c r="T17" s="211" t="b">
        <f t="shared" si="5"/>
        <v>1</v>
      </c>
      <c r="U17" s="211" t="b">
        <f t="shared" si="6"/>
        <v>1</v>
      </c>
      <c r="V17" s="211" t="b">
        <f t="shared" si="7"/>
        <v>1</v>
      </c>
      <c r="W17" s="211" t="b">
        <f t="shared" si="8"/>
        <v>1</v>
      </c>
      <c r="X17" s="211">
        <f t="shared" si="9"/>
        <v>0</v>
      </c>
    </row>
    <row r="18" spans="2:24" s="211" customFormat="1" ht="15" customHeight="1" x14ac:dyDescent="0.2">
      <c r="B18" s="570"/>
      <c r="D18" s="572"/>
      <c r="E18" s="573"/>
      <c r="F18" s="572"/>
      <c r="G18" s="573"/>
      <c r="H18" s="571"/>
      <c r="J18" s="574"/>
      <c r="K18" s="573"/>
      <c r="L18" s="574"/>
      <c r="M18" s="573"/>
      <c r="N18" s="574"/>
      <c r="O18" s="552" t="str">
        <f t="shared" si="0"/>
        <v/>
      </c>
      <c r="P18" s="553" t="b">
        <f t="shared" si="1"/>
        <v>1</v>
      </c>
      <c r="Q18" s="553">
        <f t="shared" si="2"/>
        <v>0</v>
      </c>
      <c r="R18" s="211" t="b">
        <f t="shared" si="3"/>
        <v>1</v>
      </c>
      <c r="S18" s="211" t="b">
        <f t="shared" si="4"/>
        <v>1</v>
      </c>
      <c r="T18" s="211" t="b">
        <f t="shared" si="5"/>
        <v>1</v>
      </c>
      <c r="U18" s="211" t="b">
        <f t="shared" si="6"/>
        <v>1</v>
      </c>
      <c r="V18" s="211" t="b">
        <f t="shared" si="7"/>
        <v>1</v>
      </c>
      <c r="W18" s="211" t="b">
        <f t="shared" si="8"/>
        <v>1</v>
      </c>
      <c r="X18" s="211">
        <f t="shared" si="9"/>
        <v>0</v>
      </c>
    </row>
    <row r="19" spans="2:24" s="211" customFormat="1" ht="15" customHeight="1" x14ac:dyDescent="0.2">
      <c r="B19" s="570"/>
      <c r="D19" s="572"/>
      <c r="E19" s="573"/>
      <c r="F19" s="572"/>
      <c r="G19" s="573"/>
      <c r="H19" s="571"/>
      <c r="J19" s="574"/>
      <c r="K19" s="573"/>
      <c r="L19" s="574"/>
      <c r="M19" s="573"/>
      <c r="N19" s="574"/>
      <c r="O19" s="552" t="str">
        <f t="shared" si="0"/>
        <v/>
      </c>
      <c r="P19" s="553" t="b">
        <f t="shared" si="1"/>
        <v>1</v>
      </c>
      <c r="Q19" s="553">
        <f t="shared" si="2"/>
        <v>0</v>
      </c>
      <c r="R19" s="211" t="b">
        <f t="shared" si="3"/>
        <v>1</v>
      </c>
      <c r="S19" s="211" t="b">
        <f t="shared" si="4"/>
        <v>1</v>
      </c>
      <c r="T19" s="211" t="b">
        <f t="shared" si="5"/>
        <v>1</v>
      </c>
      <c r="U19" s="211" t="b">
        <f t="shared" si="6"/>
        <v>1</v>
      </c>
      <c r="V19" s="211" t="b">
        <f t="shared" si="7"/>
        <v>1</v>
      </c>
      <c r="W19" s="211" t="b">
        <f t="shared" si="8"/>
        <v>1</v>
      </c>
      <c r="X19" s="211">
        <f t="shared" si="9"/>
        <v>0</v>
      </c>
    </row>
    <row r="20" spans="2:24" s="211" customFormat="1" ht="15" customHeight="1" x14ac:dyDescent="0.2">
      <c r="B20" s="570"/>
      <c r="D20" s="572"/>
      <c r="E20" s="573"/>
      <c r="F20" s="572"/>
      <c r="G20" s="573"/>
      <c r="H20" s="571"/>
      <c r="J20" s="574"/>
      <c r="K20" s="573"/>
      <c r="L20" s="574"/>
      <c r="M20" s="573"/>
      <c r="N20" s="574"/>
      <c r="O20" s="552" t="str">
        <f t="shared" si="0"/>
        <v/>
      </c>
      <c r="P20" s="553" t="b">
        <f t="shared" si="1"/>
        <v>1</v>
      </c>
      <c r="Q20" s="553">
        <f t="shared" si="2"/>
        <v>0</v>
      </c>
      <c r="R20" s="211" t="b">
        <f t="shared" si="3"/>
        <v>1</v>
      </c>
      <c r="S20" s="211" t="b">
        <f t="shared" si="4"/>
        <v>1</v>
      </c>
      <c r="T20" s="211" t="b">
        <f t="shared" si="5"/>
        <v>1</v>
      </c>
      <c r="U20" s="211" t="b">
        <f t="shared" si="6"/>
        <v>1</v>
      </c>
      <c r="V20" s="211" t="b">
        <f t="shared" si="7"/>
        <v>1</v>
      </c>
      <c r="W20" s="211" t="b">
        <f t="shared" si="8"/>
        <v>1</v>
      </c>
      <c r="X20" s="211">
        <f t="shared" si="9"/>
        <v>0</v>
      </c>
    </row>
    <row r="21" spans="2:24" s="211" customFormat="1" ht="15" customHeight="1" x14ac:dyDescent="0.2">
      <c r="B21" s="570"/>
      <c r="D21" s="572"/>
      <c r="E21" s="573"/>
      <c r="F21" s="572"/>
      <c r="G21" s="573"/>
      <c r="H21" s="571"/>
      <c r="J21" s="574"/>
      <c r="K21" s="573"/>
      <c r="L21" s="574"/>
      <c r="M21" s="573"/>
      <c r="N21" s="574"/>
      <c r="O21" s="552" t="str">
        <f t="shared" si="0"/>
        <v/>
      </c>
      <c r="P21" s="553" t="b">
        <f t="shared" si="1"/>
        <v>1</v>
      </c>
      <c r="Q21" s="553">
        <f t="shared" si="2"/>
        <v>0</v>
      </c>
      <c r="R21" s="211" t="b">
        <f t="shared" si="3"/>
        <v>1</v>
      </c>
      <c r="S21" s="211" t="b">
        <f t="shared" si="4"/>
        <v>1</v>
      </c>
      <c r="T21" s="211" t="b">
        <f t="shared" si="5"/>
        <v>1</v>
      </c>
      <c r="U21" s="211" t="b">
        <f t="shared" si="6"/>
        <v>1</v>
      </c>
      <c r="V21" s="211" t="b">
        <f t="shared" si="7"/>
        <v>1</v>
      </c>
      <c r="W21" s="211" t="b">
        <f t="shared" si="8"/>
        <v>1</v>
      </c>
      <c r="X21" s="211">
        <f t="shared" si="9"/>
        <v>0</v>
      </c>
    </row>
    <row r="22" spans="2:24" s="211" customFormat="1" ht="15" customHeight="1" x14ac:dyDescent="0.2">
      <c r="B22" s="570"/>
      <c r="D22" s="572"/>
      <c r="E22" s="573"/>
      <c r="F22" s="572"/>
      <c r="G22" s="573"/>
      <c r="H22" s="571"/>
      <c r="J22" s="574"/>
      <c r="K22" s="573"/>
      <c r="L22" s="574"/>
      <c r="M22" s="573"/>
      <c r="N22" s="574"/>
      <c r="O22" s="552" t="str">
        <f t="shared" si="0"/>
        <v/>
      </c>
      <c r="P22" s="553" t="b">
        <f t="shared" si="1"/>
        <v>1</v>
      </c>
      <c r="Q22" s="553">
        <f t="shared" si="2"/>
        <v>0</v>
      </c>
      <c r="R22" s="211" t="b">
        <f t="shared" si="3"/>
        <v>1</v>
      </c>
      <c r="S22" s="211" t="b">
        <f t="shared" si="4"/>
        <v>1</v>
      </c>
      <c r="T22" s="211" t="b">
        <f t="shared" si="5"/>
        <v>1</v>
      </c>
      <c r="U22" s="211" t="b">
        <f t="shared" si="6"/>
        <v>1</v>
      </c>
      <c r="V22" s="211" t="b">
        <f t="shared" si="7"/>
        <v>1</v>
      </c>
      <c r="W22" s="211" t="b">
        <f t="shared" si="8"/>
        <v>1</v>
      </c>
      <c r="X22" s="211">
        <f t="shared" si="9"/>
        <v>0</v>
      </c>
    </row>
    <row r="23" spans="2:24" s="211" customFormat="1" ht="15" customHeight="1" x14ac:dyDescent="0.2">
      <c r="B23" s="570"/>
      <c r="D23" s="572"/>
      <c r="E23" s="573"/>
      <c r="F23" s="572"/>
      <c r="G23" s="573"/>
      <c r="H23" s="571"/>
      <c r="J23" s="574"/>
      <c r="K23" s="573"/>
      <c r="L23" s="574"/>
      <c r="M23" s="573"/>
      <c r="N23" s="574"/>
      <c r="O23" s="552" t="str">
        <f t="shared" si="0"/>
        <v/>
      </c>
      <c r="P23" s="553" t="b">
        <f t="shared" si="1"/>
        <v>1</v>
      </c>
      <c r="Q23" s="553">
        <f t="shared" si="2"/>
        <v>0</v>
      </c>
      <c r="R23" s="211" t="b">
        <f t="shared" si="3"/>
        <v>1</v>
      </c>
      <c r="S23" s="211" t="b">
        <f t="shared" si="4"/>
        <v>1</v>
      </c>
      <c r="T23" s="211" t="b">
        <f t="shared" si="5"/>
        <v>1</v>
      </c>
      <c r="U23" s="211" t="b">
        <f t="shared" si="6"/>
        <v>1</v>
      </c>
      <c r="V23" s="211" t="b">
        <f t="shared" si="7"/>
        <v>1</v>
      </c>
      <c r="W23" s="211" t="b">
        <f t="shared" si="8"/>
        <v>1</v>
      </c>
      <c r="X23" s="211">
        <f t="shared" si="9"/>
        <v>0</v>
      </c>
    </row>
    <row r="24" spans="2:24" s="211" customFormat="1" ht="15" customHeight="1" x14ac:dyDescent="0.2">
      <c r="B24" s="570"/>
      <c r="D24" s="572"/>
      <c r="E24" s="573"/>
      <c r="F24" s="572"/>
      <c r="G24" s="573"/>
      <c r="H24" s="571"/>
      <c r="J24" s="575"/>
      <c r="K24" s="573"/>
      <c r="L24" s="574"/>
      <c r="M24" s="573"/>
      <c r="N24" s="574"/>
      <c r="O24" s="552" t="str">
        <f t="shared" si="0"/>
        <v/>
      </c>
      <c r="P24" s="553" t="b">
        <f t="shared" si="1"/>
        <v>1</v>
      </c>
      <c r="Q24" s="553">
        <f t="shared" si="2"/>
        <v>0</v>
      </c>
      <c r="R24" s="211" t="b">
        <f t="shared" si="3"/>
        <v>1</v>
      </c>
      <c r="S24" s="211" t="b">
        <f t="shared" si="4"/>
        <v>1</v>
      </c>
      <c r="T24" s="211" t="b">
        <f t="shared" si="5"/>
        <v>1</v>
      </c>
      <c r="U24" s="211" t="b">
        <f t="shared" si="6"/>
        <v>1</v>
      </c>
      <c r="V24" s="211" t="b">
        <f t="shared" si="7"/>
        <v>1</v>
      </c>
      <c r="W24" s="211" t="b">
        <f t="shared" si="8"/>
        <v>1</v>
      </c>
      <c r="X24" s="211">
        <f t="shared" si="9"/>
        <v>0</v>
      </c>
    </row>
    <row r="25" spans="2:24" s="211" customFormat="1" ht="15" customHeight="1" x14ac:dyDescent="0.2">
      <c r="B25" s="570"/>
      <c r="D25" s="572"/>
      <c r="E25" s="573"/>
      <c r="F25" s="572"/>
      <c r="G25" s="573"/>
      <c r="H25" s="571"/>
      <c r="J25" s="574"/>
      <c r="K25" s="573"/>
      <c r="L25" s="574"/>
      <c r="M25" s="573"/>
      <c r="N25" s="574"/>
      <c r="O25" s="552" t="str">
        <f t="shared" si="0"/>
        <v/>
      </c>
      <c r="P25" s="553" t="b">
        <f t="shared" si="1"/>
        <v>1</v>
      </c>
      <c r="Q25" s="553">
        <f t="shared" si="2"/>
        <v>0</v>
      </c>
      <c r="R25" s="211" t="b">
        <f t="shared" si="3"/>
        <v>1</v>
      </c>
      <c r="S25" s="211" t="b">
        <f t="shared" si="4"/>
        <v>1</v>
      </c>
      <c r="T25" s="211" t="b">
        <f t="shared" si="5"/>
        <v>1</v>
      </c>
      <c r="U25" s="211" t="b">
        <f t="shared" si="6"/>
        <v>1</v>
      </c>
      <c r="V25" s="211" t="b">
        <f t="shared" si="7"/>
        <v>1</v>
      </c>
      <c r="W25" s="211" t="b">
        <f t="shared" si="8"/>
        <v>1</v>
      </c>
      <c r="X25" s="211">
        <f t="shared" si="9"/>
        <v>0</v>
      </c>
    </row>
    <row r="26" spans="2:24" s="211" customFormat="1" ht="15" customHeight="1" x14ac:dyDescent="0.2">
      <c r="B26" s="570"/>
      <c r="D26" s="572"/>
      <c r="E26" s="573"/>
      <c r="F26" s="572"/>
      <c r="G26" s="573"/>
      <c r="H26" s="571"/>
      <c r="J26" s="574"/>
      <c r="K26" s="573"/>
      <c r="L26" s="574"/>
      <c r="M26" s="573"/>
      <c r="N26" s="574"/>
      <c r="O26" s="552" t="str">
        <f t="shared" si="0"/>
        <v/>
      </c>
      <c r="P26" s="553" t="b">
        <f t="shared" si="1"/>
        <v>1</v>
      </c>
      <c r="Q26" s="553">
        <f t="shared" si="2"/>
        <v>0</v>
      </c>
      <c r="R26" s="211" t="b">
        <f t="shared" si="3"/>
        <v>1</v>
      </c>
      <c r="S26" s="211" t="b">
        <f t="shared" si="4"/>
        <v>1</v>
      </c>
      <c r="T26" s="211" t="b">
        <f t="shared" si="5"/>
        <v>1</v>
      </c>
      <c r="U26" s="211" t="b">
        <f t="shared" si="6"/>
        <v>1</v>
      </c>
      <c r="V26" s="211" t="b">
        <f t="shared" si="7"/>
        <v>1</v>
      </c>
      <c r="W26" s="211" t="b">
        <f t="shared" si="8"/>
        <v>1</v>
      </c>
      <c r="X26" s="211">
        <f t="shared" si="9"/>
        <v>0</v>
      </c>
    </row>
    <row r="27" spans="2:24" s="211" customFormat="1" ht="15" customHeight="1" x14ac:dyDescent="0.2">
      <c r="B27" s="570"/>
      <c r="D27" s="572"/>
      <c r="E27" s="573"/>
      <c r="F27" s="572"/>
      <c r="G27" s="573"/>
      <c r="H27" s="571"/>
      <c r="J27" s="574"/>
      <c r="K27" s="573"/>
      <c r="L27" s="574"/>
      <c r="M27" s="573"/>
      <c r="N27" s="574"/>
      <c r="O27" s="552" t="str">
        <f t="shared" si="0"/>
        <v/>
      </c>
      <c r="P27" s="553" t="b">
        <f t="shared" si="1"/>
        <v>1</v>
      </c>
      <c r="Q27" s="553">
        <f t="shared" si="2"/>
        <v>0</v>
      </c>
      <c r="R27" s="211" t="b">
        <f t="shared" si="3"/>
        <v>1</v>
      </c>
      <c r="S27" s="211" t="b">
        <f t="shared" si="4"/>
        <v>1</v>
      </c>
      <c r="T27" s="211" t="b">
        <f t="shared" si="5"/>
        <v>1</v>
      </c>
      <c r="U27" s="211" t="b">
        <f t="shared" si="6"/>
        <v>1</v>
      </c>
      <c r="V27" s="211" t="b">
        <f t="shared" si="7"/>
        <v>1</v>
      </c>
      <c r="W27" s="211" t="b">
        <f t="shared" si="8"/>
        <v>1</v>
      </c>
      <c r="X27" s="211">
        <f t="shared" si="9"/>
        <v>0</v>
      </c>
    </row>
    <row r="28" spans="2:24" s="211" customFormat="1" ht="15" customHeight="1" x14ac:dyDescent="0.2">
      <c r="B28" s="570"/>
      <c r="D28" s="572"/>
      <c r="E28" s="573"/>
      <c r="F28" s="572"/>
      <c r="G28" s="573"/>
      <c r="H28" s="571"/>
      <c r="J28" s="574"/>
      <c r="K28" s="573"/>
      <c r="L28" s="574"/>
      <c r="M28" s="573"/>
      <c r="N28" s="574"/>
      <c r="O28" s="552" t="str">
        <f t="shared" si="0"/>
        <v/>
      </c>
      <c r="P28" s="553" t="b">
        <f t="shared" si="1"/>
        <v>1</v>
      </c>
      <c r="Q28" s="553">
        <f t="shared" si="2"/>
        <v>0</v>
      </c>
      <c r="R28" s="211" t="b">
        <f t="shared" si="3"/>
        <v>1</v>
      </c>
      <c r="S28" s="211" t="b">
        <f t="shared" si="4"/>
        <v>1</v>
      </c>
      <c r="T28" s="211" t="b">
        <f t="shared" si="5"/>
        <v>1</v>
      </c>
      <c r="U28" s="211" t="b">
        <f t="shared" si="6"/>
        <v>1</v>
      </c>
      <c r="V28" s="211" t="b">
        <f t="shared" si="7"/>
        <v>1</v>
      </c>
      <c r="W28" s="211" t="b">
        <f t="shared" si="8"/>
        <v>1</v>
      </c>
      <c r="X28" s="211">
        <f t="shared" si="9"/>
        <v>0</v>
      </c>
    </row>
    <row r="29" spans="2:24" s="211" customFormat="1" ht="15" customHeight="1" thickBot="1" x14ac:dyDescent="0.25">
      <c r="D29" s="219"/>
      <c r="E29" s="219"/>
      <c r="F29" s="219" t="s">
        <v>981</v>
      </c>
      <c r="G29" s="219"/>
      <c r="H29" s="225">
        <f>SUM(H12:H28)</f>
        <v>0</v>
      </c>
      <c r="O29" s="57"/>
      <c r="P29" s="553">
        <f>COUNTIF(P12:P28,FALSE)</f>
        <v>0</v>
      </c>
      <c r="W29" s="553">
        <f>COUNTIF(W12:W28,FALSE)</f>
        <v>0</v>
      </c>
    </row>
    <row r="30" spans="2:24" s="211" customFormat="1" ht="15" customHeight="1" thickTop="1" x14ac:dyDescent="0.2">
      <c r="D30" s="219"/>
      <c r="E30" s="219"/>
      <c r="F30" s="219" t="s">
        <v>4914</v>
      </c>
      <c r="G30" s="219"/>
      <c r="M30" s="219"/>
      <c r="N30" s="219"/>
      <c r="O30" s="57"/>
    </row>
    <row r="31" spans="2:24" ht="15" customHeight="1" x14ac:dyDescent="0.25">
      <c r="O31" s="57"/>
    </row>
    <row r="32" spans="2:24" ht="15" customHeight="1" x14ac:dyDescent="0.25">
      <c r="O32" s="57"/>
    </row>
    <row r="33" spans="1:15" ht="15" customHeight="1" x14ac:dyDescent="0.25">
      <c r="O33" s="57"/>
    </row>
    <row r="34" spans="1:15" ht="15" customHeight="1" x14ac:dyDescent="0.25">
      <c r="A34" s="443" t="str">
        <f ca="1">MID(CELL("filename",A1),FIND("]",CELL("filename",A1))+1,256)</f>
        <v>565</v>
      </c>
      <c r="B34" s="443" t="s">
        <v>449</v>
      </c>
      <c r="O34" s="57"/>
    </row>
    <row r="35" spans="1:15" x14ac:dyDescent="0.25">
      <c r="A35" s="443" t="s">
        <v>446</v>
      </c>
      <c r="B35" s="443" t="str">
        <f t="shared" ref="B35:B44" ca="1" si="10">IF(ISNA(INDEX(ErrorTable,MATCH($A$34&amp;$A35&amp;FALSE,ErrorKey,0),6)),"",INDEX(ErrorTable,MATCH($A$34&amp;$A35&amp;FALSE,ErrorKey,0),6))</f>
        <v/>
      </c>
    </row>
    <row r="36" spans="1:15" x14ac:dyDescent="0.25">
      <c r="A36" s="443" t="s">
        <v>447</v>
      </c>
      <c r="B36" s="443" t="str">
        <f t="shared" ca="1" si="10"/>
        <v/>
      </c>
    </row>
    <row r="37" spans="1:15" x14ac:dyDescent="0.25">
      <c r="A37" s="443" t="s">
        <v>448</v>
      </c>
      <c r="B37" s="443" t="str">
        <f t="shared" ca="1" si="10"/>
        <v/>
      </c>
    </row>
    <row r="38" spans="1:15" x14ac:dyDescent="0.25">
      <c r="A38" s="443" t="s">
        <v>450</v>
      </c>
      <c r="B38" s="443" t="str">
        <f t="shared" ca="1" si="10"/>
        <v/>
      </c>
    </row>
    <row r="39" spans="1:15" x14ac:dyDescent="0.25">
      <c r="A39" s="443" t="s">
        <v>451</v>
      </c>
      <c r="B39" s="443" t="str">
        <f t="shared" ca="1" si="10"/>
        <v/>
      </c>
    </row>
    <row r="40" spans="1:15" x14ac:dyDescent="0.25">
      <c r="A40" s="443" t="s">
        <v>452</v>
      </c>
      <c r="B40" s="443" t="str">
        <f t="shared" ca="1" si="10"/>
        <v/>
      </c>
    </row>
    <row r="41" spans="1:15" x14ac:dyDescent="0.25">
      <c r="A41" s="443" t="s">
        <v>453</v>
      </c>
      <c r="B41" s="443" t="str">
        <f t="shared" ca="1" si="10"/>
        <v/>
      </c>
    </row>
    <row r="42" spans="1:15" x14ac:dyDescent="0.25">
      <c r="A42" s="443" t="s">
        <v>454</v>
      </c>
      <c r="B42" s="443" t="str">
        <f t="shared" ca="1" si="10"/>
        <v/>
      </c>
    </row>
    <row r="43" spans="1:15" x14ac:dyDescent="0.25">
      <c r="A43" s="443" t="s">
        <v>455</v>
      </c>
      <c r="B43" s="443" t="str">
        <f t="shared" ca="1" si="10"/>
        <v/>
      </c>
    </row>
    <row r="44" spans="1:15" x14ac:dyDescent="0.25">
      <c r="A44" s="443" t="s">
        <v>456</v>
      </c>
      <c r="B44" s="443" t="str">
        <f t="shared" ca="1" si="10"/>
        <v/>
      </c>
    </row>
    <row r="46" spans="1:15" x14ac:dyDescent="0.25">
      <c r="O46" s="58"/>
    </row>
    <row r="56" spans="15:15" x14ac:dyDescent="0.25">
      <c r="O56" s="58"/>
    </row>
  </sheetData>
  <sheetProtection algorithmName="SHA-512" hashValue="qqYoJy2seiY+FsLeq2fz7BJGdQg416x/ZCak9M5914pwFXKLquZf2UBan39IwDymiKxYOudNkgn4LGXLLJVfew==" saltValue="J611bfSMN5O1+YAmkMPBmw==" spinCount="100000" sheet="1" objects="1" scenarios="1" autoFilter="0"/>
  <dataConsolidate link="1"/>
  <customSheetViews>
    <customSheetView guid="{B08879A4-635B-4C39-9937-AC7883D562FC}" showGridLines="0" fitToPage="1" hiddenColumns="1" topLeftCell="B1">
      <selection activeCell="B12" sqref="B12"/>
      <pageMargins left="0.5" right="0.5" top="0.75" bottom="0.5" header="0.5" footer="0.5"/>
      <printOptions horizontalCentered="1"/>
      <pageSetup orientation="landscape" blackAndWhite="1" r:id="rId1"/>
      <headerFooter alignWithMargins="0">
        <oddFooter>&amp;R&amp;A</oddFooter>
      </headerFooter>
    </customSheetView>
    <customSheetView guid="{1250FD07-FF56-4A9D-AF9E-C27124A7EBE9}" showGridLines="0" fitToPage="1" showRuler="0">
      <selection sqref="A1:M1"/>
      <pageMargins left="0.5" right="0.5" top="0.75" bottom="0.5" header="0.5" footer="0.5"/>
      <printOptions horizontalCentered="1"/>
      <pageSetup orientation="landscape" blackAndWhite="1" horizontalDpi="300" verticalDpi="300" r:id="rId2"/>
      <headerFooter alignWithMargins="0">
        <oddFooter>&amp;R&amp;A</oddFooter>
      </headerFooter>
    </customSheetView>
    <customSheetView guid="{BEA4BE86-04D1-4C96-9358-7A260B9D2B2D}" showGridLines="0" fitToPage="1" showRuler="0">
      <selection sqref="A1:M1"/>
      <pageMargins left="0.5" right="0.5" top="0.75" bottom="0.5" header="0.5" footer="0.5"/>
      <printOptions horizontalCentered="1"/>
      <pageSetup orientation="landscape" blackAndWhite="1" horizontalDpi="300" verticalDpi="300" r:id="rId3"/>
      <headerFooter alignWithMargins="0">
        <oddFooter>&amp;R&amp;A</oddFooter>
      </headerFooter>
    </customSheetView>
    <customSheetView guid="{9FCFC836-1CA5-48BF-958D-24D2EA94B219}" showGridLines="0" fitToPage="1" hiddenColumns="1" topLeftCell="B1">
      <selection activeCell="B12" sqref="B12"/>
      <pageMargins left="0.5" right="0.5" top="0.75" bottom="0.5" header="0.5" footer="0.5"/>
      <printOptions horizontalCentered="1"/>
      <pageSetup orientation="landscape" blackAndWhite="1" r:id="rId4"/>
      <headerFooter alignWithMargins="0">
        <oddFooter>&amp;R&amp;A</oddFooter>
      </headerFooter>
    </customSheetView>
  </customSheetViews>
  <mergeCells count="7">
    <mergeCell ref="O1:O3"/>
    <mergeCell ref="I5:N5"/>
    <mergeCell ref="D6:F6"/>
    <mergeCell ref="B1:N1"/>
    <mergeCell ref="B2:N2"/>
    <mergeCell ref="B3:N3"/>
    <mergeCell ref="I6:N6"/>
  </mergeCells>
  <phoneticPr fontId="15" type="noConversion"/>
  <conditionalFormatting sqref="O1:O3">
    <cfRule type="cellIs" dxfId="51" priority="1" stopIfTrue="1" operator="equal">
      <formula>"na"</formula>
    </cfRule>
  </conditionalFormatting>
  <hyperlinks>
    <hyperlink ref="B1:N1" location="Index!A1" display="Index!A1" xr:uid="{00000000-0004-0000-3300-000000000000}"/>
  </hyperlinks>
  <printOptions horizontalCentered="1"/>
  <pageMargins left="0.5" right="0.5" top="0.75" bottom="0.5" header="0.5" footer="0.5"/>
  <pageSetup orientation="landscape" blackAndWhite="1" r:id="rId5"/>
  <headerFooter alignWithMargins="0">
    <oddFooter>&amp;R&amp;A</oddFooter>
  </headerFooter>
  <ignoredErrors>
    <ignoredError sqref="I5:I6"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P98"/>
  <sheetViews>
    <sheetView showGridLines="0" zoomScaleNormal="100" workbookViewId="0">
      <selection sqref="A1:J1"/>
    </sheetView>
  </sheetViews>
  <sheetFormatPr defaultRowHeight="12.75" x14ac:dyDescent="0.2"/>
  <cols>
    <col min="1" max="1" width="2" customWidth="1"/>
    <col min="2" max="2" width="1.42578125" customWidth="1"/>
    <col min="3" max="3" width="36.5703125" customWidth="1"/>
    <col min="4" max="4" width="10.5703125" customWidth="1"/>
    <col min="5" max="5" width="1.5703125" customWidth="1"/>
    <col min="6" max="6" width="1.42578125" customWidth="1"/>
    <col min="7" max="7" width="1.5703125" customWidth="1"/>
    <col min="8" max="8" width="1.42578125" customWidth="1"/>
    <col min="9" max="9" width="45.42578125" customWidth="1"/>
    <col min="10" max="10" width="10.5703125" customWidth="1"/>
    <col min="11" max="11" width="4.5703125" customWidth="1"/>
    <col min="12" max="12" width="1.5703125" customWidth="1"/>
    <col min="15" max="15" width="47" bestFit="1" customWidth="1"/>
  </cols>
  <sheetData>
    <row r="1" spans="1:16" s="90" customFormat="1" ht="15" customHeight="1" x14ac:dyDescent="0.25">
      <c r="B1" s="2449" t="str">
        <f>+Index!$A$1</f>
        <v xml:space="preserve">                                                               Office of the State Controller                                                                </v>
      </c>
      <c r="C1" s="2449"/>
      <c r="D1" s="2449"/>
      <c r="E1" s="2449"/>
      <c r="F1" s="2449"/>
      <c r="G1" s="2449"/>
      <c r="H1" s="2449"/>
      <c r="I1" s="2449"/>
      <c r="J1" s="2449"/>
      <c r="K1" s="2450" t="str">
        <f>IF(Index!$B$18="na","NA","")</f>
        <v/>
      </c>
      <c r="L1" s="91"/>
    </row>
    <row r="2" spans="1:16" s="90" customFormat="1" ht="15" customHeight="1" x14ac:dyDescent="0.25">
      <c r="B2" s="2451" t="str">
        <f>+Index!$A$2</f>
        <v>2022 ACFR Worksheets</v>
      </c>
      <c r="C2" s="2451"/>
      <c r="D2" s="2451"/>
      <c r="E2" s="2451"/>
      <c r="F2" s="2451"/>
      <c r="G2" s="2451"/>
      <c r="H2" s="2451"/>
      <c r="I2" s="2451"/>
      <c r="J2" s="2451"/>
      <c r="K2" s="2450"/>
      <c r="L2" s="91"/>
    </row>
    <row r="3" spans="1:16" s="90" customFormat="1" ht="15" customHeight="1" x14ac:dyDescent="0.25">
      <c r="B3" s="2451" t="s">
        <v>3551</v>
      </c>
      <c r="C3" s="2451"/>
      <c r="D3" s="2451"/>
      <c r="E3" s="2451"/>
      <c r="F3" s="2451"/>
      <c r="G3" s="2451"/>
      <c r="H3" s="2451"/>
      <c r="I3" s="2451"/>
      <c r="J3" s="2451"/>
      <c r="K3" s="2450"/>
      <c r="L3" s="91"/>
    </row>
    <row r="4" spans="1:16" s="90" customFormat="1" ht="15" customHeight="1" x14ac:dyDescent="0.25">
      <c r="B4" s="547"/>
      <c r="C4" s="547"/>
      <c r="D4" s="547"/>
      <c r="E4" s="547"/>
      <c r="F4" s="547"/>
      <c r="G4" s="547"/>
      <c r="H4" s="547"/>
      <c r="I4" s="547"/>
      <c r="J4" s="547"/>
      <c r="K4" s="546"/>
      <c r="L4" s="91"/>
    </row>
    <row r="5" spans="1:16" s="124" customFormat="1" ht="15" customHeight="1" x14ac:dyDescent="0.2">
      <c r="A5" s="256"/>
      <c r="B5" s="125"/>
      <c r="C5" s="257"/>
      <c r="D5" s="125"/>
      <c r="E5" s="123"/>
      <c r="F5" s="122"/>
      <c r="G5" s="123" t="s">
        <v>327</v>
      </c>
      <c r="H5" s="126"/>
      <c r="I5" s="39" t="str">
        <f>AgyIdx</f>
        <v>01</v>
      </c>
      <c r="J5" s="127"/>
      <c r="K5" s="127"/>
      <c r="L5" s="126"/>
    </row>
    <row r="6" spans="1:16" s="124" customFormat="1" ht="15" customHeight="1" x14ac:dyDescent="0.2">
      <c r="A6" s="122"/>
      <c r="B6" s="122"/>
      <c r="C6" s="122"/>
      <c r="D6" s="122"/>
      <c r="E6" s="123"/>
      <c r="F6" s="122"/>
      <c r="G6" s="123" t="s">
        <v>1154</v>
      </c>
      <c r="H6" s="128"/>
      <c r="I6" s="39" t="str">
        <f>AgyName</f>
        <v>North Carolina General Assembly</v>
      </c>
      <c r="J6" s="128"/>
    </row>
    <row r="7" spans="1:16" s="124" customFormat="1" ht="15" customHeight="1" x14ac:dyDescent="0.2">
      <c r="A7" s="122"/>
      <c r="B7" s="122"/>
      <c r="C7" s="257"/>
      <c r="D7" s="122"/>
      <c r="E7" s="123"/>
      <c r="F7" s="122"/>
      <c r="G7" s="123" t="s">
        <v>972</v>
      </c>
      <c r="H7" s="128"/>
      <c r="I7" s="771" t="str">
        <f>CONCATENATE(Index!$E$12," ",Index!$E$14)</f>
        <v xml:space="preserve"> </v>
      </c>
      <c r="J7" s="128"/>
    </row>
    <row r="8" spans="1:16" s="124" customFormat="1" ht="15" customHeight="1" x14ac:dyDescent="0.2">
      <c r="A8" s="122"/>
      <c r="B8" s="122"/>
      <c r="C8" s="257"/>
      <c r="D8" s="122"/>
      <c r="E8" s="123"/>
      <c r="F8" s="122"/>
      <c r="G8" s="123" t="s">
        <v>348</v>
      </c>
      <c r="H8" s="128"/>
      <c r="I8" s="816">
        <f>+Index!$E$13</f>
        <v>0</v>
      </c>
      <c r="J8" s="770"/>
      <c r="K8" s="770"/>
      <c r="L8" s="770"/>
    </row>
    <row r="9" spans="1:16" s="124" customFormat="1" ht="12" customHeight="1" thickBot="1" x14ac:dyDescent="0.25">
      <c r="A9" s="129"/>
      <c r="B9" s="129"/>
      <c r="C9" s="129"/>
      <c r="D9" s="129"/>
      <c r="E9" s="129"/>
      <c r="F9" s="129"/>
      <c r="G9" s="129"/>
      <c r="H9" s="129"/>
      <c r="I9" s="129"/>
      <c r="J9" s="129"/>
    </row>
    <row r="10" spans="1:16" s="90" customFormat="1" ht="15" customHeight="1" x14ac:dyDescent="0.25">
      <c r="A10" s="505" t="s">
        <v>840</v>
      </c>
      <c r="B10" s="547"/>
      <c r="C10" s="547"/>
      <c r="D10" s="547"/>
      <c r="E10" s="547"/>
      <c r="F10" s="547"/>
      <c r="G10" s="547"/>
      <c r="H10" s="547"/>
      <c r="I10" s="547"/>
      <c r="J10" s="547"/>
      <c r="K10" s="546"/>
      <c r="L10" s="91"/>
      <c r="M10" s="745"/>
    </row>
    <row r="11" spans="1:16" s="90" customFormat="1" ht="15" customHeight="1" x14ac:dyDescent="0.25">
      <c r="A11" s="504" t="s">
        <v>793</v>
      </c>
      <c r="B11" s="547"/>
      <c r="C11" s="547"/>
      <c r="D11" s="547"/>
      <c r="E11" s="547"/>
      <c r="F11" s="547"/>
      <c r="G11" s="547"/>
      <c r="H11" s="547"/>
      <c r="I11" s="547"/>
      <c r="J11" s="547"/>
      <c r="K11" s="546"/>
      <c r="L11" s="91"/>
      <c r="M11"/>
    </row>
    <row r="12" spans="1:16" s="90" customFormat="1" ht="15" customHeight="1" x14ac:dyDescent="0.25">
      <c r="A12" s="1349" t="s">
        <v>3939</v>
      </c>
      <c r="B12" s="547"/>
      <c r="C12" s="547"/>
      <c r="D12" s="547"/>
      <c r="E12" s="547"/>
      <c r="F12" s="547"/>
      <c r="G12" s="547"/>
      <c r="H12" s="547"/>
      <c r="I12" s="547"/>
      <c r="J12" s="547"/>
      <c r="K12" s="546"/>
      <c r="L12" s="91"/>
      <c r="M12"/>
    </row>
    <row r="13" spans="1:16" x14ac:dyDescent="0.2">
      <c r="A13" s="44"/>
      <c r="B13" s="44"/>
      <c r="C13" s="44"/>
      <c r="D13" s="259"/>
      <c r="E13" s="44"/>
      <c r="F13" s="44"/>
      <c r="G13" s="44"/>
      <c r="H13" s="44"/>
      <c r="I13" s="44"/>
      <c r="J13" s="44"/>
      <c r="M13" s="745"/>
    </row>
    <row r="14" spans="1:16" x14ac:dyDescent="0.2">
      <c r="A14" s="363" t="s">
        <v>128</v>
      </c>
      <c r="B14" s="44"/>
      <c r="C14" s="44"/>
      <c r="D14" s="44"/>
      <c r="E14" s="44"/>
      <c r="F14" s="363" t="s">
        <v>1131</v>
      </c>
      <c r="G14" s="44"/>
      <c r="H14" s="44"/>
      <c r="I14" s="44"/>
      <c r="J14" s="44"/>
      <c r="M14" s="745"/>
    </row>
    <row r="15" spans="1:16" x14ac:dyDescent="0.2">
      <c r="A15" s="44"/>
      <c r="B15" s="338" t="s">
        <v>434</v>
      </c>
      <c r="C15" s="44"/>
      <c r="D15" s="44"/>
      <c r="E15" s="44"/>
      <c r="F15" s="44"/>
      <c r="G15" s="395" t="s">
        <v>4035</v>
      </c>
      <c r="H15" s="44"/>
      <c r="I15" s="44"/>
      <c r="J15" s="44"/>
      <c r="M15" s="745"/>
    </row>
    <row r="16" spans="1:16" x14ac:dyDescent="0.2">
      <c r="A16" s="44"/>
      <c r="B16" s="338"/>
      <c r="C16" s="44" t="s">
        <v>16</v>
      </c>
      <c r="D16" s="670"/>
      <c r="E16" s="44"/>
      <c r="F16" s="44"/>
      <c r="G16" s="338"/>
      <c r="H16" s="44" t="s">
        <v>281</v>
      </c>
      <c r="I16" s="44"/>
      <c r="J16" s="670"/>
      <c r="M16" s="745"/>
      <c r="O16" s="2131" t="s">
        <v>16</v>
      </c>
      <c r="P16" s="2131" t="s">
        <v>5556</v>
      </c>
    </row>
    <row r="17" spans="1:16" x14ac:dyDescent="0.2">
      <c r="A17" s="44"/>
      <c r="B17" s="44"/>
      <c r="C17" s="44" t="s">
        <v>160</v>
      </c>
      <c r="D17" s="670"/>
      <c r="E17" s="44"/>
      <c r="F17" s="44"/>
      <c r="G17" s="338"/>
      <c r="H17" s="44" t="s">
        <v>282</v>
      </c>
      <c r="I17" s="44"/>
      <c r="J17" s="671"/>
      <c r="M17" s="745"/>
      <c r="O17" s="2131" t="s">
        <v>160</v>
      </c>
      <c r="P17" s="2131" t="s">
        <v>282</v>
      </c>
    </row>
    <row r="18" spans="1:16" x14ac:dyDescent="0.2">
      <c r="A18" s="44"/>
      <c r="B18" s="44"/>
      <c r="C18" s="44" t="s">
        <v>17</v>
      </c>
      <c r="D18" s="670"/>
      <c r="E18" s="44"/>
      <c r="F18" s="44"/>
      <c r="G18" s="44"/>
      <c r="H18" s="44"/>
      <c r="I18" s="44"/>
      <c r="J18" s="44"/>
      <c r="M18" s="745"/>
      <c r="O18" s="2131" t="s">
        <v>17</v>
      </c>
      <c r="P18" s="2131"/>
    </row>
    <row r="19" spans="1:16" x14ac:dyDescent="0.2">
      <c r="A19" s="44"/>
      <c r="B19" s="44"/>
      <c r="C19" s="44" t="s">
        <v>1009</v>
      </c>
      <c r="D19" s="670"/>
      <c r="E19" s="44"/>
      <c r="F19" s="363" t="s">
        <v>163</v>
      </c>
      <c r="G19" s="44"/>
      <c r="H19" s="44"/>
      <c r="I19" s="44"/>
      <c r="J19" s="44"/>
      <c r="M19" s="745"/>
      <c r="O19" s="2131" t="s">
        <v>1009</v>
      </c>
      <c r="P19" s="2131"/>
    </row>
    <row r="20" spans="1:16" x14ac:dyDescent="0.2">
      <c r="A20" s="44"/>
      <c r="B20" s="44"/>
      <c r="C20" s="44" t="s">
        <v>1010</v>
      </c>
      <c r="D20" s="670"/>
      <c r="E20" s="44"/>
      <c r="F20" s="363"/>
      <c r="G20" s="395" t="s">
        <v>4044</v>
      </c>
      <c r="H20" s="44"/>
      <c r="I20" s="44"/>
      <c r="J20" s="44"/>
      <c r="M20" s="745"/>
      <c r="O20" s="2131" t="s">
        <v>1010</v>
      </c>
      <c r="P20" s="2131"/>
    </row>
    <row r="21" spans="1:16" x14ac:dyDescent="0.2">
      <c r="A21" s="44"/>
      <c r="B21" s="44"/>
      <c r="C21" s="44" t="s">
        <v>1011</v>
      </c>
      <c r="D21" s="670"/>
      <c r="E21" s="565"/>
      <c r="F21" s="44"/>
      <c r="G21" s="44"/>
      <c r="H21" s="44" t="s">
        <v>166</v>
      </c>
      <c r="I21" s="44"/>
      <c r="J21" s="728"/>
      <c r="M21" s="745"/>
      <c r="O21" s="2131" t="s">
        <v>1011</v>
      </c>
      <c r="P21" s="2131" t="s">
        <v>166</v>
      </c>
    </row>
    <row r="22" spans="1:16" x14ac:dyDescent="0.2">
      <c r="A22" s="44"/>
      <c r="B22" s="44"/>
      <c r="C22" s="44"/>
      <c r="D22" s="44"/>
      <c r="E22" s="44"/>
      <c r="M22" s="745"/>
      <c r="O22" s="2131"/>
      <c r="P22" s="2131"/>
    </row>
    <row r="23" spans="1:16" x14ac:dyDescent="0.2">
      <c r="A23" s="44"/>
      <c r="B23" s="338" t="s">
        <v>279</v>
      </c>
      <c r="C23" s="44"/>
      <c r="D23" s="44"/>
      <c r="E23" s="44"/>
      <c r="G23" s="395" t="s">
        <v>4045</v>
      </c>
      <c r="M23" s="745"/>
      <c r="O23" s="2131"/>
      <c r="P23" s="2131"/>
    </row>
    <row r="24" spans="1:16" x14ac:dyDescent="0.2">
      <c r="A24" s="44"/>
      <c r="B24" s="44"/>
      <c r="C24" s="44" t="s">
        <v>280</v>
      </c>
      <c r="D24" s="618"/>
      <c r="E24" s="565"/>
      <c r="H24" s="335" t="s">
        <v>3846</v>
      </c>
      <c r="I24" s="44"/>
      <c r="J24" s="670"/>
      <c r="M24" s="745"/>
      <c r="O24" s="2131" t="s">
        <v>280</v>
      </c>
      <c r="P24" s="2131" t="s">
        <v>3846</v>
      </c>
    </row>
    <row r="25" spans="1:16" x14ac:dyDescent="0.2">
      <c r="A25" s="44"/>
      <c r="B25" s="44"/>
      <c r="C25" s="44" t="s">
        <v>191</v>
      </c>
      <c r="D25" s="670"/>
      <c r="E25" s="44"/>
      <c r="F25" s="44"/>
      <c r="G25" s="44"/>
      <c r="H25" s="335" t="s">
        <v>164</v>
      </c>
      <c r="I25" s="44"/>
      <c r="J25" s="670"/>
      <c r="M25" s="745"/>
      <c r="O25" s="2131" t="s">
        <v>5557</v>
      </c>
      <c r="P25" s="2131" t="s">
        <v>164</v>
      </c>
    </row>
    <row r="26" spans="1:16" x14ac:dyDescent="0.2">
      <c r="A26" s="44"/>
      <c r="B26" s="44"/>
      <c r="C26" s="44"/>
      <c r="D26" s="44"/>
      <c r="E26" s="44"/>
      <c r="H26" s="335" t="s">
        <v>3847</v>
      </c>
      <c r="I26" s="44"/>
      <c r="J26" s="670"/>
      <c r="M26" s="745"/>
      <c r="O26" s="2131"/>
      <c r="P26" s="2131" t="s">
        <v>3847</v>
      </c>
    </row>
    <row r="27" spans="1:16" x14ac:dyDescent="0.2">
      <c r="A27" s="44"/>
      <c r="B27" s="395" t="s">
        <v>4676</v>
      </c>
      <c r="C27" s="44"/>
      <c r="D27" s="44"/>
      <c r="E27" s="44"/>
      <c r="F27" s="44"/>
      <c r="G27" s="44"/>
      <c r="H27" s="44" t="s">
        <v>107</v>
      </c>
      <c r="I27" s="44"/>
      <c r="J27" s="670"/>
      <c r="M27" s="745"/>
      <c r="O27" s="2131"/>
      <c r="P27" s="2131" t="s">
        <v>107</v>
      </c>
    </row>
    <row r="28" spans="1:16" x14ac:dyDescent="0.2">
      <c r="A28" s="44"/>
      <c r="B28" s="44"/>
      <c r="C28" s="335" t="s">
        <v>4677</v>
      </c>
      <c r="D28" s="670"/>
      <c r="E28" s="44"/>
      <c r="F28" s="44"/>
      <c r="G28" s="44"/>
      <c r="H28" s="44"/>
      <c r="I28" s="44"/>
      <c r="J28" s="44"/>
      <c r="M28" s="745"/>
      <c r="O28" s="2131" t="s">
        <v>4677</v>
      </c>
      <c r="P28" s="2131"/>
    </row>
    <row r="29" spans="1:16" x14ac:dyDescent="0.2">
      <c r="A29" s="44"/>
      <c r="B29" s="44"/>
      <c r="C29" s="335"/>
      <c r="D29" s="44"/>
      <c r="E29" s="44"/>
      <c r="F29" s="44"/>
      <c r="G29" s="338" t="s">
        <v>1017</v>
      </c>
      <c r="H29" s="44"/>
      <c r="I29" s="44"/>
      <c r="J29" s="44"/>
      <c r="M29" s="745"/>
      <c r="O29" s="2131"/>
      <c r="P29" s="2131"/>
    </row>
    <row r="30" spans="1:16" x14ac:dyDescent="0.2">
      <c r="A30" s="363" t="s">
        <v>165</v>
      </c>
      <c r="B30" s="44"/>
      <c r="C30" s="44"/>
      <c r="D30" s="44"/>
      <c r="E30" s="44"/>
      <c r="F30" s="44"/>
      <c r="G30" s="338"/>
      <c r="H30" s="44" t="s">
        <v>109</v>
      </c>
      <c r="I30" s="44"/>
      <c r="J30" s="670"/>
      <c r="M30" s="745"/>
      <c r="O30" s="2131"/>
      <c r="P30" s="2131" t="s">
        <v>109</v>
      </c>
    </row>
    <row r="31" spans="1:16" x14ac:dyDescent="0.2">
      <c r="A31" s="44"/>
      <c r="B31" s="338" t="s">
        <v>551</v>
      </c>
      <c r="C31" s="44"/>
      <c r="D31" s="44"/>
      <c r="E31" s="565"/>
      <c r="F31" s="44"/>
      <c r="G31" s="338"/>
      <c r="H31" s="44" t="s">
        <v>111</v>
      </c>
      <c r="I31" s="44"/>
      <c r="J31" s="670"/>
      <c r="M31" s="745"/>
      <c r="O31" s="2131"/>
      <c r="P31" s="2131" t="s">
        <v>111</v>
      </c>
    </row>
    <row r="32" spans="1:16" x14ac:dyDescent="0.2">
      <c r="A32" s="44"/>
      <c r="B32" s="44"/>
      <c r="C32" s="44" t="s">
        <v>105</v>
      </c>
      <c r="D32" s="670"/>
      <c r="E32" s="44"/>
      <c r="F32" s="44"/>
      <c r="G32" s="338"/>
      <c r="H32" s="335" t="s">
        <v>3820</v>
      </c>
      <c r="I32" s="44"/>
      <c r="J32" s="670"/>
      <c r="M32" s="745"/>
      <c r="O32" s="2131" t="s">
        <v>5558</v>
      </c>
      <c r="P32" s="2131" t="s">
        <v>5559</v>
      </c>
    </row>
    <row r="33" spans="1:16" x14ac:dyDescent="0.2">
      <c r="A33" s="44"/>
      <c r="B33" s="44"/>
      <c r="C33" s="44" t="s">
        <v>104</v>
      </c>
      <c r="D33" s="670"/>
      <c r="E33" s="44"/>
      <c r="F33" s="44"/>
      <c r="G33" s="338"/>
      <c r="H33" s="44" t="s">
        <v>112</v>
      </c>
      <c r="I33" s="44"/>
      <c r="J33" s="670"/>
      <c r="M33" s="745"/>
      <c r="O33" s="2131" t="s">
        <v>104</v>
      </c>
      <c r="P33" s="2131" t="s">
        <v>112</v>
      </c>
    </row>
    <row r="34" spans="1:16" x14ac:dyDescent="0.2">
      <c r="A34" s="44"/>
      <c r="B34" s="44"/>
      <c r="C34" s="44" t="s">
        <v>108</v>
      </c>
      <c r="D34" s="671"/>
      <c r="E34" s="44"/>
      <c r="F34" s="44"/>
      <c r="G34" s="44"/>
      <c r="H34" s="44"/>
      <c r="I34" s="44"/>
      <c r="J34" s="44"/>
      <c r="M34" s="747"/>
      <c r="O34" s="2131" t="s">
        <v>108</v>
      </c>
      <c r="P34" s="2131"/>
    </row>
    <row r="35" spans="1:16" x14ac:dyDescent="0.2">
      <c r="A35" s="44"/>
      <c r="B35" s="44"/>
      <c r="C35" s="44"/>
      <c r="D35" s="667"/>
      <c r="E35" s="44"/>
      <c r="F35" s="363" t="s">
        <v>106</v>
      </c>
      <c r="G35" s="44"/>
      <c r="H35" s="44"/>
      <c r="I35" s="44"/>
      <c r="J35" s="44"/>
      <c r="M35" s="745"/>
      <c r="O35" s="2131"/>
      <c r="P35" s="2131"/>
    </row>
    <row r="36" spans="1:16" x14ac:dyDescent="0.2">
      <c r="A36" s="363" t="s">
        <v>110</v>
      </c>
      <c r="B36" s="44"/>
      <c r="C36" s="44"/>
      <c r="D36" s="44"/>
      <c r="E36" s="565"/>
      <c r="F36" s="44"/>
      <c r="G36" s="395" t="s">
        <v>1841</v>
      </c>
      <c r="H36" s="44"/>
      <c r="I36" s="44"/>
      <c r="J36" s="44"/>
      <c r="M36" s="745"/>
      <c r="O36" s="2131"/>
      <c r="P36" s="2131"/>
    </row>
    <row r="37" spans="1:16" x14ac:dyDescent="0.2">
      <c r="A37" s="44"/>
      <c r="B37" s="338" t="s">
        <v>47</v>
      </c>
      <c r="C37" s="44"/>
      <c r="D37" s="44"/>
      <c r="E37" s="565"/>
      <c r="F37" s="44"/>
      <c r="G37" s="44"/>
      <c r="H37" s="335" t="s">
        <v>1842</v>
      </c>
      <c r="I37" s="44"/>
      <c r="J37" s="670"/>
      <c r="M37" s="745"/>
      <c r="O37" s="2131"/>
      <c r="P37" s="2131" t="s">
        <v>1842</v>
      </c>
    </row>
    <row r="38" spans="1:16" x14ac:dyDescent="0.2">
      <c r="A38" s="44"/>
      <c r="B38" s="44"/>
      <c r="C38" s="44" t="s">
        <v>113</v>
      </c>
      <c r="D38" s="670"/>
      <c r="E38" s="44"/>
      <c r="F38" s="44"/>
      <c r="G38" s="44"/>
      <c r="H38" s="335" t="s">
        <v>1844</v>
      </c>
      <c r="I38" s="44"/>
      <c r="J38" s="670"/>
      <c r="M38" s="745"/>
      <c r="O38" s="2131" t="s">
        <v>5560</v>
      </c>
      <c r="P38" s="2131" t="s">
        <v>1844</v>
      </c>
    </row>
    <row r="39" spans="1:16" x14ac:dyDescent="0.2">
      <c r="A39" s="44"/>
      <c r="B39" s="44"/>
      <c r="C39" s="44" t="s">
        <v>114</v>
      </c>
      <c r="D39" s="670"/>
      <c r="E39" s="44"/>
      <c r="F39" s="44"/>
      <c r="G39" s="44"/>
      <c r="H39" s="335" t="s">
        <v>3510</v>
      </c>
      <c r="I39" s="44"/>
      <c r="J39" s="1266"/>
      <c r="M39" s="745"/>
      <c r="O39" s="2131" t="s">
        <v>5561</v>
      </c>
      <c r="P39" s="2131" t="s">
        <v>3510</v>
      </c>
    </row>
    <row r="40" spans="1:16" x14ac:dyDescent="0.2">
      <c r="A40" s="44"/>
      <c r="B40" s="44"/>
      <c r="C40" s="44"/>
      <c r="D40" s="44"/>
      <c r="E40" s="565"/>
      <c r="F40" s="44"/>
      <c r="M40" s="745"/>
      <c r="O40" s="2131"/>
      <c r="P40" s="2131"/>
    </row>
    <row r="41" spans="1:16" x14ac:dyDescent="0.2">
      <c r="A41" s="44"/>
      <c r="B41" s="395" t="s">
        <v>4475</v>
      </c>
      <c r="C41" s="44"/>
      <c r="D41" s="44"/>
      <c r="E41" s="565"/>
      <c r="F41" s="44"/>
      <c r="G41" s="395" t="s">
        <v>1178</v>
      </c>
      <c r="H41" s="44"/>
      <c r="I41" s="44"/>
      <c r="J41" s="672"/>
      <c r="M41" s="745"/>
      <c r="O41" s="2131"/>
      <c r="P41" s="2131"/>
    </row>
    <row r="42" spans="1:16" x14ac:dyDescent="0.2">
      <c r="A42" s="44"/>
      <c r="B42" s="338"/>
      <c r="C42" s="44" t="s">
        <v>1</v>
      </c>
      <c r="D42" s="670"/>
      <c r="E42" s="44"/>
      <c r="F42" s="44"/>
      <c r="G42" s="44"/>
      <c r="H42" s="44" t="s">
        <v>3</v>
      </c>
      <c r="I42" s="44"/>
      <c r="J42" s="1267"/>
      <c r="M42" s="745"/>
      <c r="O42" s="2131" t="s">
        <v>5562</v>
      </c>
      <c r="P42" s="2131" t="s">
        <v>5563</v>
      </c>
    </row>
    <row r="43" spans="1:16" x14ac:dyDescent="0.2">
      <c r="A43" s="44"/>
      <c r="B43" s="44"/>
      <c r="C43" s="44" t="s">
        <v>114</v>
      </c>
      <c r="D43" s="670"/>
      <c r="E43" s="44"/>
      <c r="F43" s="44"/>
      <c r="G43" s="44"/>
      <c r="H43" s="44" t="s">
        <v>728</v>
      </c>
      <c r="I43" s="44"/>
      <c r="J43" s="671"/>
      <c r="M43" s="745"/>
      <c r="O43" s="2131" t="s">
        <v>5564</v>
      </c>
      <c r="P43" s="2131" t="s">
        <v>5565</v>
      </c>
    </row>
    <row r="44" spans="1:16" x14ac:dyDescent="0.2">
      <c r="A44" s="44"/>
      <c r="B44" s="44"/>
      <c r="C44" s="44"/>
      <c r="D44" s="565"/>
      <c r="E44" s="44"/>
      <c r="G44" s="44"/>
      <c r="H44" s="44"/>
      <c r="I44" s="44"/>
      <c r="J44" s="44"/>
      <c r="M44" s="745"/>
      <c r="O44" s="2131"/>
      <c r="P44" s="2131"/>
    </row>
    <row r="45" spans="1:16" x14ac:dyDescent="0.2">
      <c r="A45" s="363" t="s">
        <v>2</v>
      </c>
      <c r="B45" s="44"/>
      <c r="C45" s="44"/>
      <c r="D45" s="44"/>
      <c r="E45" s="565"/>
      <c r="F45" s="363" t="s">
        <v>730</v>
      </c>
      <c r="G45" s="44"/>
      <c r="H45" s="44"/>
      <c r="I45" s="44"/>
      <c r="J45" s="44"/>
      <c r="M45" s="745"/>
      <c r="O45" s="2131"/>
      <c r="P45" s="2131"/>
    </row>
    <row r="46" spans="1:16" x14ac:dyDescent="0.2">
      <c r="A46" s="44"/>
      <c r="B46" s="338" t="s">
        <v>727</v>
      </c>
      <c r="C46" s="44"/>
      <c r="D46" s="44"/>
      <c r="E46" s="44"/>
      <c r="F46" s="44"/>
      <c r="G46" s="338" t="s">
        <v>731</v>
      </c>
      <c r="H46" s="44"/>
      <c r="I46" s="44"/>
      <c r="J46" s="44"/>
      <c r="M46" s="745"/>
      <c r="O46" s="2131"/>
      <c r="P46" s="2131"/>
    </row>
    <row r="47" spans="1:16" x14ac:dyDescent="0.2">
      <c r="A47" s="44"/>
      <c r="B47" s="338"/>
      <c r="C47" s="44" t="s">
        <v>844</v>
      </c>
      <c r="D47" s="670"/>
      <c r="E47" s="565"/>
      <c r="F47" s="44"/>
      <c r="G47" s="338"/>
      <c r="H47" s="44" t="s">
        <v>825</v>
      </c>
      <c r="I47" s="44"/>
      <c r="J47" s="670"/>
      <c r="M47" s="745"/>
      <c r="O47" s="2131" t="s">
        <v>844</v>
      </c>
      <c r="P47" s="2131" t="s">
        <v>825</v>
      </c>
    </row>
    <row r="48" spans="1:16" x14ac:dyDescent="0.2">
      <c r="A48" s="44"/>
      <c r="B48" s="338"/>
      <c r="C48" s="44" t="s">
        <v>845</v>
      </c>
      <c r="D48" s="670"/>
      <c r="E48" s="44"/>
      <c r="F48" s="44"/>
      <c r="G48" s="44"/>
      <c r="H48" s="44"/>
      <c r="I48" s="335" t="s">
        <v>3511</v>
      </c>
      <c r="J48" s="671"/>
      <c r="M48" s="745"/>
      <c r="O48" s="2131" t="s">
        <v>845</v>
      </c>
      <c r="P48" s="2131" t="s">
        <v>5566</v>
      </c>
    </row>
    <row r="49" spans="1:16" x14ac:dyDescent="0.2">
      <c r="A49" s="44"/>
      <c r="B49" s="44"/>
      <c r="C49" s="44" t="s">
        <v>846</v>
      </c>
      <c r="D49" s="670"/>
      <c r="E49" s="565"/>
      <c r="F49" s="44"/>
      <c r="G49" s="44"/>
      <c r="H49" s="44" t="s">
        <v>934</v>
      </c>
      <c r="I49" s="44"/>
      <c r="J49" s="670"/>
      <c r="M49" s="745"/>
      <c r="O49" s="2131" t="s">
        <v>846</v>
      </c>
      <c r="P49" s="2131" t="s">
        <v>934</v>
      </c>
    </row>
    <row r="50" spans="1:16" x14ac:dyDescent="0.2">
      <c r="A50" s="44"/>
      <c r="B50" s="44"/>
      <c r="C50" s="44" t="s">
        <v>14</v>
      </c>
      <c r="D50" s="670"/>
      <c r="E50" s="44"/>
      <c r="G50" s="44"/>
      <c r="H50" s="44"/>
      <c r="I50" s="335" t="s">
        <v>3511</v>
      </c>
      <c r="J50" s="671"/>
      <c r="M50" s="745"/>
      <c r="O50" s="2131" t="s">
        <v>14</v>
      </c>
      <c r="P50" s="2319" t="s">
        <v>5567</v>
      </c>
    </row>
    <row r="51" spans="1:16" x14ac:dyDescent="0.2">
      <c r="A51" s="44"/>
      <c r="B51" s="44"/>
      <c r="C51" s="44" t="s">
        <v>157</v>
      </c>
      <c r="D51" s="670"/>
      <c r="E51" s="44"/>
      <c r="M51" s="745"/>
      <c r="O51" s="2131" t="s">
        <v>157</v>
      </c>
      <c r="P51" s="2131"/>
    </row>
    <row r="52" spans="1:16" x14ac:dyDescent="0.2">
      <c r="A52" s="44"/>
      <c r="B52" s="44"/>
      <c r="C52" s="335" t="s">
        <v>1911</v>
      </c>
      <c r="D52" s="670"/>
      <c r="E52" s="44"/>
      <c r="M52" s="745"/>
      <c r="O52" s="2131" t="s">
        <v>1911</v>
      </c>
      <c r="P52" s="2131"/>
    </row>
    <row r="53" spans="1:16" x14ac:dyDescent="0.2">
      <c r="A53" s="44"/>
      <c r="B53" s="44"/>
      <c r="C53" s="44" t="s">
        <v>15</v>
      </c>
      <c r="D53" s="670"/>
      <c r="E53" s="44"/>
      <c r="M53" s="745"/>
      <c r="O53" s="2131" t="s">
        <v>15</v>
      </c>
      <c r="P53" s="2131"/>
    </row>
    <row r="54" spans="1:16" x14ac:dyDescent="0.2">
      <c r="A54" s="44"/>
      <c r="B54" s="44"/>
      <c r="C54" s="335" t="s">
        <v>4490</v>
      </c>
      <c r="D54" s="670"/>
      <c r="E54" s="565"/>
      <c r="M54" s="745"/>
      <c r="O54" s="2131" t="s">
        <v>4490</v>
      </c>
      <c r="P54" s="2131"/>
    </row>
    <row r="55" spans="1:16" x14ac:dyDescent="0.2">
      <c r="A55" s="44"/>
      <c r="B55" s="44"/>
      <c r="C55" s="44" t="s">
        <v>158</v>
      </c>
      <c r="D55" s="670"/>
      <c r="E55" s="565"/>
      <c r="M55" s="745"/>
      <c r="O55" s="2131" t="s">
        <v>5568</v>
      </c>
      <c r="P55" s="2131"/>
    </row>
    <row r="56" spans="1:16" x14ac:dyDescent="0.2">
      <c r="A56" s="44"/>
      <c r="B56" s="44"/>
      <c r="C56" s="44" t="s">
        <v>159</v>
      </c>
      <c r="D56" s="670"/>
      <c r="E56" s="565"/>
      <c r="M56" s="745"/>
      <c r="O56" s="2131" t="s">
        <v>159</v>
      </c>
      <c r="P56" s="2131"/>
    </row>
    <row r="57" spans="1:16" x14ac:dyDescent="0.2">
      <c r="E57" s="44"/>
      <c r="M57" s="745"/>
    </row>
    <row r="58" spans="1:16" x14ac:dyDescent="0.2">
      <c r="E58" s="44"/>
    </row>
    <row r="59" spans="1:16" x14ac:dyDescent="0.2">
      <c r="B59" s="272" t="s">
        <v>3940</v>
      </c>
      <c r="C59" s="44"/>
      <c r="D59" s="44"/>
    </row>
    <row r="60" spans="1:16" x14ac:dyDescent="0.2">
      <c r="A60" s="44"/>
      <c r="M60" s="745"/>
    </row>
    <row r="61" spans="1:16" x14ac:dyDescent="0.2">
      <c r="A61" s="44"/>
      <c r="B61" s="1584"/>
      <c r="C61" s="1584"/>
      <c r="D61" s="1584"/>
      <c r="E61" s="1584"/>
      <c r="F61" s="1584"/>
      <c r="G61" s="1584"/>
      <c r="H61" s="1584"/>
      <c r="I61" s="1584"/>
      <c r="J61" s="1584"/>
      <c r="M61" s="745"/>
    </row>
    <row r="62" spans="1:16" x14ac:dyDescent="0.2">
      <c r="A62" s="44"/>
      <c r="B62" s="1585"/>
      <c r="C62" s="1585"/>
      <c r="D62" s="1585"/>
      <c r="E62" s="1585"/>
      <c r="F62" s="1585"/>
      <c r="G62" s="1585"/>
      <c r="H62" s="1585"/>
      <c r="I62" s="1585"/>
      <c r="J62" s="1585"/>
      <c r="M62" s="745"/>
    </row>
    <row r="63" spans="1:16" x14ac:dyDescent="0.2">
      <c r="A63" s="44"/>
      <c r="B63" s="1585"/>
      <c r="C63" s="1585"/>
      <c r="D63" s="1585"/>
      <c r="E63" s="1585"/>
      <c r="F63" s="1585"/>
      <c r="G63" s="1585"/>
      <c r="H63" s="1585"/>
      <c r="I63" s="1585"/>
      <c r="J63" s="1585"/>
      <c r="M63" s="745"/>
    </row>
    <row r="64" spans="1:16" x14ac:dyDescent="0.2">
      <c r="A64" s="44"/>
      <c r="B64" s="1584"/>
      <c r="C64" s="1584"/>
      <c r="D64" s="1584"/>
      <c r="E64" s="1584"/>
      <c r="F64" s="1585"/>
      <c r="G64" s="1585"/>
      <c r="H64" s="1585"/>
      <c r="I64" s="1585"/>
      <c r="J64" s="1585"/>
      <c r="M64" s="745"/>
    </row>
    <row r="65" spans="2:13" x14ac:dyDescent="0.2">
      <c r="B65" s="1585"/>
      <c r="C65" s="1585"/>
      <c r="D65" s="1585"/>
      <c r="E65" s="1585"/>
      <c r="F65" s="1585"/>
      <c r="G65" s="1585"/>
      <c r="H65" s="1585"/>
      <c r="I65" s="1585"/>
      <c r="J65" s="1585"/>
      <c r="M65" s="747"/>
    </row>
    <row r="66" spans="2:13" x14ac:dyDescent="0.2">
      <c r="B66" s="1585"/>
      <c r="C66" s="1585"/>
      <c r="D66" s="1585"/>
      <c r="E66" s="1585"/>
      <c r="F66" s="1585"/>
      <c r="G66" s="1585"/>
      <c r="H66" s="1585"/>
      <c r="I66" s="1585"/>
      <c r="J66" s="1585"/>
      <c r="M66" s="745"/>
    </row>
    <row r="67" spans="2:13" x14ac:dyDescent="0.2">
      <c r="B67" s="1585"/>
      <c r="C67" s="1585"/>
      <c r="D67" s="1585"/>
      <c r="E67" s="1585"/>
      <c r="F67" s="1585"/>
      <c r="G67" s="1585"/>
      <c r="H67" s="1585"/>
      <c r="I67" s="1585"/>
      <c r="J67" s="1585"/>
      <c r="M67" s="745"/>
    </row>
    <row r="68" spans="2:13" x14ac:dyDescent="0.2">
      <c r="B68" s="1585"/>
      <c r="C68" s="1585"/>
      <c r="D68" s="1585"/>
      <c r="E68" s="1585"/>
      <c r="F68" s="1585"/>
      <c r="G68" s="1585"/>
      <c r="H68" s="1585"/>
      <c r="I68" s="1585"/>
      <c r="J68" s="1585"/>
      <c r="M68" s="745"/>
    </row>
    <row r="69" spans="2:13" x14ac:dyDescent="0.2">
      <c r="B69" s="2023"/>
      <c r="C69" s="2023"/>
      <c r="D69" s="2023"/>
      <c r="E69" s="2023"/>
      <c r="M69" s="745"/>
    </row>
    <row r="70" spans="2:13" x14ac:dyDescent="0.2">
      <c r="B70" s="1201"/>
      <c r="C70" s="1201"/>
      <c r="D70" s="1201"/>
      <c r="E70" s="1201"/>
      <c r="M70" s="745"/>
    </row>
    <row r="71" spans="2:13" x14ac:dyDescent="0.2">
      <c r="B71" s="1201"/>
      <c r="C71" s="1201"/>
      <c r="D71" s="1201"/>
      <c r="E71" s="1201"/>
      <c r="M71" s="745"/>
    </row>
    <row r="72" spans="2:13" x14ac:dyDescent="0.2">
      <c r="M72" s="745"/>
    </row>
    <row r="73" spans="2:13" x14ac:dyDescent="0.2">
      <c r="M73" s="745"/>
    </row>
    <row r="74" spans="2:13" x14ac:dyDescent="0.2">
      <c r="M74" s="745"/>
    </row>
    <row r="75" spans="2:13" x14ac:dyDescent="0.2">
      <c r="M75" s="745"/>
    </row>
    <row r="76" spans="2:13" x14ac:dyDescent="0.2">
      <c r="M76" s="745"/>
    </row>
    <row r="77" spans="2:13" x14ac:dyDescent="0.2">
      <c r="M77" s="745"/>
    </row>
    <row r="78" spans="2:13" x14ac:dyDescent="0.2">
      <c r="M78" s="745"/>
    </row>
    <row r="79" spans="2:13" x14ac:dyDescent="0.2">
      <c r="M79" s="745"/>
    </row>
    <row r="80" spans="2:13" x14ac:dyDescent="0.2">
      <c r="M80" s="745"/>
    </row>
    <row r="81" spans="13:13" x14ac:dyDescent="0.2">
      <c r="M81" s="745"/>
    </row>
    <row r="82" spans="13:13" x14ac:dyDescent="0.2">
      <c r="M82" s="745"/>
    </row>
    <row r="83" spans="13:13" x14ac:dyDescent="0.2">
      <c r="M83" s="745"/>
    </row>
    <row r="84" spans="13:13" x14ac:dyDescent="0.2">
      <c r="M84" s="747"/>
    </row>
    <row r="85" spans="13:13" x14ac:dyDescent="0.2">
      <c r="M85" s="747"/>
    </row>
    <row r="86" spans="13:13" x14ac:dyDescent="0.2">
      <c r="M86" s="745"/>
    </row>
    <row r="87" spans="13:13" x14ac:dyDescent="0.2">
      <c r="M87" s="745"/>
    </row>
    <row r="88" spans="13:13" x14ac:dyDescent="0.2">
      <c r="M88" s="745"/>
    </row>
    <row r="89" spans="13:13" x14ac:dyDescent="0.2">
      <c r="M89" s="745"/>
    </row>
    <row r="90" spans="13:13" x14ac:dyDescent="0.2">
      <c r="M90" s="746"/>
    </row>
    <row r="91" spans="13:13" x14ac:dyDescent="0.2">
      <c r="M91" s="745"/>
    </row>
    <row r="92" spans="13:13" x14ac:dyDescent="0.2">
      <c r="M92" s="746"/>
    </row>
    <row r="93" spans="13:13" x14ac:dyDescent="0.2">
      <c r="M93" s="745"/>
    </row>
    <row r="94" spans="13:13" x14ac:dyDescent="0.2">
      <c r="M94" s="745"/>
    </row>
    <row r="95" spans="13:13" x14ac:dyDescent="0.2">
      <c r="M95" s="745"/>
    </row>
    <row r="96" spans="13:13" x14ac:dyDescent="0.2">
      <c r="M96" s="745"/>
    </row>
    <row r="97" spans="13:13" x14ac:dyDescent="0.2">
      <c r="M97" s="745"/>
    </row>
    <row r="98" spans="13:13" x14ac:dyDescent="0.2">
      <c r="M98" s="745"/>
    </row>
  </sheetData>
  <sheetProtection algorithmName="SHA-512" hashValue="gZJWgsM0U3CQiIGElc5YUV82kNWxAVFmhENIEbXQqy+bWdqqHhN4K/B6xpKbr2e2skAazrtC70tXZ3MoLAw0pw==" saltValue="1pj86E7jhvgMVemMCjgubQ==" spinCount="100000" sheet="1" objects="1" scenarios="1" autoFilter="0"/>
  <customSheetViews>
    <customSheetView guid="{B08879A4-635B-4C39-9937-AC7883D562FC}" showGridLines="0" fitToPage="1" topLeftCell="A19">
      <pageMargins left="0.75" right="0.5" top="0.5" bottom="0.5" header="0.5" footer="0.25"/>
      <pageSetup scale="83" orientation="portrait" r:id="rId1"/>
      <headerFooter alignWithMargins="0">
        <oddFooter>&amp;R&amp;A</oddFooter>
      </headerFooter>
    </customSheetView>
    <customSheetView guid="{9FCFC836-1CA5-48BF-958D-24D2EA94B219}" showGridLines="0" fitToPage="1" topLeftCell="A19">
      <pageMargins left="0.75" right="0.5" top="0.5" bottom="0.5" header="0.5" footer="0.25"/>
      <pageSetup scale="83" orientation="portrait" r:id="rId2"/>
      <headerFooter alignWithMargins="0">
        <oddFooter>&amp;R&amp;A</oddFooter>
      </headerFooter>
    </customSheetView>
  </customSheetViews>
  <mergeCells count="4">
    <mergeCell ref="B1:J1"/>
    <mergeCell ref="K1:K3"/>
    <mergeCell ref="B2:J2"/>
    <mergeCell ref="B3:J3"/>
  </mergeCells>
  <phoneticPr fontId="15" type="noConversion"/>
  <conditionalFormatting sqref="K1:K4 K10:K12">
    <cfRule type="cellIs" dxfId="174" priority="1" stopIfTrue="1" operator="equal">
      <formula>"na"</formula>
    </cfRule>
  </conditionalFormatting>
  <dataValidations count="3">
    <dataValidation type="whole" operator="greaterThanOrEqual" allowBlank="1" showInputMessage="1" showErrorMessage="1" errorTitle="Invalid data!" error="Amount must be a positive whole number." sqref="J24:J27 J16 J30:J33 D47:D56 J37:J38 D32:D33 D38:D39 D42:D43 D16:D21 J41 J47 J49 D28 D25" xr:uid="{00000000-0002-0000-0400-000000000000}">
      <formula1>0</formula1>
    </dataValidation>
    <dataValidation type="decimal" allowBlank="1" showInputMessage="1" showErrorMessage="1" errorTitle="Invalid data!" error="Percentage must be between 0% and 100%." sqref="J17 D34 J48 J42:J43 J50" xr:uid="{00000000-0002-0000-0400-000001000000}">
      <formula1>0</formula1>
      <formula2>1</formula2>
    </dataValidation>
    <dataValidation type="decimal" operator="greaterThanOrEqual" allowBlank="1" showInputMessage="1" showErrorMessage="1" errorTitle="Invalid data!" error="Amount must be a positive whole number." sqref="J21" xr:uid="{00000000-0002-0000-0400-000002000000}">
      <formula1>0</formula1>
    </dataValidation>
  </dataValidations>
  <hyperlinks>
    <hyperlink ref="B1:J1" location="Index!A1" display="Index!A1" xr:uid="{00000000-0004-0000-0400-000000000000}"/>
    <hyperlink ref="P50" r:id="rId3" display="https://epm5-a607730.epm.us9.oraclecloud.com/HyperionPlanning/faces/StructureHomeTF/EfsNonFuseNavigator?_adf.ctrl-state=69bzy5h8r_8&amp;_afrLoop=13844347197868236" xr:uid="{3E3FDF5C-6A5D-4166-999F-F2902A9C1FDF}"/>
  </hyperlinks>
  <pageMargins left="0.75" right="0.5" top="0.5" bottom="0.5" header="0.5" footer="0.25"/>
  <pageSetup scale="79" orientation="portrait" r:id="rId4"/>
  <headerFooter alignWithMargins="0">
    <oddFooter>&amp;R&amp;A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9">
    <pageSetUpPr fitToPage="1"/>
  </sheetPr>
  <dimension ref="A1:M41"/>
  <sheetViews>
    <sheetView showGridLines="0" topLeftCell="B1" zoomScaleNormal="100" workbookViewId="0">
      <selection sqref="A1:L1"/>
    </sheetView>
  </sheetViews>
  <sheetFormatPr defaultRowHeight="12.75" x14ac:dyDescent="0.2"/>
  <cols>
    <col min="1" max="1" width="0" hidden="1" customWidth="1"/>
    <col min="5" max="5" width="1.5703125" customWidth="1"/>
    <col min="8" max="8" width="1.5703125" customWidth="1"/>
    <col min="12" max="12" width="10.5703125" customWidth="1"/>
    <col min="13" max="13" width="4.5703125" customWidth="1"/>
  </cols>
  <sheetData>
    <row r="1" spans="2:13" s="20" customFormat="1" ht="15" customHeight="1" x14ac:dyDescent="0.25">
      <c r="B1" s="2449" t="str">
        <f>+Index!$A$1</f>
        <v xml:space="preserve">                                                               Office of the State Controller                                                                </v>
      </c>
      <c r="C1" s="2449"/>
      <c r="D1" s="2449"/>
      <c r="E1" s="2449"/>
      <c r="F1" s="2449"/>
      <c r="G1" s="2449"/>
      <c r="H1" s="2449"/>
      <c r="I1" s="2449"/>
      <c r="J1" s="2449"/>
      <c r="K1" s="2449"/>
      <c r="L1" s="2449"/>
      <c r="M1" s="2450" t="str">
        <f>IF(Index!$B$77="na","NA","")</f>
        <v/>
      </c>
    </row>
    <row r="2" spans="2:13" s="20" customFormat="1" ht="15" customHeight="1" x14ac:dyDescent="0.25">
      <c r="B2" s="2708" t="str">
        <f>+Index!$A$2</f>
        <v>2022 ACFR Worksheets</v>
      </c>
      <c r="C2" s="2708"/>
      <c r="D2" s="2708"/>
      <c r="E2" s="2708"/>
      <c r="F2" s="2708"/>
      <c r="G2" s="2708"/>
      <c r="H2" s="2708"/>
      <c r="I2" s="2708"/>
      <c r="J2" s="2708"/>
      <c r="K2" s="2708"/>
      <c r="L2" s="2708"/>
      <c r="M2" s="2450"/>
    </row>
    <row r="3" spans="2:13" s="20" customFormat="1" ht="15" customHeight="1" x14ac:dyDescent="0.25">
      <c r="B3" s="2632" t="s">
        <v>3711</v>
      </c>
      <c r="C3" s="2632"/>
      <c r="D3" s="2632"/>
      <c r="E3" s="2632"/>
      <c r="F3" s="2632"/>
      <c r="G3" s="2632"/>
      <c r="H3" s="2632"/>
      <c r="I3" s="2632"/>
      <c r="J3" s="2632"/>
      <c r="K3" s="2632"/>
      <c r="L3" s="2632"/>
      <c r="M3" s="2450"/>
    </row>
    <row r="4" spans="2:13" s="22" customFormat="1" ht="15" customHeight="1" x14ac:dyDescent="0.2">
      <c r="J4" s="251"/>
      <c r="L4" s="1553" t="s">
        <v>3919</v>
      </c>
    </row>
    <row r="5" spans="2:13" s="22" customFormat="1" ht="15" customHeight="1" x14ac:dyDescent="0.2">
      <c r="B5" s="2788" t="s">
        <v>327</v>
      </c>
      <c r="C5" s="2788"/>
      <c r="D5" s="2787" t="str">
        <f>+Index!$E$10</f>
        <v>01</v>
      </c>
      <c r="E5" s="2787"/>
      <c r="F5" s="2787"/>
      <c r="I5" s="23" t="s">
        <v>1154</v>
      </c>
      <c r="J5" s="2488" t="str">
        <f>+Index!$E$11</f>
        <v>North Carolina General Assembly</v>
      </c>
      <c r="K5" s="2488"/>
      <c r="L5" s="2488"/>
    </row>
    <row r="6" spans="2:13" s="22" customFormat="1" ht="15" customHeight="1" x14ac:dyDescent="0.2">
      <c r="I6" s="23" t="s">
        <v>972</v>
      </c>
      <c r="J6" s="2513" t="str">
        <f>CONCATENATE(Index!$E$12," ",Index!$E$14)</f>
        <v xml:space="preserve"> </v>
      </c>
      <c r="K6" s="2513"/>
      <c r="L6" s="2513"/>
    </row>
    <row r="7" spans="2:13" s="22" customFormat="1" ht="15" customHeight="1" x14ac:dyDescent="0.2">
      <c r="B7" s="22" t="s">
        <v>477</v>
      </c>
      <c r="D7" s="2786"/>
      <c r="E7" s="2786"/>
      <c r="F7" s="2786"/>
      <c r="I7" s="23" t="s">
        <v>348</v>
      </c>
      <c r="J7" s="2490">
        <f>+Index!$E$13</f>
        <v>0</v>
      </c>
      <c r="K7" s="2490"/>
      <c r="L7" s="2490"/>
    </row>
    <row r="8" spans="2:13" s="22" customFormat="1" ht="15" customHeight="1" thickBot="1" x14ac:dyDescent="0.25">
      <c r="B8" s="120"/>
      <c r="C8" s="120"/>
      <c r="D8" s="120"/>
      <c r="E8" s="120"/>
      <c r="F8" s="120"/>
      <c r="G8" s="120"/>
      <c r="H8" s="120"/>
      <c r="I8" s="120"/>
      <c r="J8" s="120"/>
      <c r="K8" s="120"/>
      <c r="L8" s="120"/>
    </row>
    <row r="10" spans="2:13" s="22" customFormat="1" x14ac:dyDescent="0.2">
      <c r="B10" s="251" t="s">
        <v>462</v>
      </c>
    </row>
    <row r="11" spans="2:13" s="22" customFormat="1" x14ac:dyDescent="0.2">
      <c r="B11" s="251" t="s">
        <v>4882</v>
      </c>
    </row>
    <row r="12" spans="2:13" s="22" customFormat="1" x14ac:dyDescent="0.2">
      <c r="B12" s="251" t="s">
        <v>1043</v>
      </c>
    </row>
    <row r="13" spans="2:13" s="22" customFormat="1" ht="9" customHeight="1" x14ac:dyDescent="0.2">
      <c r="B13" s="251"/>
    </row>
    <row r="14" spans="2:13" s="22" customFormat="1" x14ac:dyDescent="0.2">
      <c r="B14" s="2784" t="s">
        <v>601</v>
      </c>
      <c r="C14" s="2784"/>
      <c r="D14" s="2784"/>
      <c r="E14" s="252"/>
      <c r="F14" s="2784" t="s">
        <v>1156</v>
      </c>
      <c r="G14" s="2784"/>
      <c r="H14" s="252"/>
      <c r="I14" s="2784" t="s">
        <v>132</v>
      </c>
      <c r="J14" s="2784"/>
      <c r="K14" s="2784"/>
      <c r="L14" s="2784"/>
    </row>
    <row r="15" spans="2:13" s="22" customFormat="1" ht="18" customHeight="1" x14ac:dyDescent="0.2">
      <c r="B15" s="2783"/>
      <c r="C15" s="2783"/>
      <c r="D15" s="2783"/>
      <c r="E15" s="253"/>
      <c r="F15" s="2785"/>
      <c r="G15" s="2785"/>
      <c r="H15" s="253"/>
      <c r="I15" s="2789"/>
      <c r="J15" s="2789"/>
      <c r="K15" s="2789"/>
      <c r="L15" s="2789"/>
    </row>
    <row r="16" spans="2:13" s="22" customFormat="1" ht="18" customHeight="1" x14ac:dyDescent="0.2">
      <c r="B16" s="2783"/>
      <c r="C16" s="2783"/>
      <c r="D16" s="2783"/>
      <c r="E16" s="253"/>
      <c r="F16" s="2785"/>
      <c r="G16" s="2785"/>
      <c r="H16" s="253"/>
      <c r="I16" s="2789"/>
      <c r="J16" s="2789"/>
      <c r="K16" s="2789"/>
      <c r="L16" s="2789"/>
    </row>
    <row r="17" spans="1:12" s="22" customFormat="1" ht="18" customHeight="1" x14ac:dyDescent="0.2">
      <c r="B17" s="2783"/>
      <c r="C17" s="2783"/>
      <c r="D17" s="2783"/>
      <c r="E17" s="253"/>
      <c r="F17" s="2785"/>
      <c r="G17" s="2785"/>
      <c r="H17" s="253"/>
      <c r="I17" s="2789"/>
      <c r="J17" s="2789"/>
      <c r="K17" s="2789"/>
      <c r="L17" s="2789"/>
    </row>
    <row r="18" spans="1:12" s="22" customFormat="1" ht="18" customHeight="1" x14ac:dyDescent="0.2">
      <c r="B18" s="2783"/>
      <c r="C18" s="2783"/>
      <c r="D18" s="2783"/>
      <c r="E18" s="253"/>
      <c r="F18" s="2785"/>
      <c r="G18" s="2785"/>
      <c r="H18" s="253"/>
      <c r="I18" s="2789"/>
      <c r="J18" s="2789"/>
      <c r="K18" s="2789"/>
      <c r="L18" s="2789"/>
    </row>
    <row r="19" spans="1:12" s="22" customFormat="1" ht="18" customHeight="1" x14ac:dyDescent="0.2">
      <c r="B19" s="2783"/>
      <c r="C19" s="2783"/>
      <c r="D19" s="2783"/>
      <c r="E19" s="253"/>
      <c r="F19" s="2785"/>
      <c r="G19" s="2785"/>
      <c r="H19" s="253"/>
      <c r="I19" s="2789"/>
      <c r="J19" s="2789"/>
      <c r="K19" s="2789"/>
      <c r="L19" s="2789"/>
    </row>
    <row r="20" spans="1:12" s="22" customFormat="1" ht="18" customHeight="1" x14ac:dyDescent="0.2">
      <c r="B20" s="2783"/>
      <c r="C20" s="2783"/>
      <c r="D20" s="2783"/>
      <c r="E20" s="253"/>
      <c r="F20" s="2785"/>
      <c r="G20" s="2785"/>
      <c r="H20" s="253"/>
      <c r="I20" s="2789"/>
      <c r="J20" s="2789"/>
      <c r="K20" s="2789"/>
      <c r="L20" s="2789"/>
    </row>
    <row r="21" spans="1:12" s="22" customFormat="1" ht="18" customHeight="1" x14ac:dyDescent="0.2">
      <c r="B21" s="2783"/>
      <c r="C21" s="2783"/>
      <c r="D21" s="2783"/>
      <c r="E21" s="253"/>
      <c r="F21" s="2785"/>
      <c r="G21" s="2785"/>
      <c r="H21" s="253"/>
      <c r="I21" s="2789"/>
      <c r="J21" s="2789"/>
      <c r="K21" s="2789"/>
      <c r="L21" s="2789"/>
    </row>
    <row r="22" spans="1:12" s="22" customFormat="1" ht="18" customHeight="1" x14ac:dyDescent="0.2">
      <c r="B22" s="2783"/>
      <c r="C22" s="2783"/>
      <c r="D22" s="2783"/>
      <c r="E22" s="253"/>
      <c r="F22" s="2785"/>
      <c r="G22" s="2785"/>
      <c r="H22" s="253"/>
      <c r="I22" s="2789"/>
      <c r="J22" s="2789"/>
      <c r="K22" s="2789"/>
      <c r="L22" s="2789"/>
    </row>
    <row r="23" spans="1:12" s="22" customFormat="1" ht="18" customHeight="1" x14ac:dyDescent="0.2">
      <c r="B23" s="2783"/>
      <c r="C23" s="2783"/>
      <c r="D23" s="2783"/>
      <c r="E23" s="253"/>
      <c r="F23" s="2785"/>
      <c r="G23" s="2785"/>
      <c r="H23" s="253"/>
      <c r="I23" s="2789"/>
      <c r="J23" s="2789"/>
      <c r="K23" s="2789"/>
      <c r="L23" s="2789"/>
    </row>
    <row r="24" spans="1:12" s="22" customFormat="1" ht="18" customHeight="1" x14ac:dyDescent="0.2">
      <c r="B24" s="2783"/>
      <c r="C24" s="2783"/>
      <c r="D24" s="2783"/>
      <c r="E24" s="253"/>
      <c r="F24" s="2785"/>
      <c r="G24" s="2785"/>
      <c r="H24" s="253"/>
      <c r="I24" s="2789"/>
      <c r="J24" s="2789"/>
      <c r="K24" s="2789"/>
      <c r="L24" s="2789"/>
    </row>
    <row r="25" spans="1:12" s="22" customFormat="1" ht="18" customHeight="1" x14ac:dyDescent="0.2">
      <c r="B25" s="2783"/>
      <c r="C25" s="2783"/>
      <c r="D25" s="2783"/>
      <c r="E25" s="253"/>
      <c r="F25" s="2785"/>
      <c r="G25" s="2785"/>
      <c r="H25" s="253"/>
      <c r="I25" s="2789"/>
      <c r="J25" s="2789"/>
      <c r="K25" s="2789"/>
      <c r="L25" s="2789"/>
    </row>
    <row r="26" spans="1:12" s="22" customFormat="1" ht="18" customHeight="1" x14ac:dyDescent="0.2">
      <c r="B26" s="2783"/>
      <c r="C26" s="2783"/>
      <c r="D26" s="2783"/>
      <c r="E26" s="253"/>
      <c r="F26" s="2785"/>
      <c r="G26" s="2785"/>
      <c r="H26" s="253"/>
      <c r="I26" s="2789"/>
      <c r="J26" s="2789"/>
      <c r="K26" s="2789"/>
      <c r="L26" s="2789"/>
    </row>
    <row r="27" spans="1:12" s="22" customFormat="1" ht="18" customHeight="1" x14ac:dyDescent="0.2">
      <c r="B27" s="2783"/>
      <c r="C27" s="2783"/>
      <c r="D27" s="2783"/>
      <c r="E27" s="253"/>
      <c r="F27" s="2785"/>
      <c r="G27" s="2785"/>
      <c r="H27" s="253"/>
      <c r="I27" s="2789"/>
      <c r="J27" s="2789"/>
      <c r="K27" s="2789"/>
      <c r="L27" s="2789"/>
    </row>
    <row r="31" spans="1:12" ht="15" x14ac:dyDescent="0.2">
      <c r="A31" s="443" t="str">
        <f ca="1">MID(CELL("filename",A1),FIND("]",CELL("filename",A1))+1,256)</f>
        <v>570</v>
      </c>
      <c r="B31" s="443" t="s">
        <v>449</v>
      </c>
    </row>
    <row r="32" spans="1:12" ht="15" x14ac:dyDescent="0.2">
      <c r="A32" s="443" t="s">
        <v>446</v>
      </c>
      <c r="B32" s="443" t="str">
        <f t="shared" ref="B32:B41" ca="1" si="0">IF(ISNA(INDEX(ErrorTable,MATCH($A$31&amp;$A32&amp;FALSE,ErrorKey,0),6)),"",INDEX(ErrorTable,MATCH($A$31&amp;$A32&amp;FALSE,ErrorKey,0),6))</f>
        <v>GASB number is blank.</v>
      </c>
    </row>
    <row r="33" spans="1:2" ht="15" x14ac:dyDescent="0.2">
      <c r="A33" s="443" t="s">
        <v>447</v>
      </c>
      <c r="B33" s="443" t="str">
        <f t="shared" ca="1" si="0"/>
        <v/>
      </c>
    </row>
    <row r="34" spans="1:2" ht="15" x14ac:dyDescent="0.2">
      <c r="A34" s="443" t="s">
        <v>448</v>
      </c>
      <c r="B34" s="443" t="str">
        <f t="shared" ca="1" si="0"/>
        <v/>
      </c>
    </row>
    <row r="35" spans="1:2" ht="15" x14ac:dyDescent="0.2">
      <c r="A35" s="443" t="s">
        <v>450</v>
      </c>
      <c r="B35" s="443" t="str">
        <f t="shared" ca="1" si="0"/>
        <v/>
      </c>
    </row>
    <row r="36" spans="1:2" ht="15" x14ac:dyDescent="0.2">
      <c r="A36" s="443" t="s">
        <v>451</v>
      </c>
      <c r="B36" s="443" t="str">
        <f t="shared" ca="1" si="0"/>
        <v/>
      </c>
    </row>
    <row r="37" spans="1:2" ht="15" x14ac:dyDescent="0.2">
      <c r="A37" s="443" t="s">
        <v>452</v>
      </c>
      <c r="B37" s="443" t="str">
        <f t="shared" ca="1" si="0"/>
        <v/>
      </c>
    </row>
    <row r="38" spans="1:2" ht="15" x14ac:dyDescent="0.2">
      <c r="A38" s="443" t="s">
        <v>453</v>
      </c>
      <c r="B38" s="443" t="str">
        <f t="shared" ca="1" si="0"/>
        <v/>
      </c>
    </row>
    <row r="39" spans="1:2" ht="15" x14ac:dyDescent="0.2">
      <c r="A39" s="443" t="s">
        <v>454</v>
      </c>
      <c r="B39" s="443" t="str">
        <f t="shared" ca="1" si="0"/>
        <v/>
      </c>
    </row>
    <row r="40" spans="1:2" ht="15" x14ac:dyDescent="0.2">
      <c r="A40" s="443" t="s">
        <v>455</v>
      </c>
      <c r="B40" s="443" t="str">
        <f t="shared" ca="1" si="0"/>
        <v/>
      </c>
    </row>
    <row r="41" spans="1:2" ht="15" x14ac:dyDescent="0.2">
      <c r="A41" s="443" t="s">
        <v>456</v>
      </c>
      <c r="B41" s="443" t="str">
        <f t="shared" ca="1" si="0"/>
        <v/>
      </c>
    </row>
  </sheetData>
  <sheetProtection algorithmName="SHA-512" hashValue="t1jYN37NY0w+mDMEkv4lRtM9ZCixyno6qJtpQsDfIStOMr0pTqndBGYkBoNlTrA7MNscIkMhmm/1f6A54bm7Ew==" saltValue="AilrpaD4h77jt/p6W4NMdw==" spinCount="100000" sheet="1" objects="1" scenarios="1" autoFilter="0"/>
  <customSheetViews>
    <customSheetView guid="{B08879A4-635B-4C39-9937-AC7883D562FC}" showGridLines="0" fitToPage="1" hiddenColumns="1" topLeftCell="B1">
      <selection activeCell="B12" sqref="B12"/>
      <pageMargins left="0.75" right="0.5" top="0.5" bottom="0.5" header="0.5" footer="0.5"/>
      <printOptions horizontalCentered="1"/>
      <pageSetup orientation="portrait" r:id="rId1"/>
      <headerFooter alignWithMargins="0">
        <oddFooter>&amp;R&amp;A</oddFooter>
      </headerFooter>
    </customSheetView>
    <customSheetView guid="{1250FD07-FF56-4A9D-AF9E-C27124A7EBE9}" showGridLines="0" fitToPage="1" showRuler="0">
      <selection sqref="A1:K1"/>
      <pageMargins left="0.75" right="0.5" top="0.5" bottom="0.5" header="0.5" footer="0.5"/>
      <printOptions horizontalCentered="1"/>
      <pageSetup orientation="portrait" r:id="rId2"/>
      <headerFooter alignWithMargins="0">
        <oddFooter>&amp;R&amp;A</oddFooter>
      </headerFooter>
    </customSheetView>
    <customSheetView guid="{BEA4BE86-04D1-4C96-9358-7A260B9D2B2D}" showGridLines="0" fitToPage="1" showRuler="0">
      <selection sqref="A1:K1"/>
      <pageMargins left="0.75" right="0.5" top="0.5" bottom="0.5" header="0.5" footer="0.5"/>
      <printOptions horizontalCentered="1"/>
      <pageSetup orientation="portrait" r:id="rId3"/>
      <headerFooter alignWithMargins="0">
        <oddFooter>&amp;R&amp;A</oddFooter>
      </headerFooter>
    </customSheetView>
    <customSheetView guid="{9FCFC836-1CA5-48BF-958D-24D2EA94B219}" showGridLines="0" fitToPage="1" hiddenColumns="1" topLeftCell="B1">
      <selection activeCell="B12" sqref="B12"/>
      <pageMargins left="0.75" right="0.5" top="0.5" bottom="0.5" header="0.5" footer="0.5"/>
      <printOptions horizontalCentered="1"/>
      <pageSetup orientation="portrait" r:id="rId4"/>
      <headerFooter alignWithMargins="0">
        <oddFooter>&amp;R&amp;A</oddFooter>
      </headerFooter>
    </customSheetView>
  </customSheetViews>
  <mergeCells count="52">
    <mergeCell ref="B24:D24"/>
    <mergeCell ref="F24:G24"/>
    <mergeCell ref="B27:D27"/>
    <mergeCell ref="F27:G27"/>
    <mergeCell ref="I27:L27"/>
    <mergeCell ref="F25:G25"/>
    <mergeCell ref="I25:L25"/>
    <mergeCell ref="B25:D25"/>
    <mergeCell ref="B26:D26"/>
    <mergeCell ref="F26:G26"/>
    <mergeCell ref="I26:L26"/>
    <mergeCell ref="I19:L19"/>
    <mergeCell ref="I20:L20"/>
    <mergeCell ref="I21:L21"/>
    <mergeCell ref="F22:G22"/>
    <mergeCell ref="F23:G23"/>
    <mergeCell ref="I23:L23"/>
    <mergeCell ref="I22:L22"/>
    <mergeCell ref="F20:G20"/>
    <mergeCell ref="F21:G21"/>
    <mergeCell ref="B19:D19"/>
    <mergeCell ref="F19:G19"/>
    <mergeCell ref="I24:L24"/>
    <mergeCell ref="I15:L15"/>
    <mergeCell ref="F15:G15"/>
    <mergeCell ref="B16:D16"/>
    <mergeCell ref="B17:D17"/>
    <mergeCell ref="B22:D22"/>
    <mergeCell ref="B20:D20"/>
    <mergeCell ref="F16:G16"/>
    <mergeCell ref="I16:L16"/>
    <mergeCell ref="B21:D21"/>
    <mergeCell ref="B23:D23"/>
    <mergeCell ref="I17:L17"/>
    <mergeCell ref="F18:G18"/>
    <mergeCell ref="I18:L18"/>
    <mergeCell ref="M1:M3"/>
    <mergeCell ref="B2:L2"/>
    <mergeCell ref="B3:L3"/>
    <mergeCell ref="I14:L14"/>
    <mergeCell ref="B14:D14"/>
    <mergeCell ref="J5:L5"/>
    <mergeCell ref="J6:L6"/>
    <mergeCell ref="D7:F7"/>
    <mergeCell ref="B1:L1"/>
    <mergeCell ref="D5:F5"/>
    <mergeCell ref="B5:C5"/>
    <mergeCell ref="B18:D18"/>
    <mergeCell ref="J7:L7"/>
    <mergeCell ref="F14:G14"/>
    <mergeCell ref="B15:D15"/>
    <mergeCell ref="F17:G17"/>
  </mergeCells>
  <phoneticPr fontId="15" type="noConversion"/>
  <conditionalFormatting sqref="M1:M3">
    <cfRule type="cellIs" dxfId="50" priority="1" stopIfTrue="1" operator="equal">
      <formula>"na"</formula>
    </cfRule>
  </conditionalFormatting>
  <dataValidations disablePrompts="1" count="1">
    <dataValidation type="textLength" operator="equal" allowBlank="1" showInputMessage="1" showErrorMessage="1" errorTitle="Invalid data!" error="GASB number must be 4 digits." sqref="D7:F7" xr:uid="{00000000-0002-0000-3400-000000000000}">
      <formula1>4</formula1>
    </dataValidation>
  </dataValidations>
  <hyperlinks>
    <hyperlink ref="B1:L1" location="Index!A1" display="Index!A1" xr:uid="{00000000-0004-0000-3400-000000000000}"/>
  </hyperlinks>
  <printOptions horizontalCentered="1"/>
  <pageMargins left="0.75" right="0.5" top="0.5" bottom="0.5" header="0.5" footer="0.5"/>
  <pageSetup orientation="portrait" r:id="rId5"/>
  <headerFooter alignWithMargins="0">
    <oddFooter>&amp;R&amp;A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4294E-1694-4943-8CA8-EFC302A2E068}">
  <sheetPr codeName="Sheet96">
    <pageSetUpPr fitToPage="1"/>
  </sheetPr>
  <dimension ref="A1:AC84"/>
  <sheetViews>
    <sheetView showGridLines="0" topLeftCell="B1" zoomScaleNormal="100" workbookViewId="0">
      <selection activeCell="W9" sqref="W9"/>
    </sheetView>
  </sheetViews>
  <sheetFormatPr defaultColWidth="9.42578125" defaultRowHeight="11.25" x14ac:dyDescent="0.2"/>
  <cols>
    <col min="1" max="1" width="0" style="427" hidden="1" customWidth="1"/>
    <col min="2" max="2" width="3.5703125" style="427" customWidth="1"/>
    <col min="3" max="3" width="12.5703125" style="427" customWidth="1"/>
    <col min="4" max="9" width="3.5703125" style="427" customWidth="1"/>
    <col min="10" max="10" width="1.5703125" style="427" customWidth="1"/>
    <col min="11" max="11" width="11.5703125" style="427" customWidth="1"/>
    <col min="12" max="12" width="1.5703125" style="427" customWidth="1"/>
    <col min="13" max="13" width="12.5703125" style="427" customWidth="1"/>
    <col min="14" max="14" width="3.42578125" style="427" bestFit="1" customWidth="1"/>
    <col min="15" max="15" width="19.5703125" style="427" customWidth="1"/>
    <col min="16" max="16" width="4.5703125" style="427" customWidth="1"/>
    <col min="17" max="17" width="9.42578125" style="427" hidden="1" customWidth="1"/>
    <col min="18" max="16384" width="9.42578125" style="427"/>
  </cols>
  <sheetData>
    <row r="1" spans="2:29" s="416" customFormat="1" ht="25.15" customHeight="1" x14ac:dyDescent="0.25">
      <c r="B1" s="2449" t="str">
        <f>+Index!$A$1</f>
        <v xml:space="preserve">                                                               Office of the State Controller                                                                </v>
      </c>
      <c r="C1" s="2449"/>
      <c r="D1" s="2449"/>
      <c r="E1" s="2449"/>
      <c r="F1" s="2449"/>
      <c r="G1" s="2449"/>
      <c r="H1" s="2449"/>
      <c r="I1" s="2449"/>
      <c r="J1" s="2449"/>
      <c r="K1" s="2449"/>
      <c r="L1" s="2449"/>
      <c r="M1" s="2449"/>
      <c r="N1" s="2449"/>
      <c r="O1" s="2449"/>
      <c r="P1" s="2041" t="str">
        <f>IF(Index!$B$79="na","NA","")</f>
        <v/>
      </c>
      <c r="AC1" s="417"/>
    </row>
    <row r="2" spans="2:29" s="416" customFormat="1" ht="15" customHeight="1" x14ac:dyDescent="0.25">
      <c r="B2" s="2794" t="str">
        <f>+Index!$A$2</f>
        <v>2022 ACFR Worksheets</v>
      </c>
      <c r="C2" s="2794"/>
      <c r="D2" s="2794"/>
      <c r="E2" s="2794"/>
      <c r="F2" s="2794"/>
      <c r="G2" s="2794"/>
      <c r="H2" s="2794"/>
      <c r="I2" s="2794"/>
      <c r="J2" s="2794"/>
      <c r="K2" s="2794"/>
      <c r="L2" s="2794"/>
      <c r="M2" s="2794"/>
      <c r="N2" s="2794"/>
      <c r="O2" s="2794"/>
      <c r="P2" s="2041"/>
    </row>
    <row r="3" spans="2:29" s="416" customFormat="1" ht="15" customHeight="1" x14ac:dyDescent="0.25">
      <c r="B3" s="2794" t="s">
        <v>4662</v>
      </c>
      <c r="C3" s="2794"/>
      <c r="D3" s="2794"/>
      <c r="E3" s="2794"/>
      <c r="F3" s="2794"/>
      <c r="G3" s="2794"/>
      <c r="H3" s="2794"/>
      <c r="I3" s="2794"/>
      <c r="J3" s="2794"/>
      <c r="K3" s="2794"/>
      <c r="L3" s="2794"/>
      <c r="M3" s="2794"/>
      <c r="N3" s="2794"/>
      <c r="O3" s="2794"/>
      <c r="P3" s="2041"/>
    </row>
    <row r="4" spans="2:29" s="418" customFormat="1" ht="15" customHeight="1" x14ac:dyDescent="0.2">
      <c r="K4" s="419" t="s">
        <v>4666</v>
      </c>
    </row>
    <row r="5" spans="2:29" s="418" customFormat="1" ht="15" customHeight="1" x14ac:dyDescent="0.2">
      <c r="B5" s="786" t="s">
        <v>817</v>
      </c>
      <c r="E5" s="2792" t="str">
        <f>+Index!$E$10</f>
        <v>01</v>
      </c>
      <c r="F5" s="2792"/>
      <c r="G5" s="2792"/>
      <c r="H5" s="2792"/>
      <c r="K5" s="420" t="s">
        <v>818</v>
      </c>
      <c r="M5" s="2488" t="str">
        <f>+Index!$E$11</f>
        <v>North Carolina General Assembly</v>
      </c>
      <c r="N5" s="2488"/>
      <c r="O5" s="2488"/>
    </row>
    <row r="6" spans="2:29" s="418" customFormat="1" ht="15" customHeight="1" x14ac:dyDescent="0.2">
      <c r="B6" s="418" t="s">
        <v>477</v>
      </c>
      <c r="E6" s="2792" t="s">
        <v>256</v>
      </c>
      <c r="F6" s="2792"/>
      <c r="G6" s="2792"/>
      <c r="H6" s="2792"/>
      <c r="K6" s="420" t="s">
        <v>972</v>
      </c>
      <c r="M6" s="2513" t="str">
        <f>CONCATENATE(Index!$E$12," ",Index!$E$14)</f>
        <v xml:space="preserve"> </v>
      </c>
      <c r="N6" s="2513"/>
      <c r="O6" s="2513"/>
    </row>
    <row r="7" spans="2:29" s="418" customFormat="1" ht="15" customHeight="1" x14ac:dyDescent="0.2">
      <c r="E7" s="2793"/>
      <c r="F7" s="2793"/>
      <c r="G7" s="2793"/>
      <c r="H7" s="2793"/>
      <c r="K7" s="420" t="s">
        <v>348</v>
      </c>
      <c r="M7" s="2490">
        <f>+Index!$E$13</f>
        <v>0</v>
      </c>
      <c r="N7" s="2490"/>
      <c r="O7" s="2490"/>
    </row>
    <row r="8" spans="2:29" s="418" customFormat="1" ht="15" customHeight="1" thickBot="1" x14ac:dyDescent="0.25">
      <c r="B8" s="421"/>
      <c r="C8" s="421"/>
      <c r="D8" s="421"/>
      <c r="E8" s="421"/>
      <c r="F8" s="421"/>
      <c r="G8" s="421"/>
      <c r="H8" s="421"/>
      <c r="I8" s="421"/>
      <c r="J8" s="421"/>
      <c r="K8" s="421"/>
      <c r="L8" s="421"/>
      <c r="M8" s="421"/>
      <c r="N8" s="421"/>
      <c r="O8" s="421"/>
    </row>
    <row r="9" spans="2:29" s="418" customFormat="1" ht="15" customHeight="1" x14ac:dyDescent="0.2"/>
    <row r="10" spans="2:29" s="418" customFormat="1" ht="15" customHeight="1" x14ac:dyDescent="0.2">
      <c r="B10" s="2004" t="s">
        <v>5635</v>
      </c>
      <c r="C10" s="2004"/>
      <c r="D10" s="2004"/>
      <c r="E10" s="2004"/>
      <c r="F10" s="2004"/>
      <c r="G10" s="2004"/>
      <c r="H10" s="2004"/>
      <c r="I10" s="1561"/>
      <c r="J10" s="1561"/>
      <c r="K10" s="1561"/>
      <c r="L10" s="1561"/>
      <c r="M10" s="1561"/>
      <c r="N10" s="1561"/>
      <c r="O10" s="1561"/>
    </row>
    <row r="11" spans="2:29" s="418" customFormat="1" ht="15" customHeight="1" x14ac:dyDescent="0.2">
      <c r="B11" s="2004" t="s">
        <v>4915</v>
      </c>
      <c r="C11" s="2004"/>
      <c r="D11" s="2004"/>
      <c r="E11" s="2004"/>
      <c r="F11" s="2004"/>
      <c r="G11" s="2004"/>
      <c r="H11" s="2004"/>
      <c r="I11" s="1561"/>
      <c r="J11" s="1561"/>
      <c r="K11" s="1561"/>
      <c r="L11" s="1561"/>
      <c r="M11" s="1561"/>
      <c r="N11" s="1561"/>
      <c r="O11" s="1561"/>
    </row>
    <row r="12" spans="2:29" s="418" customFormat="1" ht="15" customHeight="1" x14ac:dyDescent="0.2">
      <c r="B12" s="2004" t="s">
        <v>4803</v>
      </c>
      <c r="C12" s="2004"/>
      <c r="D12" s="2004"/>
      <c r="E12" s="2004"/>
      <c r="F12" s="2004"/>
      <c r="G12" s="2004"/>
      <c r="H12" s="2004"/>
      <c r="I12" s="1561"/>
      <c r="J12" s="1561"/>
      <c r="K12" s="1561"/>
      <c r="L12" s="1561"/>
      <c r="M12" s="1561"/>
      <c r="N12" s="1561"/>
      <c r="O12" s="1561"/>
    </row>
    <row r="13" spans="2:29" s="418" customFormat="1" ht="15" customHeight="1" x14ac:dyDescent="0.2">
      <c r="B13" s="2004"/>
      <c r="C13" s="2004"/>
      <c r="D13" s="2004"/>
      <c r="E13" s="2004"/>
      <c r="F13" s="2004"/>
      <c r="G13" s="2004"/>
      <c r="H13" s="2004"/>
      <c r="M13" s="422"/>
    </row>
    <row r="14" spans="2:29" s="418" customFormat="1" ht="15" customHeight="1" x14ac:dyDescent="0.2">
      <c r="B14" s="2005" t="s">
        <v>5375</v>
      </c>
      <c r="C14" s="2004"/>
      <c r="D14" s="2004"/>
      <c r="E14" s="2004"/>
      <c r="F14" s="2004"/>
      <c r="G14" s="2084"/>
      <c r="H14" s="2004"/>
      <c r="I14" s="419"/>
      <c r="J14" s="419"/>
      <c r="K14" s="2791"/>
      <c r="L14" s="2791"/>
      <c r="M14" s="2791"/>
      <c r="N14" s="2791"/>
    </row>
    <row r="15" spans="2:29" s="418" customFormat="1" ht="15" customHeight="1" x14ac:dyDescent="0.2">
      <c r="B15" s="2004" t="s">
        <v>5376</v>
      </c>
      <c r="C15" s="2004"/>
      <c r="D15" s="2004"/>
      <c r="E15" s="2004"/>
      <c r="F15" s="2004"/>
      <c r="G15" s="2004"/>
      <c r="H15" s="2004"/>
      <c r="I15" s="423"/>
      <c r="J15" s="423"/>
      <c r="M15" s="422"/>
    </row>
    <row r="16" spans="2:29" s="418" customFormat="1" ht="15" customHeight="1" x14ac:dyDescent="0.2">
      <c r="B16" s="2004" t="s">
        <v>4663</v>
      </c>
      <c r="C16" s="2004"/>
      <c r="D16" s="2004"/>
      <c r="E16" s="2004"/>
      <c r="F16" s="2004"/>
      <c r="G16" s="2004"/>
      <c r="H16" s="2004"/>
      <c r="I16" s="419"/>
      <c r="J16" s="419"/>
      <c r="M16" s="422"/>
    </row>
    <row r="17" spans="2:17" s="418" customFormat="1" ht="15" customHeight="1" x14ac:dyDescent="0.2">
      <c r="B17" s="2006"/>
      <c r="C17" s="2006"/>
      <c r="D17" s="2006"/>
      <c r="E17" s="2006"/>
      <c r="F17" s="2006"/>
      <c r="G17" s="2006"/>
      <c r="H17" s="2006"/>
      <c r="K17" s="1561"/>
      <c r="L17" s="1561"/>
      <c r="M17" s="1561"/>
      <c r="N17" s="1561"/>
      <c r="O17" s="1561"/>
    </row>
    <row r="18" spans="2:17" s="418" customFormat="1" ht="15" customHeight="1" x14ac:dyDescent="0.2">
      <c r="B18" s="2006"/>
      <c r="C18" s="2006"/>
      <c r="D18" s="2006"/>
      <c r="E18" s="2006"/>
      <c r="F18" s="2006"/>
      <c r="G18" s="2006"/>
      <c r="H18" s="2006"/>
      <c r="I18" s="2009"/>
      <c r="J18" s="425"/>
      <c r="K18" s="1561"/>
      <c r="L18" s="1561"/>
      <c r="M18" s="1561"/>
      <c r="N18" s="1561"/>
      <c r="O18" s="1561"/>
    </row>
    <row r="19" spans="2:17" s="418" customFormat="1" ht="15" customHeight="1" x14ac:dyDescent="0.2">
      <c r="B19" s="2006"/>
      <c r="C19" s="2006"/>
      <c r="D19" s="2006"/>
      <c r="E19" s="2006"/>
      <c r="F19" s="2006"/>
      <c r="G19" s="2006"/>
      <c r="H19" s="2006"/>
      <c r="K19" s="1561"/>
      <c r="L19" s="1561"/>
      <c r="M19" s="1561"/>
      <c r="N19" s="1561"/>
      <c r="O19" s="1561"/>
    </row>
    <row r="20" spans="2:17" s="418" customFormat="1" ht="15" customHeight="1" x14ac:dyDescent="0.2">
      <c r="B20" s="2006"/>
      <c r="C20" s="2006"/>
      <c r="D20" s="2006"/>
      <c r="E20" s="2006"/>
      <c r="F20" s="2006"/>
      <c r="G20" s="2006"/>
      <c r="H20" s="2006"/>
    </row>
    <row r="21" spans="2:17" s="418" customFormat="1" ht="15" customHeight="1" x14ac:dyDescent="0.2">
      <c r="B21" s="2006"/>
      <c r="C21" s="2006"/>
      <c r="D21" s="2006"/>
      <c r="E21" s="2006"/>
      <c r="F21" s="2006"/>
      <c r="G21" s="2006"/>
      <c r="H21" s="2006"/>
      <c r="I21" s="425"/>
      <c r="J21" s="425"/>
      <c r="L21" s="425"/>
      <c r="Q21" s="428">
        <v>0.06</v>
      </c>
    </row>
    <row r="22" spans="2:17" s="418" customFormat="1" ht="15" customHeight="1" x14ac:dyDescent="0.2">
      <c r="B22" s="2006"/>
      <c r="C22" s="2006"/>
      <c r="D22" s="2006"/>
      <c r="E22" s="2006"/>
      <c r="F22" s="2006"/>
      <c r="G22" s="2006"/>
      <c r="H22" s="2006"/>
      <c r="I22" s="2010"/>
      <c r="N22" s="424"/>
      <c r="Q22" s="428"/>
    </row>
    <row r="23" spans="2:17" s="418" customFormat="1" ht="15" customHeight="1" x14ac:dyDescent="0.2">
      <c r="B23" s="2006"/>
      <c r="C23" s="2006"/>
      <c r="D23" s="2006"/>
      <c r="E23" s="2006"/>
      <c r="F23" s="2006"/>
      <c r="G23" s="2006"/>
      <c r="H23" s="2006"/>
      <c r="I23" s="425"/>
      <c r="J23" s="425"/>
      <c r="L23" s="425"/>
      <c r="Q23" s="428">
        <v>6.8400000000000002E-2</v>
      </c>
    </row>
    <row r="24" spans="2:17" s="418" customFormat="1" ht="15" customHeight="1" x14ac:dyDescent="0.2">
      <c r="B24" s="2006"/>
      <c r="C24" s="2006"/>
      <c r="D24" s="2006"/>
      <c r="E24" s="2006"/>
      <c r="F24" s="2006"/>
      <c r="G24" s="2006"/>
      <c r="H24" s="2006"/>
      <c r="I24" s="2010"/>
    </row>
    <row r="25" spans="2:17" s="418" customFormat="1" ht="15" customHeight="1" thickBot="1" x14ac:dyDescent="0.25">
      <c r="B25" s="2001"/>
      <c r="C25" s="2001"/>
      <c r="D25" s="2001"/>
      <c r="E25" s="2002"/>
      <c r="F25" s="2002"/>
      <c r="G25" s="2001"/>
      <c r="H25" s="2003"/>
      <c r="I25" s="425"/>
      <c r="J25" s="425"/>
      <c r="L25" s="425"/>
      <c r="M25" s="1561"/>
      <c r="N25" s="1561"/>
      <c r="O25" s="1561"/>
    </row>
    <row r="26" spans="2:17" s="418" customFormat="1" ht="15" customHeight="1" x14ac:dyDescent="0.2">
      <c r="B26" s="2000"/>
      <c r="C26" s="2000"/>
      <c r="D26" s="2000"/>
      <c r="E26" s="2000"/>
      <c r="F26" s="2000"/>
      <c r="G26" s="2000"/>
      <c r="H26" s="2000"/>
      <c r="M26" s="1561"/>
      <c r="N26" s="1561"/>
      <c r="O26" s="1561"/>
    </row>
    <row r="27" spans="2:17" s="418" customFormat="1" ht="15" customHeight="1" x14ac:dyDescent="0.2">
      <c r="B27" s="2004" t="s">
        <v>5636</v>
      </c>
      <c r="C27" s="2004"/>
      <c r="D27" s="2004"/>
      <c r="E27" s="2004"/>
      <c r="F27" s="2004"/>
      <c r="G27" s="2004"/>
      <c r="H27" s="2004"/>
      <c r="M27" s="1561"/>
      <c r="N27" s="1561"/>
      <c r="O27" s="1561"/>
    </row>
    <row r="28" spans="2:17" s="418" customFormat="1" ht="15" customHeight="1" x14ac:dyDescent="0.2">
      <c r="B28" s="2004" t="s">
        <v>4915</v>
      </c>
      <c r="C28" s="2004"/>
      <c r="D28" s="2004"/>
      <c r="E28" s="2004"/>
      <c r="F28" s="2004"/>
      <c r="G28" s="2004"/>
      <c r="H28" s="2004"/>
      <c r="M28" s="1561"/>
      <c r="N28" s="1561"/>
      <c r="O28" s="1561"/>
    </row>
    <row r="29" spans="2:17" s="418" customFormat="1" ht="15" customHeight="1" x14ac:dyDescent="0.2">
      <c r="B29" s="2004" t="s">
        <v>4664</v>
      </c>
      <c r="C29" s="2004"/>
      <c r="D29" s="2004"/>
      <c r="E29" s="2004"/>
      <c r="F29" s="2004"/>
      <c r="G29" s="2004"/>
      <c r="H29" s="2004"/>
      <c r="M29" s="1561"/>
      <c r="N29" s="1561"/>
      <c r="O29" s="1561"/>
    </row>
    <row r="30" spans="2:17" s="418" customFormat="1" ht="15" customHeight="1" x14ac:dyDescent="0.2">
      <c r="B30" s="2006"/>
      <c r="C30" s="2006"/>
      <c r="D30" s="2006"/>
      <c r="E30" s="2006"/>
      <c r="F30" s="2006"/>
      <c r="G30" s="2006"/>
      <c r="H30" s="2006"/>
      <c r="M30" s="1561"/>
      <c r="N30" s="1561"/>
      <c r="O30" s="1561"/>
    </row>
    <row r="31" spans="2:17" s="418" customFormat="1" ht="15" customHeight="1" x14ac:dyDescent="0.2">
      <c r="B31" s="2005" t="s">
        <v>5377</v>
      </c>
      <c r="C31" s="2004"/>
      <c r="D31" s="2004"/>
      <c r="E31" s="2004"/>
      <c r="F31" s="2004"/>
      <c r="G31" s="2084"/>
      <c r="H31" s="2004"/>
      <c r="I31" s="1562"/>
      <c r="K31" s="2790"/>
      <c r="L31" s="2791"/>
      <c r="M31" s="2791"/>
      <c r="N31" s="2791"/>
      <c r="O31" s="1561"/>
    </row>
    <row r="32" spans="2:17" s="418" customFormat="1" ht="15" customHeight="1" x14ac:dyDescent="0.2">
      <c r="B32" s="2004" t="s">
        <v>5378</v>
      </c>
      <c r="C32" s="2004"/>
      <c r="D32" s="2004"/>
      <c r="E32" s="2004"/>
      <c r="F32" s="2004"/>
      <c r="G32" s="2004"/>
      <c r="H32" s="2004"/>
      <c r="M32" s="1561"/>
      <c r="N32" s="1561"/>
      <c r="O32" s="1561"/>
    </row>
    <row r="33" spans="1:15" s="418" customFormat="1" ht="15" customHeight="1" x14ac:dyDescent="0.2">
      <c r="B33" s="2004" t="s">
        <v>4663</v>
      </c>
      <c r="C33" s="2004"/>
      <c r="D33" s="2004"/>
      <c r="E33" s="2004"/>
      <c r="F33" s="2004"/>
      <c r="G33" s="2004"/>
      <c r="H33" s="2004"/>
      <c r="M33" s="1561"/>
      <c r="N33" s="1561"/>
      <c r="O33" s="1561"/>
    </row>
    <row r="34" spans="1:15" s="418" customFormat="1" ht="15" customHeight="1" x14ac:dyDescent="0.2">
      <c r="B34" s="2006"/>
      <c r="C34" s="2006"/>
      <c r="D34" s="2006"/>
      <c r="E34" s="2006"/>
      <c r="F34" s="2006"/>
      <c r="G34" s="2006"/>
      <c r="H34" s="2006"/>
      <c r="M34" s="1561"/>
      <c r="N34" s="1561"/>
      <c r="O34" s="1561"/>
    </row>
    <row r="35" spans="1:15" s="418" customFormat="1" ht="15" customHeight="1" x14ac:dyDescent="0.2">
      <c r="B35" s="2006"/>
      <c r="C35" s="2006"/>
      <c r="D35" s="2006"/>
      <c r="E35" s="2006"/>
      <c r="F35" s="2006"/>
      <c r="G35" s="2006"/>
      <c r="H35" s="2006"/>
      <c r="I35" s="424"/>
      <c r="J35" s="424"/>
      <c r="K35" s="424"/>
      <c r="M35" s="2007"/>
      <c r="O35" s="1443"/>
    </row>
    <row r="36" spans="1:15" s="418" customFormat="1" ht="15" customHeight="1" x14ac:dyDescent="0.2">
      <c r="B36" s="2006"/>
      <c r="C36" s="2006"/>
      <c r="D36" s="2006"/>
      <c r="E36" s="2006"/>
      <c r="F36" s="2006"/>
      <c r="G36" s="2006"/>
      <c r="H36" s="2006"/>
      <c r="M36" s="1561"/>
      <c r="N36" s="1561"/>
      <c r="O36" s="1561"/>
    </row>
    <row r="37" spans="1:15" s="418" customFormat="1" ht="15" customHeight="1" x14ac:dyDescent="0.2">
      <c r="B37" s="2006"/>
      <c r="C37" s="2006"/>
      <c r="D37" s="2006"/>
      <c r="E37" s="2006"/>
      <c r="F37" s="2006"/>
      <c r="G37" s="2006"/>
      <c r="H37" s="2006"/>
      <c r="M37" s="1561"/>
      <c r="N37" s="1561"/>
      <c r="O37" s="1561"/>
    </row>
    <row r="38" spans="1:15" s="418" customFormat="1" ht="15" customHeight="1" x14ac:dyDescent="0.2">
      <c r="B38" s="2006"/>
      <c r="C38" s="2006"/>
      <c r="D38" s="2006"/>
      <c r="E38" s="2006"/>
      <c r="F38" s="2006"/>
      <c r="G38" s="2006"/>
      <c r="H38" s="2006"/>
      <c r="M38" s="1561"/>
      <c r="N38" s="1561"/>
      <c r="O38" s="1561"/>
    </row>
    <row r="39" spans="1:15" s="418" customFormat="1" ht="15" customHeight="1" x14ac:dyDescent="0.2">
      <c r="B39" s="2006"/>
      <c r="C39" s="2006"/>
      <c r="D39" s="2006"/>
      <c r="E39" s="2006"/>
      <c r="F39" s="2006"/>
      <c r="G39" s="2006"/>
      <c r="H39" s="2006"/>
      <c r="M39" s="1561"/>
      <c r="N39" s="1561"/>
      <c r="O39" s="1561"/>
    </row>
    <row r="40" spans="1:15" s="418" customFormat="1" ht="15" customHeight="1" x14ac:dyDescent="0.2">
      <c r="B40" s="2006"/>
      <c r="C40" s="2006"/>
      <c r="D40" s="2006"/>
      <c r="E40" s="2006"/>
      <c r="F40" s="2006"/>
      <c r="G40" s="2006"/>
      <c r="H40" s="2006"/>
      <c r="M40" s="1561"/>
      <c r="N40" s="1608"/>
      <c r="O40" s="1607"/>
    </row>
    <row r="41" spans="1:15" s="418" customFormat="1" ht="6" customHeight="1" x14ac:dyDescent="0.2">
      <c r="B41" s="2006"/>
      <c r="C41" s="2006"/>
      <c r="D41" s="2006"/>
      <c r="E41" s="2006"/>
      <c r="F41" s="2006"/>
      <c r="G41" s="2006"/>
      <c r="H41" s="2006"/>
    </row>
    <row r="42" spans="1:15" s="418" customFormat="1" ht="15" customHeight="1" thickBot="1" x14ac:dyDescent="0.25">
      <c r="B42" s="2001"/>
      <c r="C42" s="2001"/>
      <c r="D42" s="2001"/>
      <c r="E42" s="2002"/>
      <c r="F42" s="2002"/>
      <c r="G42" s="2001"/>
      <c r="H42" s="2003"/>
      <c r="M42" s="1561"/>
      <c r="N42" s="1561"/>
      <c r="O42" s="2008"/>
    </row>
    <row r="43" spans="1:15" s="418" customFormat="1" ht="6" customHeight="1" x14ac:dyDescent="0.2">
      <c r="B43" s="2000"/>
      <c r="C43" s="2000"/>
      <c r="D43" s="2000"/>
      <c r="E43" s="2000"/>
      <c r="F43" s="2000"/>
      <c r="G43" s="2000"/>
      <c r="H43" s="2000"/>
      <c r="M43" s="1561"/>
      <c r="N43" s="1561"/>
      <c r="O43" s="1607"/>
    </row>
    <row r="44" spans="1:15" s="418" customFormat="1" ht="15" customHeight="1" x14ac:dyDescent="0.2">
      <c r="B44" s="2004" t="s">
        <v>5637</v>
      </c>
      <c r="C44" s="2004"/>
      <c r="D44" s="2004"/>
      <c r="E44" s="2004"/>
      <c r="F44" s="2004"/>
      <c r="G44" s="2004"/>
      <c r="H44" s="2004"/>
      <c r="M44" s="1561"/>
      <c r="N44" s="1561"/>
      <c r="O44" s="1607"/>
    </row>
    <row r="45" spans="1:15" s="418" customFormat="1" ht="15" customHeight="1" x14ac:dyDescent="0.2">
      <c r="B45" s="2004" t="s">
        <v>4915</v>
      </c>
      <c r="C45" s="2004"/>
      <c r="D45" s="2004"/>
      <c r="E45" s="2004"/>
      <c r="F45" s="2004"/>
      <c r="G45" s="2004"/>
      <c r="H45" s="2004"/>
    </row>
    <row r="46" spans="1:15" s="418" customFormat="1" ht="15" customHeight="1" x14ac:dyDescent="0.2">
      <c r="B46" s="2004" t="s">
        <v>4665</v>
      </c>
      <c r="C46" s="2004"/>
      <c r="D46" s="2004"/>
      <c r="E46" s="2004"/>
      <c r="F46" s="2004"/>
      <c r="G46" s="2004"/>
      <c r="H46" s="2004"/>
    </row>
    <row r="47" spans="1:15" s="418" customFormat="1" ht="15" customHeight="1" x14ac:dyDescent="0.2">
      <c r="B47" s="2006"/>
      <c r="C47" s="2006"/>
      <c r="D47" s="2006"/>
      <c r="E47" s="2006"/>
      <c r="F47" s="2006"/>
      <c r="G47" s="2006"/>
      <c r="H47" s="2006"/>
    </row>
    <row r="48" spans="1:15" s="418" customFormat="1" ht="15" customHeight="1" x14ac:dyDescent="0.2">
      <c r="A48" s="443" t="str">
        <f ca="1">MID(CELL("filename",A7),FIND("]",CELL("filename",A7))+1,256)</f>
        <v>602</v>
      </c>
      <c r="B48" s="2005" t="s">
        <v>5379</v>
      </c>
      <c r="C48" s="2004"/>
      <c r="D48" s="2004"/>
      <c r="E48" s="2004"/>
      <c r="F48" s="2004"/>
      <c r="G48" s="2084"/>
      <c r="H48" s="2004"/>
      <c r="K48" s="2790"/>
      <c r="L48" s="2791"/>
      <c r="M48" s="2791"/>
      <c r="N48" s="2791"/>
    </row>
    <row r="49" spans="1:8" s="418" customFormat="1" ht="15" customHeight="1" x14ac:dyDescent="0.2">
      <c r="A49" s="443" t="s">
        <v>446</v>
      </c>
      <c r="B49" s="2004" t="s">
        <v>5378</v>
      </c>
      <c r="C49" s="2004"/>
      <c r="D49" s="2004"/>
      <c r="E49" s="2004"/>
      <c r="F49" s="2004"/>
      <c r="G49" s="2004"/>
      <c r="H49" s="2004"/>
    </row>
    <row r="50" spans="1:8" s="418" customFormat="1" ht="15" customHeight="1" x14ac:dyDescent="0.2">
      <c r="A50" s="443" t="s">
        <v>447</v>
      </c>
      <c r="B50" s="2004" t="s">
        <v>4663</v>
      </c>
      <c r="C50" s="2004"/>
      <c r="D50" s="2004"/>
      <c r="E50" s="2004"/>
      <c r="F50" s="2004"/>
      <c r="G50" s="2004"/>
      <c r="H50" s="2004"/>
    </row>
    <row r="51" spans="1:8" s="418" customFormat="1" ht="15" customHeight="1" x14ac:dyDescent="0.2">
      <c r="A51" s="443" t="s">
        <v>448</v>
      </c>
      <c r="B51" s="2006"/>
      <c r="C51" s="2006"/>
      <c r="D51" s="2006"/>
      <c r="E51" s="2006"/>
      <c r="F51" s="2006"/>
      <c r="G51" s="2006"/>
      <c r="H51" s="2006"/>
    </row>
    <row r="52" spans="1:8" s="418" customFormat="1" ht="15" customHeight="1" x14ac:dyDescent="0.2">
      <c r="A52" s="443" t="s">
        <v>450</v>
      </c>
      <c r="B52" s="2006"/>
      <c r="C52" s="2006"/>
      <c r="D52" s="2006"/>
      <c r="E52" s="2006"/>
      <c r="F52" s="2006"/>
      <c r="G52" s="2006"/>
      <c r="H52" s="2006"/>
    </row>
    <row r="53" spans="1:8" s="418" customFormat="1" ht="15" x14ac:dyDescent="0.2">
      <c r="A53" s="443" t="s">
        <v>451</v>
      </c>
      <c r="B53" s="2006"/>
      <c r="C53" s="2006"/>
      <c r="D53" s="2006"/>
      <c r="E53" s="2006"/>
      <c r="F53" s="2006"/>
      <c r="G53" s="2006"/>
      <c r="H53" s="2006"/>
    </row>
    <row r="54" spans="1:8" s="418" customFormat="1" ht="15" x14ac:dyDescent="0.2">
      <c r="A54" s="443" t="s">
        <v>452</v>
      </c>
      <c r="B54" s="2006"/>
      <c r="C54" s="2006"/>
      <c r="D54" s="2006"/>
      <c r="E54" s="2006"/>
      <c r="F54" s="2006"/>
      <c r="G54" s="2006"/>
      <c r="H54" s="2006"/>
    </row>
    <row r="55" spans="1:8" s="418" customFormat="1" ht="15" x14ac:dyDescent="0.2">
      <c r="A55" s="443" t="s">
        <v>453</v>
      </c>
      <c r="B55" s="2006"/>
      <c r="C55" s="2006"/>
      <c r="D55" s="2006"/>
      <c r="E55" s="2006"/>
      <c r="F55" s="2006"/>
      <c r="G55" s="2006"/>
      <c r="H55" s="2006"/>
    </row>
    <row r="56" spans="1:8" s="418" customFormat="1" ht="15" x14ac:dyDescent="0.2">
      <c r="A56" s="443" t="s">
        <v>454</v>
      </c>
      <c r="B56" s="2006"/>
      <c r="C56" s="2006"/>
      <c r="D56" s="2006"/>
      <c r="E56" s="2006"/>
      <c r="F56" s="2006"/>
      <c r="G56" s="2006"/>
      <c r="H56" s="2006"/>
    </row>
    <row r="57" spans="1:8" s="418" customFormat="1" ht="15" x14ac:dyDescent="0.2">
      <c r="A57" s="443" t="s">
        <v>455</v>
      </c>
      <c r="B57" s="2006"/>
      <c r="C57" s="2006"/>
      <c r="D57" s="2006"/>
      <c r="E57" s="2006"/>
      <c r="F57" s="2006"/>
      <c r="G57" s="2006"/>
      <c r="H57" s="2006"/>
    </row>
    <row r="58" spans="1:8" s="418" customFormat="1" ht="15" x14ac:dyDescent="0.2">
      <c r="A58" s="443" t="s">
        <v>456</v>
      </c>
      <c r="B58" s="2006"/>
      <c r="C58" s="2006"/>
      <c r="D58" s="2006"/>
      <c r="E58" s="2006"/>
      <c r="F58" s="2006"/>
      <c r="G58" s="2006"/>
      <c r="H58" s="2006"/>
    </row>
    <row r="59" spans="1:8" s="418" customFormat="1" ht="12.75" x14ac:dyDescent="0.2"/>
    <row r="60" spans="1:8" s="418" customFormat="1" ht="12.75" x14ac:dyDescent="0.2"/>
    <row r="61" spans="1:8" s="426" customFormat="1" ht="12" x14ac:dyDescent="0.2"/>
    <row r="62" spans="1:8" s="426" customFormat="1" ht="12" x14ac:dyDescent="0.2"/>
    <row r="63" spans="1:8" s="426" customFormat="1" ht="12" x14ac:dyDescent="0.2"/>
    <row r="64" spans="1:8" s="426" customFormat="1" ht="12" x14ac:dyDescent="0.2"/>
    <row r="65" s="426" customFormat="1" ht="12" x14ac:dyDescent="0.2"/>
    <row r="66" s="426" customFormat="1" ht="12" x14ac:dyDescent="0.2"/>
    <row r="67" s="426" customFormat="1" ht="12" x14ac:dyDescent="0.2"/>
    <row r="68" s="426" customFormat="1" ht="12" x14ac:dyDescent="0.2"/>
    <row r="69" s="426" customFormat="1" ht="12" x14ac:dyDescent="0.2"/>
    <row r="70" s="426" customFormat="1" ht="12" x14ac:dyDescent="0.2"/>
    <row r="71" s="426" customFormat="1" ht="12" x14ac:dyDescent="0.2"/>
    <row r="72" s="426" customFormat="1" ht="12" x14ac:dyDescent="0.2"/>
    <row r="73" s="426" customFormat="1" ht="12" x14ac:dyDescent="0.2"/>
    <row r="74" s="426" customFormat="1" ht="12" x14ac:dyDescent="0.2"/>
    <row r="75" s="426" customFormat="1" ht="12" x14ac:dyDescent="0.2"/>
    <row r="76" s="426" customFormat="1" ht="12" x14ac:dyDescent="0.2"/>
    <row r="77" s="426" customFormat="1" ht="12" x14ac:dyDescent="0.2"/>
    <row r="78" s="426" customFormat="1" ht="12" x14ac:dyDescent="0.2"/>
    <row r="79" s="426" customFormat="1" ht="12" x14ac:dyDescent="0.2"/>
    <row r="80" s="426" customFormat="1" ht="12" x14ac:dyDescent="0.2"/>
    <row r="81" s="426" customFormat="1" ht="12" x14ac:dyDescent="0.2"/>
    <row r="82" s="426" customFormat="1" ht="12" x14ac:dyDescent="0.2"/>
    <row r="83" s="426" customFormat="1" ht="12" x14ac:dyDescent="0.2"/>
    <row r="84" s="426" customFormat="1" ht="12" x14ac:dyDescent="0.2"/>
  </sheetData>
  <sheetProtection algorithmName="SHA-512" hashValue="8wlbEms8KpWQvMyaGbRoOPNGhhqx8bq3tMDDTookpaDSxDXWyhL8Hz1eOCs7cMGjinhdIdHKJZC3wzDiekJn1A==" saltValue="EypxJQds8TLz//oDlUolOQ==" spinCount="100000" sheet="1" objects="1" scenarios="1" autoFilter="0"/>
  <mergeCells count="12">
    <mergeCell ref="B1:O1"/>
    <mergeCell ref="B2:O2"/>
    <mergeCell ref="B3:O3"/>
    <mergeCell ref="E5:H5"/>
    <mergeCell ref="M5:O5"/>
    <mergeCell ref="K48:N48"/>
    <mergeCell ref="K31:N31"/>
    <mergeCell ref="E6:H6"/>
    <mergeCell ref="M6:O6"/>
    <mergeCell ref="E7:H7"/>
    <mergeCell ref="M7:O7"/>
    <mergeCell ref="K14:N14"/>
  </mergeCells>
  <conditionalFormatting sqref="P1:P3">
    <cfRule type="cellIs" dxfId="49" priority="2" stopIfTrue="1" operator="equal">
      <formula>"na"</formula>
    </cfRule>
  </conditionalFormatting>
  <conditionalFormatting sqref="O35">
    <cfRule type="containsText" dxfId="48" priority="1" stopIfTrue="1" operator="containsText" text="Answer Missing">
      <formula>NOT(ISERROR(SEARCH("Answer Missing",O35)))</formula>
    </cfRule>
  </conditionalFormatting>
  <hyperlinks>
    <hyperlink ref="B1:O1" location="Index!A1" display="Index!A1" xr:uid="{1C8D7A2C-8446-4F4E-8B0E-F6E05528FD5B}"/>
  </hyperlinks>
  <pageMargins left="0.75" right="0.5" top="0.5" bottom="0.5" header="0.5" footer="0.5"/>
  <pageSetup scale="89" orientation="portrait" r:id="rId1"/>
  <headerFooter alignWithMargins="0">
    <oddFooter>&amp;R&amp;A</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7">
    <pageSetUpPr fitToPage="1"/>
  </sheetPr>
  <dimension ref="A1:AC84"/>
  <sheetViews>
    <sheetView showGridLines="0" topLeftCell="B1" zoomScaleNormal="100" workbookViewId="0">
      <selection activeCell="C4" sqref="C4"/>
    </sheetView>
  </sheetViews>
  <sheetFormatPr defaultColWidth="9.42578125" defaultRowHeight="11.25" x14ac:dyDescent="0.2"/>
  <cols>
    <col min="1" max="1" width="0" style="427" hidden="1" customWidth="1"/>
    <col min="2" max="2" width="3.5703125" style="427" customWidth="1"/>
    <col min="3" max="3" width="12.5703125" style="427" customWidth="1"/>
    <col min="4" max="9" width="3.5703125" style="427" customWidth="1"/>
    <col min="10" max="10" width="1.5703125" style="427" customWidth="1"/>
    <col min="11" max="11" width="11.5703125" style="427" customWidth="1"/>
    <col min="12" max="12" width="1.5703125" style="427" customWidth="1"/>
    <col min="13" max="13" width="12.5703125" style="427" customWidth="1"/>
    <col min="14" max="14" width="3.42578125" style="427" bestFit="1" customWidth="1"/>
    <col min="15" max="15" width="19.5703125" style="427" customWidth="1"/>
    <col min="16" max="16" width="4.5703125" style="427" customWidth="1"/>
    <col min="17" max="17" width="9.42578125" style="427" hidden="1" customWidth="1"/>
    <col min="18" max="16384" width="9.42578125" style="427"/>
  </cols>
  <sheetData>
    <row r="1" spans="2:29" s="416" customFormat="1" ht="25.15" customHeight="1" x14ac:dyDescent="0.25">
      <c r="B1" s="2449" t="str">
        <f>+Index!$A$1</f>
        <v xml:space="preserve">                                                               Office of the State Controller                                                                </v>
      </c>
      <c r="C1" s="2449"/>
      <c r="D1" s="2449"/>
      <c r="E1" s="2449"/>
      <c r="F1" s="2449"/>
      <c r="G1" s="2449"/>
      <c r="H1" s="2449"/>
      <c r="I1" s="2449"/>
      <c r="J1" s="2449"/>
      <c r="K1" s="2449"/>
      <c r="L1" s="2449"/>
      <c r="M1" s="2449"/>
      <c r="N1" s="2449"/>
      <c r="O1" s="2449"/>
      <c r="P1" s="2041" t="str">
        <f>IF(Index!$B$79="na","NA","")</f>
        <v/>
      </c>
      <c r="AC1" s="417"/>
    </row>
    <row r="2" spans="2:29" s="416" customFormat="1" ht="15" customHeight="1" x14ac:dyDescent="0.25">
      <c r="B2" s="2794" t="str">
        <f>+Index!$A$2</f>
        <v>2022 ACFR Worksheets</v>
      </c>
      <c r="C2" s="2794"/>
      <c r="D2" s="2794"/>
      <c r="E2" s="2794"/>
      <c r="F2" s="2794"/>
      <c r="G2" s="2794"/>
      <c r="H2" s="2794"/>
      <c r="I2" s="2794"/>
      <c r="J2" s="2794"/>
      <c r="K2" s="2794"/>
      <c r="L2" s="2794"/>
      <c r="M2" s="2794"/>
      <c r="N2" s="2794"/>
      <c r="O2" s="2794"/>
      <c r="P2" s="2041"/>
    </row>
    <row r="3" spans="2:29" s="416" customFormat="1" ht="15" customHeight="1" x14ac:dyDescent="0.25">
      <c r="B3" s="2794" t="s">
        <v>3634</v>
      </c>
      <c r="C3" s="2794"/>
      <c r="D3" s="2794"/>
      <c r="E3" s="2794"/>
      <c r="F3" s="2794"/>
      <c r="G3" s="2794"/>
      <c r="H3" s="2794"/>
      <c r="I3" s="2794"/>
      <c r="J3" s="2794"/>
      <c r="K3" s="2794"/>
      <c r="L3" s="2794"/>
      <c r="M3" s="2794"/>
      <c r="N3" s="2794"/>
      <c r="O3" s="2794"/>
      <c r="P3" s="2041"/>
    </row>
    <row r="4" spans="2:29" s="418" customFormat="1" ht="15" customHeight="1" x14ac:dyDescent="0.2">
      <c r="K4" s="419"/>
    </row>
    <row r="5" spans="2:29" s="418" customFormat="1" ht="15" customHeight="1" x14ac:dyDescent="0.2">
      <c r="B5" s="786" t="s">
        <v>817</v>
      </c>
      <c r="E5" s="2792" t="str">
        <f>+Index!$E$10</f>
        <v>01</v>
      </c>
      <c r="F5" s="2792"/>
      <c r="G5" s="2792"/>
      <c r="H5" s="2792"/>
      <c r="K5" s="420" t="s">
        <v>818</v>
      </c>
      <c r="M5" s="2488" t="str">
        <f>+Index!$E$11</f>
        <v>North Carolina General Assembly</v>
      </c>
      <c r="N5" s="2488"/>
      <c r="O5" s="2488"/>
    </row>
    <row r="6" spans="2:29" s="418" customFormat="1" ht="15" customHeight="1" x14ac:dyDescent="0.2">
      <c r="B6" s="418" t="s">
        <v>477</v>
      </c>
      <c r="E6" s="2792" t="s">
        <v>256</v>
      </c>
      <c r="F6" s="2792"/>
      <c r="G6" s="2792"/>
      <c r="H6" s="2792"/>
      <c r="K6" s="420" t="s">
        <v>972</v>
      </c>
      <c r="M6" s="2513" t="str">
        <f>CONCATENATE(Index!$E$12," ",Index!$E$14)</f>
        <v xml:space="preserve"> </v>
      </c>
      <c r="N6" s="2513"/>
      <c r="O6" s="2513"/>
    </row>
    <row r="7" spans="2:29" s="418" customFormat="1" ht="15" customHeight="1" x14ac:dyDescent="0.2">
      <c r="E7" s="2793"/>
      <c r="F7" s="2793"/>
      <c r="G7" s="2793"/>
      <c r="H7" s="2793"/>
      <c r="K7" s="420" t="s">
        <v>348</v>
      </c>
      <c r="M7" s="2490">
        <f>+Index!$E$13</f>
        <v>0</v>
      </c>
      <c r="N7" s="2490"/>
      <c r="O7" s="2490"/>
    </row>
    <row r="8" spans="2:29" s="418" customFormat="1" ht="15" customHeight="1" thickBot="1" x14ac:dyDescent="0.25">
      <c r="B8" s="421"/>
      <c r="C8" s="421"/>
      <c r="D8" s="421"/>
      <c r="E8" s="421"/>
      <c r="F8" s="421"/>
      <c r="G8" s="421"/>
      <c r="H8" s="421"/>
      <c r="I8" s="421"/>
      <c r="J8" s="421"/>
      <c r="K8" s="421"/>
      <c r="L8" s="421"/>
      <c r="M8" s="421"/>
      <c r="N8" s="421"/>
      <c r="O8" s="421"/>
    </row>
    <row r="9" spans="2:29" s="418" customFormat="1" ht="15" customHeight="1" x14ac:dyDescent="0.2"/>
    <row r="10" spans="2:29" s="418" customFormat="1" ht="15" customHeight="1" x14ac:dyDescent="0.2">
      <c r="B10" s="2798" t="s">
        <v>4230</v>
      </c>
      <c r="C10" s="2799"/>
      <c r="D10" s="2799"/>
      <c r="E10" s="2799"/>
      <c r="F10" s="2799"/>
      <c r="G10" s="2799"/>
      <c r="H10" s="2799"/>
      <c r="I10" s="2799"/>
      <c r="J10" s="2799"/>
      <c r="K10" s="2799"/>
      <c r="L10" s="2799"/>
      <c r="M10" s="2799"/>
      <c r="N10" s="2799"/>
      <c r="O10" s="2799"/>
    </row>
    <row r="11" spans="2:29" s="418" customFormat="1" ht="15" customHeight="1" x14ac:dyDescent="0.2">
      <c r="B11" s="2799"/>
      <c r="C11" s="2799"/>
      <c r="D11" s="2799"/>
      <c r="E11" s="2799"/>
      <c r="F11" s="2799"/>
      <c r="G11" s="2799"/>
      <c r="H11" s="2799"/>
      <c r="I11" s="2799"/>
      <c r="J11" s="2799"/>
      <c r="K11" s="2799"/>
      <c r="L11" s="2799"/>
      <c r="M11" s="2799"/>
      <c r="N11" s="2799"/>
      <c r="O11" s="2799"/>
    </row>
    <row r="12" spans="2:29" s="418" customFormat="1" ht="15" customHeight="1" x14ac:dyDescent="0.2">
      <c r="B12" s="2799"/>
      <c r="C12" s="2799"/>
      <c r="D12" s="2799"/>
      <c r="E12" s="2799"/>
      <c r="F12" s="2799"/>
      <c r="G12" s="2799"/>
      <c r="H12" s="2799"/>
      <c r="I12" s="2799"/>
      <c r="J12" s="2799"/>
      <c r="K12" s="2799"/>
      <c r="L12" s="2799"/>
      <c r="M12" s="2799"/>
      <c r="N12" s="2799"/>
      <c r="O12" s="2799"/>
    </row>
    <row r="13" spans="2:29" s="418" customFormat="1" ht="15" customHeight="1" x14ac:dyDescent="0.2">
      <c r="M13" s="422"/>
    </row>
    <row r="14" spans="2:29" s="418" customFormat="1" ht="15" customHeight="1" x14ac:dyDescent="0.2">
      <c r="E14" s="2800" t="s">
        <v>257</v>
      </c>
      <c r="F14" s="2800"/>
      <c r="G14" s="2800"/>
      <c r="H14" s="2800"/>
      <c r="I14" s="2800"/>
      <c r="J14" s="419"/>
      <c r="M14" s="422"/>
    </row>
    <row r="15" spans="2:29" s="418" customFormat="1" ht="15" customHeight="1" x14ac:dyDescent="0.2">
      <c r="E15" s="2801">
        <f>+Data!$A$2</f>
        <v>44742</v>
      </c>
      <c r="F15" s="2801"/>
      <c r="G15" s="2801"/>
      <c r="H15" s="2801"/>
      <c r="I15" s="2801"/>
      <c r="J15" s="423"/>
      <c r="M15" s="422"/>
    </row>
    <row r="16" spans="2:29" s="418" customFormat="1" ht="15" customHeight="1" x14ac:dyDescent="0.2">
      <c r="E16" s="2795" t="s">
        <v>1191</v>
      </c>
      <c r="F16" s="2795"/>
      <c r="G16" s="2795"/>
      <c r="H16" s="2795"/>
      <c r="I16" s="2795"/>
      <c r="J16" s="419"/>
      <c r="M16" s="422"/>
    </row>
    <row r="17" spans="2:17" s="418" customFormat="1" ht="15" customHeight="1" x14ac:dyDescent="0.2">
      <c r="K17" s="2799" t="s">
        <v>916</v>
      </c>
      <c r="L17" s="2799"/>
      <c r="M17" s="2799"/>
      <c r="N17" s="2799"/>
      <c r="O17" s="2799"/>
    </row>
    <row r="18" spans="2:17" s="418" customFormat="1" ht="15" customHeight="1" thickBot="1" x14ac:dyDescent="0.25">
      <c r="B18" s="424" t="s">
        <v>1195</v>
      </c>
      <c r="E18" s="2796"/>
      <c r="F18" s="2797"/>
      <c r="G18" s="2797"/>
      <c r="H18" s="2797"/>
      <c r="I18" s="2797"/>
      <c r="J18" s="425"/>
      <c r="K18" s="2799"/>
      <c r="L18" s="2799"/>
      <c r="M18" s="2799"/>
      <c r="N18" s="2799"/>
      <c r="O18" s="2799"/>
    </row>
    <row r="19" spans="2:17" s="418" customFormat="1" ht="15" customHeight="1" x14ac:dyDescent="0.2">
      <c r="E19" s="425"/>
      <c r="K19" s="2799"/>
      <c r="L19" s="2799"/>
      <c r="M19" s="2799"/>
      <c r="N19" s="2799"/>
      <c r="O19" s="2799"/>
    </row>
    <row r="20" spans="2:17" s="418" customFormat="1" ht="15" customHeight="1" x14ac:dyDescent="0.2">
      <c r="B20" s="424" t="s">
        <v>1196</v>
      </c>
      <c r="E20" s="425"/>
    </row>
    <row r="21" spans="2:17" s="418" customFormat="1" ht="15" customHeight="1" thickBot="1" x14ac:dyDescent="0.25">
      <c r="C21" s="418" t="s">
        <v>1193</v>
      </c>
      <c r="E21" s="2811">
        <f>+$E$18*Q21</f>
        <v>0</v>
      </c>
      <c r="F21" s="2811"/>
      <c r="G21" s="2811"/>
      <c r="H21" s="2811"/>
      <c r="I21" s="2811"/>
      <c r="J21" s="425"/>
      <c r="L21" s="425"/>
      <c r="Q21" s="428">
        <v>0.06</v>
      </c>
    </row>
    <row r="22" spans="2:17" s="418" customFormat="1" ht="15" customHeight="1" x14ac:dyDescent="0.2">
      <c r="E22" s="2813" t="s">
        <v>153</v>
      </c>
      <c r="F22" s="2813"/>
      <c r="G22" s="2813"/>
      <c r="H22" s="2813"/>
      <c r="I22" s="2813"/>
      <c r="N22" s="424"/>
      <c r="Q22" s="428"/>
    </row>
    <row r="23" spans="2:17" s="418" customFormat="1" ht="15" customHeight="1" thickBot="1" x14ac:dyDescent="0.25">
      <c r="B23" s="1562"/>
      <c r="C23" s="418" t="s">
        <v>1194</v>
      </c>
      <c r="E23" s="2811">
        <f>+$E$18*Q23</f>
        <v>0</v>
      </c>
      <c r="F23" s="2811"/>
      <c r="G23" s="2811"/>
      <c r="H23" s="2811"/>
      <c r="I23" s="2811"/>
      <c r="J23" s="425"/>
      <c r="L23" s="425"/>
      <c r="Q23" s="428">
        <v>6.8400000000000002E-2</v>
      </c>
    </row>
    <row r="24" spans="2:17" s="418" customFormat="1" ht="15" customHeight="1" x14ac:dyDescent="0.2">
      <c r="E24" s="2813" t="s">
        <v>154</v>
      </c>
      <c r="F24" s="2813"/>
      <c r="G24" s="2813"/>
      <c r="H24" s="2813"/>
      <c r="I24" s="2813"/>
    </row>
    <row r="25" spans="2:17" s="418" customFormat="1" ht="15" customHeight="1" thickBot="1" x14ac:dyDescent="0.25">
      <c r="B25" s="424" t="s">
        <v>1192</v>
      </c>
      <c r="E25" s="2812">
        <f>+E21+E23</f>
        <v>0</v>
      </c>
      <c r="F25" s="2812"/>
      <c r="G25" s="2812"/>
      <c r="H25" s="2812"/>
      <c r="I25" s="2812"/>
      <c r="J25" s="425"/>
      <c r="L25" s="425"/>
      <c r="M25" s="2808" t="str">
        <f>CONCATENATE("Should agree to total amount remitted to all ORP carriers for payrolls incurred during the fiscal year ended ",+TEXT(Data!$A$2,"mmmm d, yyyy"),", on the accrual basis.")</f>
        <v>Should agree to total amount remitted to all ORP carriers for payrolls incurred during the fiscal year ended June 30, 2022, on the accrual basis.</v>
      </c>
      <c r="N25" s="2809"/>
      <c r="O25" s="2810"/>
    </row>
    <row r="26" spans="2:17" s="418" customFormat="1" ht="15" customHeight="1" thickTop="1" x14ac:dyDescent="0.2">
      <c r="M26" s="2803"/>
      <c r="N26" s="2799"/>
      <c r="O26" s="2804"/>
    </row>
    <row r="27" spans="2:17" s="418" customFormat="1" ht="15" customHeight="1" x14ac:dyDescent="0.2">
      <c r="B27" s="424" t="s">
        <v>917</v>
      </c>
      <c r="D27" s="418" t="s">
        <v>794</v>
      </c>
      <c r="M27" s="2803"/>
      <c r="N27" s="2799"/>
      <c r="O27" s="2804"/>
    </row>
    <row r="28" spans="2:17" s="418" customFormat="1" ht="15" customHeight="1" x14ac:dyDescent="0.2">
      <c r="D28" s="418" t="s">
        <v>702</v>
      </c>
      <c r="M28" s="2803"/>
      <c r="N28" s="2799"/>
      <c r="O28" s="2804"/>
    </row>
    <row r="29" spans="2:17" s="418" customFormat="1" ht="15" customHeight="1" x14ac:dyDescent="0.2">
      <c r="D29" s="418" t="s">
        <v>703</v>
      </c>
      <c r="M29" s="2803" t="str">
        <f>CONCATENATE("Note: Include the contributions related to payrolls incurred during ",+TEXT(Data!$A$2,"mmmm yyyy"),", but not paid until ",+TEXT(Data!$A$5,"mmmm yyyy")," and exclude the contributions related to payrolls incurred during ",+TEXT(Data!$A$4,"mmmm yyyy"),", but not  paid until ",+TEXT(Data!$A$3,"mmmm yyyy"),".")</f>
        <v>Note: Include the contributions related to payrolls incurred during June 2022, but not paid until July 2022 and exclude the contributions related to payrolls incurred during June 2021, but not  paid until July 2021.</v>
      </c>
      <c r="N29" s="2799"/>
      <c r="O29" s="2804"/>
    </row>
    <row r="30" spans="2:17" s="418" customFormat="1" ht="15" customHeight="1" x14ac:dyDescent="0.2">
      <c r="D30" s="418" t="s">
        <v>973</v>
      </c>
      <c r="M30" s="2803"/>
      <c r="N30" s="2799"/>
      <c r="O30" s="2804"/>
    </row>
    <row r="31" spans="2:17" s="418" customFormat="1" ht="15" customHeight="1" x14ac:dyDescent="0.2">
      <c r="M31" s="2803"/>
      <c r="N31" s="2799"/>
      <c r="O31" s="2804"/>
    </row>
    <row r="32" spans="2:17" s="418" customFormat="1" ht="15" customHeight="1" x14ac:dyDescent="0.2">
      <c r="M32" s="2803"/>
      <c r="N32" s="2799"/>
      <c r="O32" s="2804"/>
    </row>
    <row r="33" spans="1:15" s="418" customFormat="1" ht="15" customHeight="1" x14ac:dyDescent="0.2">
      <c r="M33" s="2805"/>
      <c r="N33" s="2806"/>
      <c r="O33" s="2807"/>
    </row>
    <row r="34" spans="1:15" s="418" customFormat="1" ht="15" customHeight="1" x14ac:dyDescent="0.2">
      <c r="M34" s="1561"/>
      <c r="N34" s="1561"/>
      <c r="O34" s="1561"/>
    </row>
    <row r="35" spans="1:15" s="418" customFormat="1" ht="15" customHeight="1" thickBot="1" x14ac:dyDescent="0.25">
      <c r="B35" s="424" t="s">
        <v>3794</v>
      </c>
      <c r="C35" s="424"/>
      <c r="D35" s="424"/>
      <c r="E35" s="424"/>
      <c r="F35" s="424"/>
      <c r="G35" s="424"/>
      <c r="H35" s="424"/>
      <c r="I35" s="424"/>
      <c r="J35" s="424"/>
      <c r="K35" s="424"/>
      <c r="M35" s="1470"/>
      <c r="O35" s="1443" t="str">
        <f>IF(AND(ISBLANK($M$35))=TRUE,"Answer Missing"," ")</f>
        <v>Answer Missing</v>
      </c>
    </row>
    <row r="36" spans="1:15" s="418" customFormat="1" ht="15" customHeight="1" x14ac:dyDescent="0.2">
      <c r="M36" s="1561"/>
      <c r="N36" s="1561"/>
      <c r="O36" s="1561"/>
    </row>
    <row r="37" spans="1:15" s="418" customFormat="1" ht="15" customHeight="1" x14ac:dyDescent="0.2">
      <c r="M37" s="1561"/>
      <c r="N37" s="1561"/>
      <c r="O37" s="1561"/>
    </row>
    <row r="38" spans="1:15" s="418" customFormat="1" ht="15" customHeight="1" x14ac:dyDescent="0.2">
      <c r="B38" s="424" t="s">
        <v>4055</v>
      </c>
      <c r="M38" s="1561"/>
      <c r="N38" s="1561"/>
      <c r="O38" s="1561"/>
    </row>
    <row r="39" spans="1:15" s="418" customFormat="1" ht="15" customHeight="1" x14ac:dyDescent="0.2">
      <c r="B39" s="1562" t="s">
        <v>3950</v>
      </c>
      <c r="M39" s="1561"/>
      <c r="N39" s="1561"/>
      <c r="O39" s="1561"/>
    </row>
    <row r="40" spans="1:15" s="418" customFormat="1" ht="15" customHeight="1" thickBot="1" x14ac:dyDescent="0.25">
      <c r="B40" s="1562" t="s">
        <v>3951</v>
      </c>
      <c r="M40" s="1561"/>
      <c r="N40" s="1608"/>
      <c r="O40" s="1564"/>
    </row>
    <row r="41" spans="1:15" s="418" customFormat="1" ht="6" customHeight="1" x14ac:dyDescent="0.2"/>
    <row r="42" spans="1:15" s="418" customFormat="1" ht="15" customHeight="1" thickBot="1" x14ac:dyDescent="0.25">
      <c r="B42" s="1562" t="s">
        <v>3949</v>
      </c>
      <c r="M42" s="1561"/>
      <c r="N42" s="1561"/>
      <c r="O42" s="1563">
        <f>SUM(E23-O40)</f>
        <v>0</v>
      </c>
    </row>
    <row r="43" spans="1:15" s="418" customFormat="1" ht="6" customHeight="1" x14ac:dyDescent="0.2">
      <c r="B43" s="1562"/>
      <c r="M43" s="1561"/>
      <c r="N43" s="1561"/>
      <c r="O43" s="1607"/>
    </row>
    <row r="44" spans="1:15" s="418" customFormat="1" ht="15" customHeight="1" thickBot="1" x14ac:dyDescent="0.25">
      <c r="B44" s="1562" t="s">
        <v>4056</v>
      </c>
      <c r="M44" s="1561"/>
      <c r="N44" s="1561"/>
      <c r="O44" s="1564"/>
    </row>
    <row r="45" spans="1:15" s="418" customFormat="1" ht="15" customHeight="1" x14ac:dyDescent="0.2">
      <c r="M45" s="2802"/>
      <c r="N45" s="2802"/>
      <c r="O45" s="2802"/>
    </row>
    <row r="46" spans="1:15" s="418" customFormat="1" ht="15" customHeight="1" x14ac:dyDescent="0.2"/>
    <row r="47" spans="1:15" s="418" customFormat="1" ht="15" customHeight="1" x14ac:dyDescent="0.2"/>
    <row r="48" spans="1:15" s="418" customFormat="1" ht="15" customHeight="1" x14ac:dyDescent="0.2">
      <c r="A48" s="443" t="str">
        <f ca="1">MID(CELL("filename",A7),FIND("]",CELL("filename",A7))+1,256)</f>
        <v>605</v>
      </c>
      <c r="B48" s="443" t="s">
        <v>449</v>
      </c>
    </row>
    <row r="49" spans="1:2" s="418" customFormat="1" ht="15" customHeight="1" x14ac:dyDescent="0.2">
      <c r="A49" s="443" t="s">
        <v>446</v>
      </c>
      <c r="B49" s="443" t="str">
        <f t="shared" ref="B49:B58" ca="1" si="0">IF(ISNA(INDEX(ErrorTable,MATCH($A$48&amp;$A49&amp;FALSE,ErrorKey,0),6)),"",INDEX(ErrorTable,MATCH($A$48&amp;$A49&amp;FALSE,ErrorKey,0),6))</f>
        <v>Worksheet is incomplete.</v>
      </c>
    </row>
    <row r="50" spans="1:2" s="418" customFormat="1" ht="15" customHeight="1" x14ac:dyDescent="0.2">
      <c r="A50" s="443" t="s">
        <v>447</v>
      </c>
      <c r="B50" s="443" t="str">
        <f t="shared" ca="1" si="0"/>
        <v/>
      </c>
    </row>
    <row r="51" spans="1:2" s="418" customFormat="1" ht="15" customHeight="1" x14ac:dyDescent="0.2">
      <c r="A51" s="443" t="s">
        <v>448</v>
      </c>
      <c r="B51" s="443" t="str">
        <f t="shared" ca="1" si="0"/>
        <v/>
      </c>
    </row>
    <row r="52" spans="1:2" s="418" customFormat="1" ht="15" customHeight="1" x14ac:dyDescent="0.2">
      <c r="A52" s="443" t="s">
        <v>450</v>
      </c>
      <c r="B52" s="443" t="str">
        <f t="shared" ca="1" si="0"/>
        <v/>
      </c>
    </row>
    <row r="53" spans="1:2" s="418" customFormat="1" ht="15" x14ac:dyDescent="0.2">
      <c r="A53" s="443" t="s">
        <v>451</v>
      </c>
      <c r="B53" s="443" t="str">
        <f t="shared" ca="1" si="0"/>
        <v/>
      </c>
    </row>
    <row r="54" spans="1:2" s="418" customFormat="1" ht="15" x14ac:dyDescent="0.2">
      <c r="A54" s="443" t="s">
        <v>452</v>
      </c>
      <c r="B54" s="443" t="str">
        <f t="shared" ca="1" si="0"/>
        <v/>
      </c>
    </row>
    <row r="55" spans="1:2" s="418" customFormat="1" ht="15" x14ac:dyDescent="0.2">
      <c r="A55" s="443" t="s">
        <v>453</v>
      </c>
      <c r="B55" s="443" t="str">
        <f t="shared" ca="1" si="0"/>
        <v/>
      </c>
    </row>
    <row r="56" spans="1:2" s="418" customFormat="1" ht="15" x14ac:dyDescent="0.2">
      <c r="A56" s="443" t="s">
        <v>454</v>
      </c>
      <c r="B56" s="443" t="str">
        <f t="shared" ca="1" si="0"/>
        <v/>
      </c>
    </row>
    <row r="57" spans="1:2" s="418" customFormat="1" ht="15" x14ac:dyDescent="0.2">
      <c r="A57" s="443" t="s">
        <v>455</v>
      </c>
      <c r="B57" s="443" t="str">
        <f t="shared" ca="1" si="0"/>
        <v/>
      </c>
    </row>
    <row r="58" spans="1:2" s="418" customFormat="1" ht="15" x14ac:dyDescent="0.2">
      <c r="A58" s="443" t="s">
        <v>456</v>
      </c>
      <c r="B58" s="443" t="str">
        <f t="shared" ca="1" si="0"/>
        <v/>
      </c>
    </row>
    <row r="59" spans="1:2" s="418" customFormat="1" ht="12.75" x14ac:dyDescent="0.2"/>
    <row r="60" spans="1:2" s="418" customFormat="1" ht="12.75" x14ac:dyDescent="0.2"/>
    <row r="61" spans="1:2" s="426" customFormat="1" ht="12" x14ac:dyDescent="0.2"/>
    <row r="62" spans="1:2" s="426" customFormat="1" ht="12" x14ac:dyDescent="0.2"/>
    <row r="63" spans="1:2" s="426" customFormat="1" ht="12" x14ac:dyDescent="0.2"/>
    <row r="64" spans="1:2" s="426" customFormat="1" ht="12" x14ac:dyDescent="0.2"/>
    <row r="65" s="426" customFormat="1" ht="12" x14ac:dyDescent="0.2"/>
    <row r="66" s="426" customFormat="1" ht="12" x14ac:dyDescent="0.2"/>
    <row r="67" s="426" customFormat="1" ht="12" x14ac:dyDescent="0.2"/>
    <row r="68" s="426" customFormat="1" ht="12" x14ac:dyDescent="0.2"/>
    <row r="69" s="426" customFormat="1" ht="12" x14ac:dyDescent="0.2"/>
    <row r="70" s="426" customFormat="1" ht="12" x14ac:dyDescent="0.2"/>
    <row r="71" s="426" customFormat="1" ht="12" x14ac:dyDescent="0.2"/>
    <row r="72" s="426" customFormat="1" ht="12" x14ac:dyDescent="0.2"/>
    <row r="73" s="426" customFormat="1" ht="12" x14ac:dyDescent="0.2"/>
    <row r="74" s="426" customFormat="1" ht="12" x14ac:dyDescent="0.2"/>
    <row r="75" s="426" customFormat="1" ht="12" x14ac:dyDescent="0.2"/>
    <row r="76" s="426" customFormat="1" ht="12" x14ac:dyDescent="0.2"/>
    <row r="77" s="426" customFormat="1" ht="12" x14ac:dyDescent="0.2"/>
    <row r="78" s="426" customFormat="1" ht="12" x14ac:dyDescent="0.2"/>
    <row r="79" s="426" customFormat="1" ht="12" x14ac:dyDescent="0.2"/>
    <row r="80" s="426" customFormat="1" ht="12" x14ac:dyDescent="0.2"/>
    <row r="81" s="426" customFormat="1" ht="12" x14ac:dyDescent="0.2"/>
    <row r="82" s="426" customFormat="1" ht="12" x14ac:dyDescent="0.2"/>
    <row r="83" s="426" customFormat="1" ht="12" x14ac:dyDescent="0.2"/>
    <row r="84" s="426" customFormat="1" ht="12" x14ac:dyDescent="0.2"/>
  </sheetData>
  <sheetProtection algorithmName="SHA-512" hashValue="Q8H6X9JykCMFikhwzEahD46i0HY/XPYmb6irmTZhs4FWgtlBcPbsS82OfdpwxRimHDzQlosJsWfoJdJ9dCFWDA==" saltValue="i9HmEvHY3zFh38PkaKHwCA==" spinCount="100000" sheet="1" objects="1" scenarios="1" autoFilter="0"/>
  <customSheetViews>
    <customSheetView guid="{B08879A4-635B-4C39-9937-AC7883D562FC}" showGridLines="0" fitToPage="1" hiddenColumns="1" topLeftCell="B1">
      <pageMargins left="0.75" right="0.5" top="0.5" bottom="0.5" header="0.5" footer="0.5"/>
      <pageSetup scale="99" orientation="portrait" horizontalDpi="1200" verticalDpi="1200" r:id="rId1"/>
      <headerFooter alignWithMargins="0">
        <oddFooter>&amp;R&amp;A</oddFooter>
      </headerFooter>
    </customSheetView>
    <customSheetView guid="{1250FD07-FF56-4A9D-AF9E-C27124A7EBE9}" showGridLines="0" fitToPage="1" showRuler="0">
      <selection sqref="A1:N1"/>
      <pageMargins left="0.75" right="0.5" top="0.5" bottom="0.5" header="0.5" footer="0.5"/>
      <pageSetup scale="99" orientation="portrait" horizontalDpi="4294967292" verticalDpi="4294967292" r:id="rId2"/>
      <headerFooter alignWithMargins="0">
        <oddFooter>&amp;R&amp;A</oddFooter>
      </headerFooter>
    </customSheetView>
    <customSheetView guid="{BEA4BE86-04D1-4C96-9358-7A260B9D2B2D}" showGridLines="0" fitToPage="1" showRuler="0">
      <selection sqref="A1:N1"/>
      <pageMargins left="0.75" right="0.5" top="0.5" bottom="0.5" header="0.5" footer="0.5"/>
      <pageSetup scale="99" orientation="portrait" horizontalDpi="4294967292" verticalDpi="4294967292" r:id="rId3"/>
      <headerFooter alignWithMargins="0">
        <oddFooter>&amp;R&amp;A</oddFooter>
      </headerFooter>
    </customSheetView>
    <customSheetView guid="{9FCFC836-1CA5-48BF-958D-24D2EA94B219}" showGridLines="0" fitToPage="1" hiddenColumns="1" topLeftCell="B1">
      <pageMargins left="0.75" right="0.5" top="0.5" bottom="0.5" header="0.5" footer="0.5"/>
      <pageSetup scale="99" orientation="portrait" horizontalDpi="1200" verticalDpi="1200" r:id="rId4"/>
      <headerFooter alignWithMargins="0">
        <oddFooter>&amp;R&amp;A</oddFooter>
      </headerFooter>
    </customSheetView>
  </customSheetViews>
  <mergeCells count="23">
    <mergeCell ref="M45:O45"/>
    <mergeCell ref="M29:O33"/>
    <mergeCell ref="M25:O28"/>
    <mergeCell ref="E21:I21"/>
    <mergeCell ref="E23:I23"/>
    <mergeCell ref="E25:I25"/>
    <mergeCell ref="E22:I22"/>
    <mergeCell ref="E24:I24"/>
    <mergeCell ref="E5:H5"/>
    <mergeCell ref="E6:H6"/>
    <mergeCell ref="E7:H7"/>
    <mergeCell ref="B1:O1"/>
    <mergeCell ref="B2:O2"/>
    <mergeCell ref="B3:O3"/>
    <mergeCell ref="M5:O5"/>
    <mergeCell ref="M6:O6"/>
    <mergeCell ref="M7:O7"/>
    <mergeCell ref="E16:I16"/>
    <mergeCell ref="E18:I18"/>
    <mergeCell ref="B10:O12"/>
    <mergeCell ref="K17:O19"/>
    <mergeCell ref="E14:I14"/>
    <mergeCell ref="E15:I15"/>
  </mergeCells>
  <phoneticPr fontId="15" type="noConversion"/>
  <conditionalFormatting sqref="P1:P3">
    <cfRule type="cellIs" dxfId="47" priority="2" stopIfTrue="1" operator="equal">
      <formula>"na"</formula>
    </cfRule>
  </conditionalFormatting>
  <conditionalFormatting sqref="O35">
    <cfRule type="containsText" dxfId="46" priority="1" stopIfTrue="1" operator="containsText" text="Answer Missing">
      <formula>NOT(ISERROR(SEARCH("Answer Missing",O35)))</formula>
    </cfRule>
  </conditionalFormatting>
  <hyperlinks>
    <hyperlink ref="B1:O1" location="Index!A1" display="Index!A1" xr:uid="{00000000-0004-0000-3500-000000000000}"/>
  </hyperlinks>
  <pageMargins left="0.75" right="0.5" top="0.5" bottom="0.5" header="0.5" footer="0.5"/>
  <pageSetup orientation="portrait" r:id="rId5"/>
  <headerFooter alignWithMargins="0">
    <oddFooter>&amp;R&amp;A</oddFooter>
  </headerFooter>
  <ignoredErrors>
    <ignoredError sqref="M6:M7" unlockedFormula="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2">
    <pageSetUpPr fitToPage="1"/>
  </sheetPr>
  <dimension ref="A1:K63"/>
  <sheetViews>
    <sheetView showGridLines="0" zoomScaleNormal="100" workbookViewId="0">
      <selection activeCell="A6" sqref="A6"/>
    </sheetView>
  </sheetViews>
  <sheetFormatPr defaultRowHeight="12.75" x14ac:dyDescent="0.2"/>
  <cols>
    <col min="1" max="1" width="20.42578125" customWidth="1"/>
    <col min="3" max="3" width="14.5703125" customWidth="1"/>
    <col min="5" max="5" width="17" customWidth="1"/>
    <col min="6" max="6" width="1.5703125" customWidth="1"/>
    <col min="7" max="8" width="8.5703125" customWidth="1"/>
    <col min="9" max="9" width="4.5703125" customWidth="1"/>
  </cols>
  <sheetData>
    <row r="1" spans="1:9" s="130" customFormat="1" ht="25.15" customHeight="1" x14ac:dyDescent="0.25">
      <c r="A1" s="2449" t="str">
        <f>+Index!$A$1</f>
        <v xml:space="preserve">                                                               Office of the State Controller                                                                </v>
      </c>
      <c r="B1" s="2449"/>
      <c r="C1" s="2449"/>
      <c r="D1" s="2449"/>
      <c r="E1" s="2449"/>
      <c r="F1" s="2449"/>
      <c r="G1" s="2449"/>
      <c r="H1" s="2449"/>
      <c r="I1" s="1423" t="str">
        <f>IF(Index!$B$80="na","NA","")</f>
        <v/>
      </c>
    </row>
    <row r="2" spans="1:9" s="130" customFormat="1" ht="15" customHeight="1" x14ac:dyDescent="0.25">
      <c r="A2" s="2689" t="str">
        <f>+Index!$A$2</f>
        <v>2022 ACFR Worksheets</v>
      </c>
      <c r="B2" s="2689"/>
      <c r="C2" s="2689"/>
      <c r="D2" s="2689"/>
      <c r="E2" s="2689"/>
      <c r="F2" s="2689"/>
      <c r="G2" s="2689"/>
      <c r="H2" s="2689"/>
      <c r="I2" s="1423"/>
    </row>
    <row r="3" spans="1:9" s="130" customFormat="1" ht="15" customHeight="1" x14ac:dyDescent="0.25">
      <c r="A3" s="2689" t="s">
        <v>3725</v>
      </c>
      <c r="B3" s="2689"/>
      <c r="C3" s="2689"/>
      <c r="D3" s="2689"/>
      <c r="E3" s="2689"/>
      <c r="F3" s="2689"/>
      <c r="G3" s="2689"/>
      <c r="H3" s="2689"/>
      <c r="I3" s="1423"/>
    </row>
    <row r="4" spans="1:9" s="130" customFormat="1" ht="15" customHeight="1" x14ac:dyDescent="0.25">
      <c r="A4" s="2689"/>
      <c r="B4" s="2689"/>
      <c r="C4" s="2689"/>
      <c r="D4" s="2689"/>
      <c r="E4" s="2689"/>
      <c r="F4" s="2689"/>
      <c r="G4" s="2689"/>
      <c r="H4" s="2689"/>
    </row>
    <row r="5" spans="1:9" s="116" customFormat="1" ht="15" customHeight="1" x14ac:dyDescent="0.25">
      <c r="A5" s="115"/>
      <c r="B5" s="115"/>
      <c r="C5" s="115"/>
      <c r="D5" s="115"/>
      <c r="E5" s="238" t="s">
        <v>907</v>
      </c>
      <c r="F5" s="115"/>
      <c r="G5" s="115"/>
      <c r="H5" s="112"/>
    </row>
    <row r="6" spans="1:9" s="116" customFormat="1" ht="15" customHeight="1" x14ac:dyDescent="0.2">
      <c r="D6" s="141" t="s">
        <v>327</v>
      </c>
      <c r="E6" s="2829" t="str">
        <f>+Index!$E$10</f>
        <v>01</v>
      </c>
      <c r="F6" s="2829"/>
      <c r="G6" s="2829"/>
      <c r="H6" s="2829"/>
    </row>
    <row r="7" spans="1:9" s="116" customFormat="1" ht="15" customHeight="1" x14ac:dyDescent="0.2">
      <c r="D7" s="141" t="s">
        <v>1154</v>
      </c>
      <c r="E7" s="2831" t="str">
        <f>+Index!$E$11</f>
        <v>North Carolina General Assembly</v>
      </c>
      <c r="F7" s="2831"/>
      <c r="G7" s="2831"/>
      <c r="H7" s="2831"/>
    </row>
    <row r="8" spans="1:9" s="116" customFormat="1" ht="15" customHeight="1" x14ac:dyDescent="0.2">
      <c r="D8" s="141" t="s">
        <v>972</v>
      </c>
      <c r="E8" s="2832" t="str">
        <f>CONCATENATE(Index!$E$12," ",Index!$E$14)</f>
        <v xml:space="preserve"> </v>
      </c>
      <c r="F8" s="2832"/>
      <c r="G8" s="2832"/>
      <c r="H8" s="2832"/>
    </row>
    <row r="9" spans="1:9" s="116" customFormat="1" ht="15" customHeight="1" x14ac:dyDescent="0.2">
      <c r="D9" s="141" t="s">
        <v>348</v>
      </c>
      <c r="E9" s="2833">
        <f>+Index!$E$13</f>
        <v>0</v>
      </c>
      <c r="F9" s="2833"/>
      <c r="G9" s="2833"/>
      <c r="H9" s="2833"/>
    </row>
    <row r="10" spans="1:9" s="116" customFormat="1" ht="6.75" customHeight="1" thickBot="1" x14ac:dyDescent="0.25">
      <c r="A10" s="142"/>
      <c r="B10" s="142"/>
      <c r="C10" s="142"/>
      <c r="D10" s="143"/>
      <c r="E10" s="144"/>
      <c r="F10" s="144"/>
      <c r="G10" s="144"/>
      <c r="H10" s="144"/>
    </row>
    <row r="11" spans="1:9" s="116" customFormat="1" ht="6.75" customHeight="1" x14ac:dyDescent="0.2">
      <c r="D11" s="141"/>
      <c r="E11" s="1446"/>
      <c r="F11" s="1446"/>
      <c r="G11" s="1446"/>
      <c r="H11" s="1446"/>
    </row>
    <row r="12" spans="1:9" s="116" customFormat="1" ht="12.75" customHeight="1" x14ac:dyDescent="0.2">
      <c r="A12" s="1452" t="s">
        <v>3731</v>
      </c>
      <c r="B12" s="1453"/>
      <c r="C12" s="1453"/>
      <c r="D12" s="1454"/>
      <c r="E12" s="1451"/>
      <c r="F12" s="1451"/>
      <c r="G12" s="1451"/>
      <c r="H12" s="1455"/>
    </row>
    <row r="13" spans="1:9" s="116" customFormat="1" ht="6.75" customHeight="1" x14ac:dyDescent="0.2">
      <c r="D13" s="141"/>
      <c r="E13" s="1446"/>
      <c r="F13" s="1446"/>
      <c r="G13" s="1446"/>
      <c r="H13" s="1446"/>
    </row>
    <row r="14" spans="1:9" s="116" customFormat="1" ht="15" customHeight="1" x14ac:dyDescent="0.2">
      <c r="A14" s="272" t="s">
        <v>3727</v>
      </c>
    </row>
    <row r="15" spans="1:9" s="2" customFormat="1" ht="15" customHeight="1" x14ac:dyDescent="0.2">
      <c r="A15" s="272" t="s">
        <v>4268</v>
      </c>
    </row>
    <row r="16" spans="1:9" s="2" customFormat="1" ht="15" customHeight="1" x14ac:dyDescent="0.2">
      <c r="A16" s="272" t="s">
        <v>4269</v>
      </c>
    </row>
    <row r="17" spans="1:11" s="2" customFormat="1" ht="15" customHeight="1" x14ac:dyDescent="0.2">
      <c r="A17" s="272" t="s">
        <v>4270</v>
      </c>
    </row>
    <row r="18" spans="1:11" s="2" customFormat="1" ht="15" customHeight="1" x14ac:dyDescent="0.2">
      <c r="A18" s="2" t="s">
        <v>4275</v>
      </c>
    </row>
    <row r="19" spans="1:11" s="2" customFormat="1" ht="15" customHeight="1" x14ac:dyDescent="0.2">
      <c r="A19" s="2" t="s">
        <v>4276</v>
      </c>
    </row>
    <row r="20" spans="1:11" s="2" customFormat="1" ht="15" customHeight="1" x14ac:dyDescent="0.2"/>
    <row r="21" spans="1:11" s="2" customFormat="1" ht="15" customHeight="1" x14ac:dyDescent="0.2">
      <c r="A21" s="2" t="s">
        <v>4271</v>
      </c>
    </row>
    <row r="22" spans="1:11" s="111" customFormat="1" ht="15" customHeight="1" x14ac:dyDescent="0.2">
      <c r="A22" s="272" t="s">
        <v>4274</v>
      </c>
    </row>
    <row r="23" spans="1:11" s="111" customFormat="1" ht="15" customHeight="1" x14ac:dyDescent="0.2">
      <c r="A23" s="272" t="s">
        <v>4273</v>
      </c>
    </row>
    <row r="24" spans="1:11" s="111" customFormat="1" ht="15" customHeight="1" x14ac:dyDescent="0.2">
      <c r="A24" s="272" t="s">
        <v>4272</v>
      </c>
    </row>
    <row r="25" spans="1:11" s="111" customFormat="1" ht="15" customHeight="1" x14ac:dyDescent="0.2">
      <c r="A25" s="2" t="s">
        <v>4278</v>
      </c>
    </row>
    <row r="26" spans="1:11" s="111" customFormat="1" ht="15" customHeight="1" x14ac:dyDescent="0.2">
      <c r="A26" s="2" t="s">
        <v>4277</v>
      </c>
    </row>
    <row r="27" spans="1:11" s="111" customFormat="1" ht="15" customHeight="1" x14ac:dyDescent="0.2">
      <c r="A27" s="272"/>
    </row>
    <row r="28" spans="1:11" s="111" customFormat="1" ht="15" customHeight="1" x14ac:dyDescent="0.2">
      <c r="A28" s="2820" t="s">
        <v>820</v>
      </c>
      <c r="B28" s="2821"/>
      <c r="C28" s="2821"/>
      <c r="D28" s="2821"/>
      <c r="E28" s="2822"/>
      <c r="G28" s="2820" t="s">
        <v>210</v>
      </c>
      <c r="H28" s="2822"/>
    </row>
    <row r="29" spans="1:11" s="111" customFormat="1" ht="18" customHeight="1" x14ac:dyDescent="0.2">
      <c r="A29" s="2551" t="s">
        <v>3947</v>
      </c>
      <c r="B29" s="2826"/>
      <c r="C29" s="2826"/>
      <c r="D29" s="2826"/>
      <c r="E29" s="2826"/>
      <c r="G29" s="2823"/>
      <c r="H29" s="2823"/>
      <c r="J29" s="2827" t="str">
        <f>IF(ISBLANK($G$29)=TRUE,"Amount Missing"," ")</f>
        <v>Amount Missing</v>
      </c>
      <c r="K29" s="2828"/>
    </row>
    <row r="30" spans="1:11" s="111" customFormat="1" ht="14.25" customHeight="1" x14ac:dyDescent="0.2">
      <c r="A30" s="1555"/>
      <c r="G30" s="2824"/>
      <c r="H30" s="2825"/>
    </row>
    <row r="31" spans="1:11" s="111" customFormat="1" ht="15" customHeight="1" x14ac:dyDescent="0.2">
      <c r="A31" s="2549" t="s">
        <v>3726</v>
      </c>
      <c r="B31" s="2817"/>
      <c r="C31" s="2817"/>
      <c r="D31" s="2817"/>
      <c r="E31" s="2817"/>
      <c r="G31" s="2834"/>
      <c r="H31" s="2834"/>
    </row>
    <row r="32" spans="1:11" s="111" customFormat="1" ht="15" customHeight="1" x14ac:dyDescent="0.2">
      <c r="A32" s="2816"/>
      <c r="B32" s="2816"/>
      <c r="C32" s="2816"/>
      <c r="D32" s="2816"/>
      <c r="E32" s="2816"/>
      <c r="G32" s="2834"/>
      <c r="H32" s="2834"/>
    </row>
    <row r="33" spans="1:8" s="111" customFormat="1" ht="15" customHeight="1" x14ac:dyDescent="0.2">
      <c r="A33" s="1555"/>
      <c r="B33" s="1555"/>
      <c r="C33" s="1555"/>
      <c r="D33" s="1555"/>
      <c r="E33" s="1555"/>
      <c r="G33" s="2818"/>
      <c r="H33" s="2818"/>
    </row>
    <row r="34" spans="1:8" s="111" customFormat="1" ht="15" customHeight="1" x14ac:dyDescent="0.2">
      <c r="A34" s="2816"/>
      <c r="B34" s="2816"/>
      <c r="C34" s="2816"/>
      <c r="D34" s="2816"/>
      <c r="E34" s="2816"/>
      <c r="G34" s="2818"/>
      <c r="H34" s="2818"/>
    </row>
    <row r="35" spans="1:8" s="111" customFormat="1" ht="15" customHeight="1" x14ac:dyDescent="0.2">
      <c r="A35" s="2830" t="s">
        <v>501</v>
      </c>
      <c r="B35" s="2830"/>
      <c r="C35" s="2830"/>
      <c r="D35" s="2830"/>
      <c r="E35" s="2830"/>
      <c r="G35" s="2818"/>
      <c r="H35" s="2818"/>
    </row>
    <row r="36" spans="1:8" s="111" customFormat="1" ht="15" customHeight="1" x14ac:dyDescent="0.2">
      <c r="A36" s="2816"/>
      <c r="B36" s="2816"/>
      <c r="C36" s="2816"/>
      <c r="D36" s="2816"/>
      <c r="E36" s="2816"/>
      <c r="G36" s="2818"/>
      <c r="H36" s="2818"/>
    </row>
    <row r="37" spans="1:8" s="111" customFormat="1" ht="15" customHeight="1" x14ac:dyDescent="0.2">
      <c r="A37" s="2816"/>
      <c r="B37" s="2816"/>
      <c r="C37" s="2816"/>
      <c r="D37" s="2816"/>
      <c r="E37" s="2816"/>
      <c r="G37" s="2818"/>
      <c r="H37" s="2818"/>
    </row>
    <row r="38" spans="1:8" s="111" customFormat="1" ht="15" customHeight="1" x14ac:dyDescent="0.2">
      <c r="A38" s="2816"/>
      <c r="B38" s="2816"/>
      <c r="C38" s="2816"/>
      <c r="D38" s="2816"/>
      <c r="E38" s="2816"/>
      <c r="G38" s="2818"/>
      <c r="H38" s="2818"/>
    </row>
    <row r="39" spans="1:8" s="111" customFormat="1" ht="15" customHeight="1" x14ac:dyDescent="0.2">
      <c r="A39" s="2816"/>
      <c r="B39" s="2816"/>
      <c r="C39" s="2816"/>
      <c r="D39" s="2816"/>
      <c r="E39" s="2816"/>
      <c r="G39" s="2818"/>
      <c r="H39" s="2818"/>
    </row>
    <row r="40" spans="1:8" s="111" customFormat="1" ht="15" customHeight="1" x14ac:dyDescent="0.2">
      <c r="A40" s="206"/>
      <c r="B40" s="206"/>
      <c r="C40" s="206"/>
      <c r="D40" s="206"/>
      <c r="E40" s="206"/>
      <c r="G40" s="204"/>
      <c r="H40" s="204"/>
    </row>
    <row r="41" spans="1:8" s="111" customFormat="1" ht="15.75" customHeight="1" x14ac:dyDescent="0.2">
      <c r="A41" s="3"/>
      <c r="G41" s="205"/>
      <c r="H41" s="205"/>
    </row>
    <row r="42" spans="1:8" s="111" customFormat="1" ht="21" customHeight="1" x14ac:dyDescent="0.2">
      <c r="A42" s="2"/>
      <c r="G42" s="205"/>
      <c r="H42" s="205"/>
    </row>
    <row r="43" spans="1:8" s="111" customFormat="1" ht="15" customHeight="1" x14ac:dyDescent="0.2">
      <c r="A43" s="2"/>
      <c r="G43" s="205"/>
      <c r="H43" s="205"/>
    </row>
    <row r="44" spans="1:8" s="111" customFormat="1" ht="15" customHeight="1" x14ac:dyDescent="0.2">
      <c r="A44" s="2"/>
      <c r="D44" s="280"/>
      <c r="E44" s="280"/>
      <c r="G44" s="2815"/>
      <c r="H44" s="2815"/>
    </row>
    <row r="45" spans="1:8" s="111" customFormat="1" ht="15" customHeight="1" x14ac:dyDescent="0.2">
      <c r="A45" s="2"/>
      <c r="D45" s="2819"/>
      <c r="E45" s="2819"/>
      <c r="G45" s="2815"/>
      <c r="H45" s="2815"/>
    </row>
    <row r="46" spans="1:8" s="111" customFormat="1" ht="15" customHeight="1" x14ac:dyDescent="0.2">
      <c r="A46" s="2"/>
      <c r="D46" s="280"/>
      <c r="E46" s="280"/>
      <c r="G46" s="2814">
        <f>SUM(G44:H45)</f>
        <v>0</v>
      </c>
      <c r="H46" s="2814"/>
    </row>
    <row r="47" spans="1:8" s="111" customFormat="1" ht="15" customHeight="1" x14ac:dyDescent="0.2">
      <c r="A47" s="2"/>
      <c r="G47" s="205"/>
      <c r="H47" s="205"/>
    </row>
    <row r="48" spans="1:8" s="111" customFormat="1" ht="15" customHeight="1" x14ac:dyDescent="0.2">
      <c r="G48" s="205"/>
      <c r="H48" s="205"/>
    </row>
    <row r="49" spans="7:8" s="111" customFormat="1" ht="15" customHeight="1" x14ac:dyDescent="0.2">
      <c r="G49" s="205"/>
      <c r="H49" s="205"/>
    </row>
    <row r="50" spans="7:8" s="111" customFormat="1" ht="15" customHeight="1" x14ac:dyDescent="0.2">
      <c r="G50" s="205"/>
      <c r="H50" s="205"/>
    </row>
    <row r="51" spans="7:8" s="111" customFormat="1" ht="15" customHeight="1" x14ac:dyDescent="0.2">
      <c r="G51" s="205"/>
      <c r="H51" s="205"/>
    </row>
    <row r="52" spans="7:8" s="111" customFormat="1" ht="15" customHeight="1" x14ac:dyDescent="0.2">
      <c r="G52" s="2814"/>
      <c r="H52" s="2814"/>
    </row>
    <row r="53" spans="7:8" s="111" customFormat="1" ht="15" customHeight="1" x14ac:dyDescent="0.2"/>
    <row r="54" spans="7:8" s="111" customFormat="1" ht="15" customHeight="1" x14ac:dyDescent="0.2"/>
    <row r="55" spans="7:8" s="111" customFormat="1" ht="15" customHeight="1" x14ac:dyDescent="0.2"/>
    <row r="56" spans="7:8" s="111" customFormat="1" ht="15" customHeight="1" x14ac:dyDescent="0.2"/>
    <row r="57" spans="7:8" s="111" customFormat="1" ht="15" customHeight="1" x14ac:dyDescent="0.2"/>
    <row r="58" spans="7:8" s="111" customFormat="1" ht="15" customHeight="1" x14ac:dyDescent="0.2"/>
    <row r="59" spans="7:8" s="111" customFormat="1" ht="15" customHeight="1" x14ac:dyDescent="0.2"/>
    <row r="60" spans="7:8" s="111" customFormat="1" ht="15" customHeight="1" x14ac:dyDescent="0.2"/>
    <row r="61" spans="7:8" s="111" customFormat="1" ht="15" customHeight="1" x14ac:dyDescent="0.2"/>
    <row r="62" spans="7:8" s="111" customFormat="1" ht="15" customHeight="1" x14ac:dyDescent="0.2"/>
    <row r="63" spans="7:8" s="111" customFormat="1" ht="15" customHeight="1" x14ac:dyDescent="0.2"/>
  </sheetData>
  <sheetProtection algorithmName="SHA-512" hashValue="xWZ4D4k2PTA4wruJCPexk6piDvUZcIXPtePNt1xklqYGwuN0NipYGOjaus7hJoELttZ4TDFFp1XQa/3vikKeqw==" saltValue="hxpITzO1ZiqAHeDOIMbZ4A==" spinCount="100000" sheet="1" objects="1" scenarios="1" autoFilter="0"/>
  <customSheetViews>
    <customSheetView guid="{B08879A4-635B-4C39-9937-AC7883D562FC}" showGridLines="0" fitToPage="1">
      <selection activeCell="B12" sqref="B12"/>
      <pageMargins left="0.75" right="0.5" top="0.5" bottom="0.5" header="0.5" footer="0.5"/>
      <pageSetup orientation="portrait" r:id="rId1"/>
      <headerFooter alignWithMargins="0">
        <oddFooter>&amp;R&amp;A</oddFooter>
      </headerFooter>
    </customSheetView>
    <customSheetView guid="{1250FD07-FF56-4A9D-AF9E-C27124A7EBE9}" showGridLines="0" fitToPage="1" showRuler="0">
      <selection sqref="A1:H1"/>
      <pageMargins left="0.75" right="0.5" top="0.5" bottom="0.5" header="0.5" footer="0.5"/>
      <pageSetup orientation="portrait" r:id="rId2"/>
      <headerFooter alignWithMargins="0">
        <oddFooter>&amp;R&amp;A</oddFooter>
      </headerFooter>
    </customSheetView>
    <customSheetView guid="{BEA4BE86-04D1-4C96-9358-7A260B9D2B2D}" showGridLines="0" fitToPage="1" showRuler="0">
      <selection sqref="A1:H1"/>
      <pageMargins left="0.75" right="0.5" top="0.5" bottom="0.5" header="0.5" footer="0.5"/>
      <pageSetup orientation="portrait" r:id="rId3"/>
      <headerFooter alignWithMargins="0">
        <oddFooter>&amp;R&amp;A</oddFooter>
      </headerFooter>
    </customSheetView>
    <customSheetView guid="{9FCFC836-1CA5-48BF-958D-24D2EA94B219}" showGridLines="0" fitToPage="1">
      <selection activeCell="B12" sqref="B12"/>
      <pageMargins left="0.75" right="0.5" top="0.5" bottom="0.5" header="0.5" footer="0.5"/>
      <pageSetup orientation="portrait" r:id="rId4"/>
      <headerFooter alignWithMargins="0">
        <oddFooter>&amp;R&amp;A</oddFooter>
      </headerFooter>
    </customSheetView>
  </customSheetViews>
  <mergeCells count="36">
    <mergeCell ref="J29:K29"/>
    <mergeCell ref="A4:H4"/>
    <mergeCell ref="E6:H6"/>
    <mergeCell ref="G36:H36"/>
    <mergeCell ref="A35:E35"/>
    <mergeCell ref="G35:H35"/>
    <mergeCell ref="E7:H7"/>
    <mergeCell ref="E8:H8"/>
    <mergeCell ref="E9:H9"/>
    <mergeCell ref="G31:H31"/>
    <mergeCell ref="G32:H32"/>
    <mergeCell ref="A1:H1"/>
    <mergeCell ref="A2:H2"/>
    <mergeCell ref="A3:H3"/>
    <mergeCell ref="G37:H37"/>
    <mergeCell ref="A28:E28"/>
    <mergeCell ref="G28:H28"/>
    <mergeCell ref="G29:H29"/>
    <mergeCell ref="G30:H30"/>
    <mergeCell ref="G34:H34"/>
    <mergeCell ref="G33:H33"/>
    <mergeCell ref="A36:E36"/>
    <mergeCell ref="A29:E29"/>
    <mergeCell ref="G52:H52"/>
    <mergeCell ref="G44:H44"/>
    <mergeCell ref="G45:H45"/>
    <mergeCell ref="A37:E37"/>
    <mergeCell ref="A31:E31"/>
    <mergeCell ref="A34:E34"/>
    <mergeCell ref="G46:H46"/>
    <mergeCell ref="G38:H38"/>
    <mergeCell ref="G39:H39"/>
    <mergeCell ref="A32:E32"/>
    <mergeCell ref="D45:E45"/>
    <mergeCell ref="A38:E38"/>
    <mergeCell ref="A39:E39"/>
  </mergeCells>
  <phoneticPr fontId="15" type="noConversion"/>
  <conditionalFormatting sqref="I1:I3">
    <cfRule type="cellIs" dxfId="45" priority="5" stopIfTrue="1" operator="equal">
      <formula>"na"</formula>
    </cfRule>
  </conditionalFormatting>
  <conditionalFormatting sqref="J29">
    <cfRule type="containsText" dxfId="44" priority="1" stopIfTrue="1" operator="containsText" text="Valuation Missing">
      <formula>NOT(ISERROR(SEARCH("Valuation Missing",J29)))</formula>
    </cfRule>
  </conditionalFormatting>
  <conditionalFormatting sqref="G30">
    <cfRule type="containsText" dxfId="43" priority="2" stopIfTrue="1" operator="containsText" text="Valuation Missing">
      <formula>NOT(ISERROR(SEARCH("Valuation Missing",G30)))</formula>
    </cfRule>
  </conditionalFormatting>
  <hyperlinks>
    <hyperlink ref="A1:H1" location="Index!A1" display="Index!A1" xr:uid="{00000000-0004-0000-3600-000000000000}"/>
  </hyperlinks>
  <pageMargins left="0.75" right="0.5" top="0.5" bottom="0.5" header="0.5" footer="0.5"/>
  <pageSetup scale="83" orientation="portrait" r:id="rId5"/>
  <headerFooter alignWithMargins="0">
    <oddFooter>&amp;R&amp;A</oddFooter>
  </headerFooter>
  <ignoredErrors>
    <ignoredError sqref="E8:E9" unlockedFormula="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pageSetUpPr fitToPage="1"/>
  </sheetPr>
  <dimension ref="A1:K55"/>
  <sheetViews>
    <sheetView showGridLines="0" zoomScaleNormal="100" workbookViewId="0">
      <selection sqref="A1:J1"/>
    </sheetView>
  </sheetViews>
  <sheetFormatPr defaultColWidth="9.42578125" defaultRowHeight="12.75" x14ac:dyDescent="0.2"/>
  <cols>
    <col min="1" max="1" width="16.5703125" style="227" customWidth="1"/>
    <col min="2" max="2" width="12.5703125" style="227" customWidth="1"/>
    <col min="3" max="3" width="1.42578125" style="227" customWidth="1"/>
    <col min="4" max="4" width="14.42578125" style="227" customWidth="1"/>
    <col min="5" max="5" width="1.42578125" style="227" customWidth="1"/>
    <col min="6" max="6" width="14.42578125" style="227" customWidth="1"/>
    <col min="7" max="7" width="1.42578125" style="227" customWidth="1"/>
    <col min="8" max="8" width="14.42578125" style="227" customWidth="1"/>
    <col min="9" max="9" width="1.42578125" style="227" customWidth="1"/>
    <col min="10" max="10" width="14.5703125" style="227" customWidth="1"/>
    <col min="11" max="11" width="4.5703125" style="227" customWidth="1"/>
    <col min="12" max="29" width="9.42578125" style="227"/>
    <col min="30" max="253" width="16.5703125" style="227" customWidth="1"/>
    <col min="254" max="16384" width="9.42578125" style="227"/>
  </cols>
  <sheetData>
    <row r="1" spans="1:11" ht="15" customHeight="1" x14ac:dyDescent="0.25">
      <c r="A1" s="2379" t="str">
        <f>Index!$A$1</f>
        <v xml:space="preserve">                                                               Office of the State Controller                                                                </v>
      </c>
      <c r="B1" s="2379"/>
      <c r="C1" s="2379"/>
      <c r="D1" s="2379"/>
      <c r="E1" s="2379"/>
      <c r="F1" s="2379"/>
      <c r="G1" s="2379"/>
      <c r="H1" s="2379"/>
      <c r="I1" s="2379"/>
      <c r="J1" s="2379"/>
      <c r="K1" s="2510" t="str">
        <f>IF(Index!$B$81="na","NA","")</f>
        <v/>
      </c>
    </row>
    <row r="2" spans="1:11" ht="15" customHeight="1" x14ac:dyDescent="0.3">
      <c r="A2" s="2841" t="str">
        <f>Index!$A$2</f>
        <v>2022 ACFR Worksheets</v>
      </c>
      <c r="B2" s="2841"/>
      <c r="C2" s="2841"/>
      <c r="D2" s="2841"/>
      <c r="E2" s="2841"/>
      <c r="F2" s="2841"/>
      <c r="G2" s="2841"/>
      <c r="H2" s="2841"/>
      <c r="I2" s="2841"/>
      <c r="J2" s="2841"/>
      <c r="K2" s="2510"/>
    </row>
    <row r="3" spans="1:11" ht="15" customHeight="1" x14ac:dyDescent="0.3">
      <c r="A3" s="2841" t="s">
        <v>4263</v>
      </c>
      <c r="B3" s="2841"/>
      <c r="C3" s="2841"/>
      <c r="D3" s="2841"/>
      <c r="E3" s="2841"/>
      <c r="F3" s="2841"/>
      <c r="G3" s="2841"/>
      <c r="H3" s="2841"/>
      <c r="I3" s="2841"/>
      <c r="J3" s="2841"/>
      <c r="K3" s="2510"/>
    </row>
    <row r="4" spans="1:11" ht="10.5" customHeight="1" x14ac:dyDescent="0.3">
      <c r="A4" s="840"/>
      <c r="B4" s="840"/>
      <c r="C4" s="840"/>
      <c r="D4" s="840"/>
      <c r="E4" s="840"/>
      <c r="F4" s="840"/>
      <c r="G4" s="840"/>
      <c r="H4" s="840"/>
      <c r="I4" s="840"/>
      <c r="J4" s="840"/>
    </row>
    <row r="5" spans="1:11" ht="15" customHeight="1" x14ac:dyDescent="0.2">
      <c r="A5" s="227" t="s">
        <v>327</v>
      </c>
      <c r="B5" s="228" t="str">
        <f>+Index!$E$10</f>
        <v>01</v>
      </c>
      <c r="C5" s="229"/>
      <c r="F5" s="788" t="s">
        <v>1154</v>
      </c>
      <c r="G5" s="2843" t="str">
        <f>+Index!E$11</f>
        <v>North Carolina General Assembly</v>
      </c>
      <c r="H5" s="2843"/>
      <c r="I5" s="2843"/>
      <c r="J5" s="2843"/>
    </row>
    <row r="6" spans="1:11" ht="15" customHeight="1" x14ac:dyDescent="0.2">
      <c r="A6" s="227" t="s">
        <v>972</v>
      </c>
      <c r="B6" s="2842" t="str">
        <f>CONCATENATE(Index!$E$12," ",Index!$E$14)</f>
        <v xml:space="preserve"> </v>
      </c>
      <c r="C6" s="2842"/>
      <c r="D6" s="2842"/>
      <c r="E6" s="2842"/>
      <c r="F6" s="787" t="s">
        <v>348</v>
      </c>
      <c r="G6" s="2844">
        <f>+Index!E$13</f>
        <v>0</v>
      </c>
      <c r="H6" s="2844"/>
      <c r="I6" s="2844"/>
      <c r="J6" s="2844"/>
    </row>
    <row r="7" spans="1:11" s="232" customFormat="1" ht="15" customHeight="1" thickBot="1" x14ac:dyDescent="0.25">
      <c r="A7" s="230"/>
      <c r="B7" s="231" t="s">
        <v>973</v>
      </c>
      <c r="C7" s="230"/>
      <c r="D7" s="230"/>
      <c r="E7" s="230"/>
      <c r="F7" s="230"/>
      <c r="G7" s="230"/>
      <c r="H7" s="230"/>
      <c r="I7" s="230"/>
      <c r="J7" s="230"/>
    </row>
    <row r="8" spans="1:11" s="232" customFormat="1" ht="12" customHeight="1" x14ac:dyDescent="0.2">
      <c r="B8" s="385"/>
    </row>
    <row r="9" spans="1:11" s="233" customFormat="1" ht="15" customHeight="1" x14ac:dyDescent="0.2">
      <c r="A9" s="234" t="s">
        <v>4264</v>
      </c>
    </row>
    <row r="10" spans="1:11" s="233" customFormat="1" ht="15" customHeight="1" x14ac:dyDescent="0.2">
      <c r="A10" s="234"/>
    </row>
    <row r="11" spans="1:11" s="233" customFormat="1" ht="15" customHeight="1" x14ac:dyDescent="0.2">
      <c r="A11" s="233" t="s">
        <v>1153</v>
      </c>
      <c r="D11" s="235"/>
      <c r="H11" s="235"/>
    </row>
    <row r="12" spans="1:11" s="233" customFormat="1" ht="15" customHeight="1" x14ac:dyDescent="0.2">
      <c r="A12" s="227" t="s">
        <v>4289</v>
      </c>
      <c r="D12" s="235"/>
      <c r="H12" s="235"/>
    </row>
    <row r="13" spans="1:11" s="233" customFormat="1" ht="15" customHeight="1" x14ac:dyDescent="0.2">
      <c r="A13" s="234"/>
    </row>
    <row r="14" spans="1:11" s="233" customFormat="1" ht="8.1" customHeight="1" x14ac:dyDescent="0.2"/>
    <row r="15" spans="1:11" s="232" customFormat="1" ht="15" customHeight="1" x14ac:dyDescent="0.2">
      <c r="A15" s="261"/>
      <c r="B15" s="261"/>
      <c r="C15" s="261"/>
      <c r="D15" s="2838" t="s">
        <v>380</v>
      </c>
      <c r="E15" s="2839"/>
      <c r="F15" s="2839"/>
      <c r="G15" s="2839"/>
      <c r="H15" s="2839"/>
      <c r="I15" s="2839"/>
      <c r="J15" s="2840"/>
    </row>
    <row r="16" spans="1:11" s="232" customFormat="1" ht="15" customHeight="1" x14ac:dyDescent="0.2">
      <c r="A16" s="261"/>
      <c r="B16" s="261"/>
      <c r="C16" s="261"/>
      <c r="D16" s="2835"/>
      <c r="E16" s="261"/>
      <c r="F16" s="2835"/>
      <c r="G16" s="261"/>
      <c r="H16" s="2835"/>
      <c r="I16" s="261"/>
      <c r="J16" s="2835"/>
    </row>
    <row r="17" spans="1:10" s="232" customFormat="1" ht="15" customHeight="1" x14ac:dyDescent="0.2">
      <c r="A17" s="261"/>
      <c r="B17" s="261"/>
      <c r="C17" s="261"/>
      <c r="D17" s="2836"/>
      <c r="E17" s="261"/>
      <c r="F17" s="2836"/>
      <c r="G17" s="261"/>
      <c r="H17" s="2836"/>
      <c r="I17" s="261"/>
      <c r="J17" s="2836"/>
    </row>
    <row r="18" spans="1:10" s="232" customFormat="1" ht="15" customHeight="1" x14ac:dyDescent="0.2">
      <c r="A18" s="261"/>
      <c r="B18" s="261"/>
      <c r="C18" s="261"/>
      <c r="D18" s="2836"/>
      <c r="E18" s="261"/>
      <c r="F18" s="2836"/>
      <c r="G18" s="261"/>
      <c r="H18" s="2836"/>
      <c r="I18" s="261"/>
      <c r="J18" s="2836"/>
    </row>
    <row r="19" spans="1:10" s="232" customFormat="1" ht="15" customHeight="1" x14ac:dyDescent="0.2">
      <c r="A19" s="261"/>
      <c r="B19" s="261"/>
      <c r="C19" s="261"/>
      <c r="D19" s="2837"/>
      <c r="E19" s="261"/>
      <c r="F19" s="2837"/>
      <c r="G19" s="261"/>
      <c r="H19" s="2837"/>
      <c r="I19" s="261"/>
      <c r="J19" s="2837"/>
    </row>
    <row r="20" spans="1:10" s="232" customFormat="1" ht="15" customHeight="1" x14ac:dyDescent="0.2">
      <c r="A20" s="261" t="s">
        <v>582</v>
      </c>
      <c r="B20" s="261"/>
      <c r="C20" s="261"/>
      <c r="D20" s="571"/>
      <c r="E20" s="261"/>
      <c r="F20" s="571"/>
      <c r="G20" s="261"/>
      <c r="H20" s="571"/>
      <c r="I20" s="261"/>
      <c r="J20" s="571"/>
    </row>
    <row r="21" spans="1:10" s="232" customFormat="1" ht="15" customHeight="1" x14ac:dyDescent="0.2">
      <c r="A21" s="261" t="s">
        <v>583</v>
      </c>
      <c r="B21" s="261"/>
      <c r="C21" s="261"/>
      <c r="D21" s="571"/>
      <c r="E21" s="261"/>
      <c r="F21" s="571"/>
      <c r="G21" s="261"/>
      <c r="H21" s="571"/>
      <c r="I21" s="261"/>
      <c r="J21" s="571"/>
    </row>
    <row r="22" spans="1:10" s="232" customFormat="1" ht="15" customHeight="1" x14ac:dyDescent="0.2">
      <c r="A22" s="261" t="s">
        <v>579</v>
      </c>
      <c r="B22" s="261"/>
      <c r="C22" s="261"/>
      <c r="D22" s="571"/>
      <c r="E22" s="261"/>
      <c r="F22" s="571"/>
      <c r="G22" s="261"/>
      <c r="H22" s="571"/>
      <c r="I22" s="261"/>
      <c r="J22" s="571"/>
    </row>
    <row r="23" spans="1:10" s="232" customFormat="1" ht="15" customHeight="1" x14ac:dyDescent="0.2">
      <c r="A23" s="261" t="s">
        <v>580</v>
      </c>
      <c r="B23" s="261"/>
      <c r="C23" s="261"/>
      <c r="D23" s="571"/>
      <c r="E23" s="261"/>
      <c r="F23" s="571"/>
      <c r="G23" s="261"/>
      <c r="H23" s="571"/>
      <c r="I23" s="261"/>
      <c r="J23" s="571"/>
    </row>
    <row r="24" spans="1:10" s="232" customFormat="1" ht="15" customHeight="1" x14ac:dyDescent="0.2">
      <c r="A24" s="261" t="s">
        <v>581</v>
      </c>
      <c r="B24" s="261"/>
      <c r="C24" s="261"/>
      <c r="D24" s="571"/>
      <c r="E24" s="261"/>
      <c r="F24" s="571"/>
      <c r="G24" s="261"/>
      <c r="H24" s="571"/>
      <c r="I24" s="261"/>
      <c r="J24" s="571"/>
    </row>
    <row r="25" spans="1:10" s="232" customFormat="1" ht="15" customHeight="1" x14ac:dyDescent="0.2">
      <c r="A25" s="261" t="s">
        <v>365</v>
      </c>
      <c r="B25" s="261"/>
      <c r="C25" s="261"/>
      <c r="D25" s="2049"/>
      <c r="E25" s="266"/>
      <c r="F25" s="2049"/>
      <c r="G25" s="266"/>
      <c r="H25" s="2049"/>
      <c r="I25" s="266"/>
      <c r="J25" s="2049"/>
    </row>
    <row r="26" spans="1:10" s="232" customFormat="1" ht="15" customHeight="1" x14ac:dyDescent="0.2">
      <c r="A26" s="261" t="s">
        <v>366</v>
      </c>
      <c r="B26" s="261"/>
      <c r="C26" s="261"/>
      <c r="D26" s="261"/>
      <c r="E26" s="261"/>
      <c r="F26" s="261"/>
      <c r="G26" s="261"/>
      <c r="H26" s="261"/>
      <c r="I26" s="261"/>
      <c r="J26" s="261"/>
    </row>
    <row r="27" spans="1:10" s="232" customFormat="1" ht="15" customHeight="1" x14ac:dyDescent="0.2">
      <c r="A27" s="261" t="s">
        <v>367</v>
      </c>
      <c r="B27" s="261"/>
      <c r="C27" s="261"/>
      <c r="D27" s="2050"/>
      <c r="E27" s="266"/>
      <c r="F27" s="2050"/>
      <c r="G27" s="266"/>
      <c r="H27" s="2050"/>
      <c r="I27" s="266"/>
      <c r="J27" s="2050"/>
    </row>
    <row r="28" spans="1:10" s="232" customFormat="1" ht="11.25" customHeight="1" x14ac:dyDescent="0.2">
      <c r="A28" s="261"/>
      <c r="B28" s="261"/>
      <c r="C28" s="261"/>
      <c r="D28" s="384"/>
      <c r="E28" s="266"/>
      <c r="F28" s="384"/>
      <c r="G28" s="266"/>
      <c r="H28" s="384"/>
      <c r="I28" s="266"/>
      <c r="J28" s="384"/>
    </row>
    <row r="29" spans="1:10" s="233" customFormat="1" x14ac:dyDescent="0.2"/>
    <row r="30" spans="1:10" s="233" customFormat="1" x14ac:dyDescent="0.2"/>
    <row r="31" spans="1:10" s="236" customFormat="1" ht="12" x14ac:dyDescent="0.2"/>
    <row r="32" spans="1:10" s="236" customFormat="1" ht="12" x14ac:dyDescent="0.2"/>
    <row r="33" s="236" customFormat="1" ht="12" x14ac:dyDescent="0.2"/>
    <row r="34" s="236" customFormat="1" ht="12" x14ac:dyDescent="0.2"/>
    <row r="35" s="236" customFormat="1" ht="12" x14ac:dyDescent="0.2"/>
    <row r="36" s="236" customFormat="1" ht="12" x14ac:dyDescent="0.2"/>
    <row r="37" s="236" customFormat="1" ht="12" x14ac:dyDescent="0.2"/>
    <row r="38" s="236" customFormat="1" ht="12" x14ac:dyDescent="0.2"/>
    <row r="39" s="236" customFormat="1" ht="12" x14ac:dyDescent="0.2"/>
    <row r="40" s="236" customFormat="1" ht="12" x14ac:dyDescent="0.2"/>
    <row r="41" s="236" customFormat="1" ht="12" x14ac:dyDescent="0.2"/>
    <row r="42" s="236" customFormat="1" ht="12" x14ac:dyDescent="0.2"/>
    <row r="43" s="236" customFormat="1" ht="12" x14ac:dyDescent="0.2"/>
    <row r="44" s="236" customFormat="1" ht="12" x14ac:dyDescent="0.2"/>
    <row r="45" s="236" customFormat="1" ht="12" x14ac:dyDescent="0.2"/>
    <row r="46" s="236" customFormat="1" ht="12" x14ac:dyDescent="0.2"/>
    <row r="47" s="236" customFormat="1" ht="12" x14ac:dyDescent="0.2"/>
    <row r="48" s="236" customFormat="1" ht="12" x14ac:dyDescent="0.2"/>
    <row r="49" s="236" customFormat="1" ht="12" x14ac:dyDescent="0.2"/>
    <row r="50" s="236" customFormat="1" ht="12" x14ac:dyDescent="0.2"/>
    <row r="51" s="236" customFormat="1" ht="12" x14ac:dyDescent="0.2"/>
    <row r="52" s="236" customFormat="1" ht="12" x14ac:dyDescent="0.2"/>
    <row r="53" s="236" customFormat="1" ht="12" x14ac:dyDescent="0.2"/>
    <row r="54" s="236" customFormat="1" ht="12" x14ac:dyDescent="0.2"/>
    <row r="55" s="236" customFormat="1" ht="12" x14ac:dyDescent="0.2"/>
  </sheetData>
  <sheetProtection algorithmName="SHA-512" hashValue="Qf2PuRl41Mz9sEKf/O91vKbAn7lDwOgWTK1TBI8PHOA6ilKJH5Ty4kEGkuhHKH+as2YoCaIryAbebebn41w9uw==" saltValue="k4NgaAgrZdbZOb/X3p/sCA==" spinCount="100000" sheet="1" objects="1" scenarios="1" autoFilter="0"/>
  <customSheetViews>
    <customSheetView guid="{B08879A4-635B-4C39-9937-AC7883D562FC}" showGridLines="0" fitToPage="1">
      <selection activeCell="B12" sqref="B12"/>
      <pageMargins left="0.5" right="0.5" top="0.5" bottom="0.5" header="0.5" footer="0.4"/>
      <printOptions horizontalCentered="1"/>
      <pageSetup orientation="portrait" r:id="rId1"/>
      <headerFooter alignWithMargins="0">
        <oddFooter>&amp;R&amp;"MS Sans Serif,Regular"&amp;A</oddFooter>
      </headerFooter>
    </customSheetView>
    <customSheetView guid="{1250FD07-FF56-4A9D-AF9E-C27124A7EBE9}" showGridLines="0" fitToPage="1" showRuler="0">
      <selection sqref="A1:J1"/>
      <pageMargins left="0.5" right="0.5" top="0.5" bottom="0.5" header="0.5" footer="0.4"/>
      <printOptions horizontalCentered="1"/>
      <pageSetup scale="99" orientation="portrait" horizontalDpi="300" verticalDpi="300" r:id="rId2"/>
      <headerFooter alignWithMargins="0">
        <oddFooter>&amp;R&amp;"MS Sans Serif,Regular"&amp;A</oddFooter>
      </headerFooter>
    </customSheetView>
    <customSheetView guid="{BEA4BE86-04D1-4C96-9358-7A260B9D2B2D}" showGridLines="0" fitToPage="1" showRuler="0">
      <selection sqref="A1:J1"/>
      <pageMargins left="0.5" right="0.5" top="0.5" bottom="0.5" header="0.5" footer="0.4"/>
      <printOptions horizontalCentered="1"/>
      <pageSetup scale="99" orientation="portrait" horizontalDpi="300" verticalDpi="300" r:id="rId3"/>
      <headerFooter alignWithMargins="0">
        <oddFooter>&amp;R&amp;"MS Sans Serif,Regular"&amp;A</oddFooter>
      </headerFooter>
    </customSheetView>
    <customSheetView guid="{9FCFC836-1CA5-48BF-958D-24D2EA94B219}" showGridLines="0" fitToPage="1">
      <selection activeCell="B12" sqref="B12"/>
      <pageMargins left="0.5" right="0.5" top="0.5" bottom="0.5" header="0.5" footer="0.4"/>
      <printOptions horizontalCentered="1"/>
      <pageSetup orientation="portrait" r:id="rId4"/>
      <headerFooter alignWithMargins="0">
        <oddFooter>&amp;R&amp;"MS Sans Serif,Regular"&amp;A</oddFooter>
      </headerFooter>
    </customSheetView>
  </customSheetViews>
  <mergeCells count="12">
    <mergeCell ref="F16:F19"/>
    <mergeCell ref="H16:H19"/>
    <mergeCell ref="J16:J19"/>
    <mergeCell ref="D16:D19"/>
    <mergeCell ref="K1:K3"/>
    <mergeCell ref="D15:J15"/>
    <mergeCell ref="A1:J1"/>
    <mergeCell ref="A2:J2"/>
    <mergeCell ref="A3:J3"/>
    <mergeCell ref="B6:E6"/>
    <mergeCell ref="G5:J5"/>
    <mergeCell ref="G6:J6"/>
  </mergeCells>
  <phoneticPr fontId="15" type="noConversion"/>
  <conditionalFormatting sqref="K1:K3">
    <cfRule type="cellIs" dxfId="42" priority="1" stopIfTrue="1" operator="equal">
      <formula>"na"</formula>
    </cfRule>
  </conditionalFormatting>
  <hyperlinks>
    <hyperlink ref="A1" location="Index!A1" display="Index!A1" xr:uid="{00000000-0004-0000-3700-000000000000}"/>
  </hyperlinks>
  <printOptions horizontalCentered="1"/>
  <pageMargins left="0.5" right="0.5" top="0.5" bottom="0.5" header="0.5" footer="0.4"/>
  <pageSetup orientation="portrait" r:id="rId5"/>
  <headerFooter alignWithMargins="0">
    <oddFooter>&amp;R&amp;"MS Sans Serif,Regular"&amp;A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0"/>
  <dimension ref="A1:K74"/>
  <sheetViews>
    <sheetView showGridLines="0" zoomScaleNormal="100" workbookViewId="0">
      <selection activeCell="K17" sqref="K17"/>
    </sheetView>
  </sheetViews>
  <sheetFormatPr defaultColWidth="9.42578125" defaultRowHeight="12.75" x14ac:dyDescent="0.2"/>
  <cols>
    <col min="1" max="1" width="16.5703125" style="227" customWidth="1"/>
    <col min="2" max="2" width="12.5703125" style="227" customWidth="1"/>
    <col min="3" max="3" width="1.42578125" style="227" customWidth="1"/>
    <col min="4" max="4" width="14.42578125" style="227" customWidth="1"/>
    <col min="5" max="5" width="1.42578125" style="227" customWidth="1"/>
    <col min="6" max="6" width="14.42578125" style="227" customWidth="1"/>
    <col min="7" max="7" width="1.42578125" style="227" customWidth="1"/>
    <col min="8" max="8" width="14.42578125" style="227" customWidth="1"/>
    <col min="9" max="9" width="3.5703125" style="227" customWidth="1"/>
    <col min="10" max="10" width="16.5703125" style="227" customWidth="1"/>
    <col min="11" max="11" width="4.5703125" style="227" customWidth="1"/>
    <col min="12" max="12" width="4" style="227" customWidth="1"/>
    <col min="13" max="13" width="6.140625" style="227" customWidth="1"/>
    <col min="14" max="14" width="3" style="227" customWidth="1"/>
    <col min="15" max="29" width="9.42578125" style="227"/>
    <col min="30" max="253" width="16.5703125" style="227" customWidth="1"/>
    <col min="254" max="16384" width="9.42578125" style="227"/>
  </cols>
  <sheetData>
    <row r="1" spans="1:11" ht="25.15" customHeight="1" x14ac:dyDescent="0.25">
      <c r="A1" s="2379" t="str">
        <f>Index!$A$1</f>
        <v xml:space="preserve">                                                               Office of the State Controller                                                                </v>
      </c>
      <c r="B1" s="2379"/>
      <c r="C1" s="2379"/>
      <c r="D1" s="2379"/>
      <c r="E1" s="2379"/>
      <c r="F1" s="2379"/>
      <c r="G1" s="2379"/>
      <c r="H1" s="2379"/>
      <c r="I1" s="2379"/>
      <c r="J1" s="2379"/>
      <c r="K1" s="1423" t="str">
        <f>IF(Index!$B$82="na","NA","")</f>
        <v/>
      </c>
    </row>
    <row r="2" spans="1:11" ht="15" customHeight="1" x14ac:dyDescent="0.3">
      <c r="A2" s="2841" t="str">
        <f>Index!$A$2</f>
        <v>2022 ACFR Worksheets</v>
      </c>
      <c r="B2" s="2841"/>
      <c r="C2" s="2841"/>
      <c r="D2" s="2841"/>
      <c r="E2" s="2841"/>
      <c r="F2" s="2841"/>
      <c r="G2" s="2841"/>
      <c r="H2" s="2841"/>
      <c r="I2" s="2841"/>
      <c r="J2" s="2841"/>
      <c r="K2" s="1423"/>
    </row>
    <row r="3" spans="1:11" ht="15" customHeight="1" x14ac:dyDescent="0.3">
      <c r="A3" s="2841" t="s">
        <v>4256</v>
      </c>
      <c r="B3" s="2841"/>
      <c r="C3" s="2841"/>
      <c r="D3" s="2841"/>
      <c r="E3" s="2841"/>
      <c r="F3" s="2841"/>
      <c r="G3" s="2841"/>
      <c r="H3" s="2841"/>
      <c r="I3" s="2841"/>
      <c r="J3" s="2841"/>
      <c r="K3" s="1423"/>
    </row>
    <row r="4" spans="1:11" ht="15.75" customHeight="1" x14ac:dyDescent="0.3">
      <c r="A4" s="2841" t="s">
        <v>4257</v>
      </c>
      <c r="B4" s="2841"/>
      <c r="C4" s="2841"/>
      <c r="D4" s="2841"/>
      <c r="E4" s="2841"/>
      <c r="F4" s="2841"/>
      <c r="G4" s="2841"/>
      <c r="H4" s="2841"/>
      <c r="I4" s="2841"/>
      <c r="J4" s="2841"/>
    </row>
    <row r="5" spans="1:11" ht="10.5" customHeight="1" x14ac:dyDescent="0.3">
      <c r="A5" s="840"/>
      <c r="B5" s="840"/>
      <c r="C5" s="840"/>
      <c r="D5" s="840"/>
      <c r="E5" s="840"/>
      <c r="F5" s="840"/>
      <c r="G5" s="840"/>
      <c r="H5" s="840"/>
      <c r="I5" s="840"/>
      <c r="J5" s="840"/>
    </row>
    <row r="6" spans="1:11" ht="15" customHeight="1" x14ac:dyDescent="0.2">
      <c r="A6" s="227" t="s">
        <v>327</v>
      </c>
      <c r="B6" s="228" t="str">
        <f>+Index!$E$10</f>
        <v>01</v>
      </c>
      <c r="C6" s="229"/>
      <c r="F6" s="788" t="s">
        <v>1154</v>
      </c>
      <c r="G6" s="2853" t="str">
        <f>+Index!E$11</f>
        <v>North Carolina General Assembly</v>
      </c>
      <c r="H6" s="2853"/>
      <c r="I6" s="2853"/>
      <c r="J6" s="2853"/>
    </row>
    <row r="7" spans="1:11" ht="15" customHeight="1" x14ac:dyDescent="0.2">
      <c r="A7" s="227" t="s">
        <v>972</v>
      </c>
      <c r="B7" s="2850" t="str">
        <f>CONCATENATE(Index!$E$12," ",Index!$E$14)</f>
        <v xml:space="preserve"> </v>
      </c>
      <c r="C7" s="2850"/>
      <c r="D7" s="2850"/>
      <c r="E7" s="2850"/>
      <c r="F7" s="787" t="s">
        <v>348</v>
      </c>
      <c r="G7" s="2844">
        <f>+Index!E$13</f>
        <v>0</v>
      </c>
      <c r="H7" s="2844"/>
      <c r="I7" s="2844"/>
      <c r="J7" s="2844"/>
    </row>
    <row r="8" spans="1:11" s="232" customFormat="1" ht="15" customHeight="1" thickBot="1" x14ac:dyDescent="0.25">
      <c r="A8" s="230"/>
      <c r="B8" s="231" t="s">
        <v>973</v>
      </c>
      <c r="C8" s="230"/>
      <c r="D8" s="230"/>
      <c r="E8" s="230"/>
      <c r="F8" s="230"/>
      <c r="G8" s="230"/>
      <c r="H8" s="230"/>
      <c r="I8" s="230"/>
      <c r="J8" s="230"/>
    </row>
    <row r="9" spans="1:11" s="232" customFormat="1" ht="12" customHeight="1" x14ac:dyDescent="0.2">
      <c r="B9" s="385"/>
    </row>
    <row r="10" spans="1:11" s="232" customFormat="1" ht="15" customHeight="1" x14ac:dyDescent="0.2">
      <c r="A10" s="234" t="s">
        <v>4772</v>
      </c>
      <c r="B10" s="227"/>
      <c r="C10" s="227"/>
      <c r="D10" s="227"/>
      <c r="E10" s="227"/>
      <c r="F10" s="227"/>
      <c r="G10" s="227"/>
      <c r="H10" s="227"/>
      <c r="I10" s="227"/>
      <c r="J10" s="227"/>
    </row>
    <row r="11" spans="1:11" s="232" customFormat="1" ht="15" customHeight="1" x14ac:dyDescent="0.2">
      <c r="A11" s="234" t="s">
        <v>4773</v>
      </c>
      <c r="B11" s="227"/>
      <c r="C11" s="227"/>
      <c r="D11" s="227"/>
      <c r="E11" s="227"/>
      <c r="F11" s="227"/>
      <c r="G11" s="227"/>
      <c r="H11" s="227"/>
      <c r="I11" s="227"/>
      <c r="J11" s="227"/>
    </row>
    <row r="12" spans="1:11" s="232" customFormat="1" ht="15" customHeight="1" x14ac:dyDescent="0.2">
      <c r="A12" s="234" t="s">
        <v>4774</v>
      </c>
      <c r="B12" s="227"/>
      <c r="C12" s="227"/>
      <c r="D12" s="227"/>
      <c r="E12" s="227"/>
      <c r="F12" s="227"/>
      <c r="G12" s="227"/>
      <c r="H12" s="227"/>
      <c r="I12" s="227"/>
      <c r="J12" s="227"/>
    </row>
    <row r="13" spans="1:11" s="232" customFormat="1" ht="15" customHeight="1" x14ac:dyDescent="0.2">
      <c r="A13" s="234" t="s">
        <v>4775</v>
      </c>
      <c r="B13" s="227"/>
      <c r="C13" s="227"/>
      <c r="D13" s="227"/>
      <c r="E13" s="227"/>
      <c r="F13" s="227"/>
      <c r="G13" s="227"/>
      <c r="H13" s="227"/>
      <c r="I13" s="227"/>
      <c r="J13" s="227"/>
    </row>
    <row r="14" spans="1:11" s="232" customFormat="1" ht="15" customHeight="1" x14ac:dyDescent="0.2">
      <c r="A14" s="234" t="s">
        <v>4777</v>
      </c>
      <c r="B14" s="227"/>
      <c r="C14" s="227"/>
      <c r="D14" s="227"/>
      <c r="E14" s="227"/>
      <c r="F14" s="227"/>
      <c r="G14" s="227"/>
      <c r="H14" s="227"/>
      <c r="I14" s="227"/>
      <c r="J14" s="227"/>
    </row>
    <row r="15" spans="1:11" s="232" customFormat="1" ht="15" customHeight="1" x14ac:dyDescent="0.2">
      <c r="A15" s="234" t="s">
        <v>4776</v>
      </c>
      <c r="B15" s="227"/>
      <c r="C15" s="227"/>
      <c r="D15" s="227"/>
      <c r="E15" s="227"/>
      <c r="F15" s="227"/>
      <c r="G15" s="227"/>
      <c r="H15" s="227"/>
      <c r="I15" s="227"/>
      <c r="J15" s="227"/>
    </row>
    <row r="16" spans="1:11" s="232" customFormat="1" ht="10.35" customHeight="1" x14ac:dyDescent="0.2">
      <c r="A16" s="234"/>
      <c r="B16" s="227"/>
      <c r="C16" s="227"/>
      <c r="D16" s="227"/>
      <c r="E16" s="227"/>
      <c r="F16" s="227"/>
      <c r="G16" s="227"/>
      <c r="H16" s="227"/>
      <c r="I16" s="227"/>
      <c r="J16" s="227"/>
    </row>
    <row r="17" spans="1:11" s="232" customFormat="1" ht="15" customHeight="1" x14ac:dyDescent="0.2">
      <c r="A17" s="264" t="s">
        <v>4258</v>
      </c>
      <c r="B17" s="227"/>
      <c r="C17" s="227"/>
      <c r="D17" s="227"/>
      <c r="E17" s="227"/>
      <c r="F17" s="227"/>
      <c r="G17" s="227"/>
      <c r="H17" s="227"/>
      <c r="I17" s="227"/>
      <c r="J17" s="227"/>
    </row>
    <row r="18" spans="1:11" s="232" customFormat="1" ht="15" customHeight="1" x14ac:dyDescent="0.2">
      <c r="A18" s="234"/>
      <c r="B18" s="227"/>
      <c r="C18" s="227"/>
      <c r="D18" s="1697" t="s">
        <v>600</v>
      </c>
      <c r="E18" s="227"/>
      <c r="F18" s="227"/>
      <c r="G18" s="227"/>
      <c r="H18" s="227"/>
      <c r="I18" s="227"/>
      <c r="J18" s="227"/>
    </row>
    <row r="19" spans="1:11" s="232" customFormat="1" ht="15" customHeight="1" x14ac:dyDescent="0.25">
      <c r="A19" s="262"/>
      <c r="B19" s="227"/>
      <c r="C19" s="227"/>
      <c r="D19" s="1698" t="s">
        <v>364</v>
      </c>
      <c r="E19" s="227"/>
      <c r="F19" s="2851" t="s">
        <v>1096</v>
      </c>
      <c r="G19" s="2851"/>
      <c r="H19" s="2851"/>
      <c r="I19" s="227"/>
      <c r="J19" s="227"/>
    </row>
    <row r="20" spans="1:11" s="232" customFormat="1" ht="15" customHeight="1" thickBot="1" x14ac:dyDescent="0.25">
      <c r="A20" s="2848" t="s">
        <v>1201</v>
      </c>
      <c r="B20" s="2848"/>
      <c r="C20" s="227"/>
      <c r="D20" s="1699" t="s">
        <v>1156</v>
      </c>
      <c r="E20" s="227"/>
      <c r="F20" s="1700" t="s">
        <v>1097</v>
      </c>
      <c r="G20" s="227"/>
      <c r="H20" s="1700" t="s">
        <v>1202</v>
      </c>
      <c r="I20" s="1697"/>
      <c r="J20" s="1699" t="s">
        <v>980</v>
      </c>
      <c r="K20" s="227"/>
    </row>
    <row r="21" spans="1:11" s="232" customFormat="1" ht="15" customHeight="1" x14ac:dyDescent="0.25">
      <c r="A21" s="2849"/>
      <c r="B21" s="2849"/>
      <c r="C21" s="236"/>
      <c r="D21" s="1701"/>
      <c r="E21" s="1702"/>
      <c r="F21" s="1703"/>
      <c r="G21" s="1702"/>
      <c r="H21" s="1704"/>
      <c r="I21" s="1702"/>
      <c r="J21" s="1705"/>
      <c r="K21" s="227"/>
    </row>
    <row r="22" spans="1:11" s="232" customFormat="1" ht="15" customHeight="1" x14ac:dyDescent="0.25">
      <c r="A22" s="2847"/>
      <c r="B22" s="2847"/>
      <c r="C22" s="236"/>
      <c r="D22" s="1701"/>
      <c r="E22" s="1702"/>
      <c r="F22" s="1706"/>
      <c r="G22" s="1702"/>
      <c r="H22" s="1707"/>
      <c r="I22" s="1702"/>
      <c r="J22" s="1708"/>
      <c r="K22" s="227"/>
    </row>
    <row r="23" spans="1:11" s="232" customFormat="1" ht="15" customHeight="1" x14ac:dyDescent="0.25">
      <c r="A23" s="2847"/>
      <c r="B23" s="2852"/>
      <c r="C23" s="236"/>
      <c r="D23" s="1701"/>
      <c r="E23" s="1702"/>
      <c r="F23" s="1706"/>
      <c r="G23" s="1702"/>
      <c r="H23" s="1704"/>
      <c r="I23" s="1702"/>
      <c r="J23" s="1708"/>
      <c r="K23" s="227"/>
    </row>
    <row r="24" spans="1:11" s="232" customFormat="1" ht="15" customHeight="1" x14ac:dyDescent="0.25">
      <c r="A24" s="2847"/>
      <c r="B24" s="2852"/>
      <c r="C24" s="236"/>
      <c r="D24" s="1701"/>
      <c r="E24" s="1702"/>
      <c r="F24" s="1706"/>
      <c r="G24" s="1702"/>
      <c r="H24" s="1704"/>
      <c r="I24" s="1702"/>
      <c r="J24" s="1708"/>
      <c r="K24" s="227"/>
    </row>
    <row r="25" spans="1:11" s="232" customFormat="1" ht="15" customHeight="1" x14ac:dyDescent="0.25">
      <c r="A25" s="2847"/>
      <c r="B25" s="2847"/>
      <c r="C25" s="236"/>
      <c r="D25" s="1701"/>
      <c r="E25" s="1702"/>
      <c r="F25" s="1706"/>
      <c r="G25" s="1702"/>
      <c r="H25" s="1704"/>
      <c r="I25" s="1702"/>
      <c r="J25" s="1708"/>
      <c r="K25" s="227"/>
    </row>
    <row r="26" spans="1:11" s="232" customFormat="1" ht="15" customHeight="1" x14ac:dyDescent="0.25">
      <c r="A26" s="2847"/>
      <c r="B26" s="2847"/>
      <c r="C26" s="236"/>
      <c r="D26" s="1701"/>
      <c r="E26" s="1702"/>
      <c r="F26" s="1706"/>
      <c r="G26" s="1702"/>
      <c r="H26" s="1704"/>
      <c r="I26" s="1702"/>
      <c r="J26" s="1708"/>
      <c r="K26" s="227"/>
    </row>
    <row r="27" spans="1:11" s="232" customFormat="1" ht="15" customHeight="1" x14ac:dyDescent="0.25">
      <c r="A27" s="2847"/>
      <c r="B27" s="2847"/>
      <c r="C27" s="236"/>
      <c r="D27" s="1701"/>
      <c r="E27" s="1702"/>
      <c r="F27" s="1706"/>
      <c r="G27" s="1702"/>
      <c r="H27" s="1704"/>
      <c r="I27" s="1702"/>
      <c r="J27" s="1708"/>
      <c r="K27" s="227"/>
    </row>
    <row r="28" spans="1:11" s="232" customFormat="1" ht="15" customHeight="1" x14ac:dyDescent="0.25">
      <c r="A28" s="2847"/>
      <c r="B28" s="2847"/>
      <c r="C28" s="236"/>
      <c r="D28" s="1709"/>
      <c r="E28" s="1702"/>
      <c r="F28" s="1706"/>
      <c r="G28" s="1702"/>
      <c r="H28" s="1704"/>
      <c r="I28" s="1702"/>
      <c r="J28" s="1708"/>
      <c r="K28" s="227"/>
    </row>
    <row r="29" spans="1:11" s="232" customFormat="1" ht="15" customHeight="1" x14ac:dyDescent="0.2">
      <c r="A29" s="1710"/>
      <c r="B29" s="265"/>
      <c r="C29" s="236"/>
      <c r="D29" s="1711"/>
      <c r="E29" s="236"/>
      <c r="F29" s="234" t="s">
        <v>4780</v>
      </c>
      <c r="G29" s="236"/>
      <c r="H29" s="236"/>
      <c r="I29" s="236"/>
      <c r="J29" s="1712"/>
      <c r="K29" s="227"/>
    </row>
    <row r="30" spans="1:11" ht="15" customHeight="1" x14ac:dyDescent="0.2">
      <c r="A30" s="264"/>
      <c r="B30" s="1713" t="s">
        <v>84</v>
      </c>
      <c r="D30" s="1842">
        <f>SUM(D21:D28)</f>
        <v>0</v>
      </c>
      <c r="F30" s="234" t="s">
        <v>4916</v>
      </c>
      <c r="H30" s="788"/>
      <c r="I30" s="234"/>
    </row>
    <row r="31" spans="1:11" ht="15" customHeight="1" thickBot="1" x14ac:dyDescent="0.25">
      <c r="A31" s="264"/>
      <c r="B31" s="1713"/>
      <c r="D31" s="1842"/>
      <c r="F31" s="234" t="s">
        <v>4779</v>
      </c>
      <c r="H31" s="788"/>
      <c r="I31" s="234"/>
    </row>
    <row r="32" spans="1:11" s="232" customFormat="1" ht="14.45" customHeight="1" thickBot="1" x14ac:dyDescent="0.25">
      <c r="A32" s="1714"/>
      <c r="B32" s="1714"/>
      <c r="C32" s="1714"/>
      <c r="D32" s="1715"/>
      <c r="E32" s="1714"/>
      <c r="F32" s="1714"/>
      <c r="G32" s="1714"/>
      <c r="H32" s="1716"/>
      <c r="I32" s="1714"/>
      <c r="J32" s="1716"/>
    </row>
    <row r="33" spans="1:11" s="232" customFormat="1" ht="12.6" customHeight="1" x14ac:dyDescent="0.2">
      <c r="A33" s="236"/>
      <c r="B33" s="236"/>
      <c r="C33" s="236"/>
      <c r="D33" s="1717"/>
      <c r="E33" s="236"/>
      <c r="F33" s="1717"/>
      <c r="G33" s="236"/>
      <c r="H33" s="1717"/>
      <c r="I33" s="236"/>
      <c r="J33" s="1717"/>
    </row>
    <row r="34" spans="1:11" s="232" customFormat="1" ht="15" customHeight="1" x14ac:dyDescent="0.2">
      <c r="A34" s="264" t="s">
        <v>4259</v>
      </c>
      <c r="B34" s="227"/>
      <c r="C34" s="227"/>
      <c r="D34" s="227"/>
      <c r="E34" s="227"/>
      <c r="F34" s="227"/>
      <c r="G34" s="227"/>
      <c r="H34" s="227"/>
      <c r="I34" s="227"/>
      <c r="J34" s="227"/>
    </row>
    <row r="35" spans="1:11" s="232" customFormat="1" ht="15" customHeight="1" x14ac:dyDescent="0.2">
      <c r="A35" s="234"/>
      <c r="B35" s="227"/>
      <c r="C35" s="227"/>
      <c r="D35" s="1697" t="s">
        <v>600</v>
      </c>
      <c r="E35" s="227"/>
      <c r="F35" s="227"/>
      <c r="G35" s="227"/>
      <c r="H35" s="227"/>
      <c r="I35" s="227"/>
      <c r="J35" s="227"/>
    </row>
    <row r="36" spans="1:11" s="232" customFormat="1" ht="15" customHeight="1" x14ac:dyDescent="0.25">
      <c r="A36" s="262"/>
      <c r="B36" s="227"/>
      <c r="C36" s="227"/>
      <c r="D36" s="1698" t="s">
        <v>4260</v>
      </c>
      <c r="E36" s="227"/>
      <c r="F36" s="2851" t="s">
        <v>156</v>
      </c>
      <c r="G36" s="2851"/>
      <c r="H36" s="2851"/>
      <c r="I36" s="227"/>
      <c r="J36" s="227"/>
    </row>
    <row r="37" spans="1:11" s="232" customFormat="1" ht="15" customHeight="1" thickBot="1" x14ac:dyDescent="0.25">
      <c r="A37" s="2848" t="s">
        <v>1201</v>
      </c>
      <c r="B37" s="2848"/>
      <c r="C37" s="227"/>
      <c r="D37" s="1699" t="s">
        <v>1156</v>
      </c>
      <c r="E37" s="227"/>
      <c r="F37" s="1700" t="s">
        <v>1097</v>
      </c>
      <c r="G37" s="227"/>
      <c r="H37" s="1700" t="s">
        <v>1202</v>
      </c>
      <c r="I37" s="1697"/>
      <c r="J37" s="1699" t="s">
        <v>980</v>
      </c>
      <c r="K37" s="227"/>
    </row>
    <row r="38" spans="1:11" s="232" customFormat="1" ht="15" customHeight="1" x14ac:dyDescent="0.25">
      <c r="A38" s="2849"/>
      <c r="B38" s="2849"/>
      <c r="C38" s="236"/>
      <c r="D38" s="1701"/>
      <c r="E38" s="1702"/>
      <c r="F38" s="1703"/>
      <c r="G38" s="1702"/>
      <c r="H38" s="1704"/>
      <c r="I38" s="1702"/>
      <c r="J38" s="1705"/>
      <c r="K38" s="227"/>
    </row>
    <row r="39" spans="1:11" s="232" customFormat="1" ht="15" customHeight="1" x14ac:dyDescent="0.25">
      <c r="A39" s="2845"/>
      <c r="B39" s="2845"/>
      <c r="C39" s="236"/>
      <c r="D39" s="1701"/>
      <c r="E39" s="1702"/>
      <c r="F39" s="1706"/>
      <c r="G39" s="1702"/>
      <c r="H39" s="1707"/>
      <c r="I39" s="1702"/>
      <c r="J39" s="1708"/>
      <c r="K39" s="227"/>
    </row>
    <row r="40" spans="1:11" s="232" customFormat="1" ht="15" customHeight="1" x14ac:dyDescent="0.25">
      <c r="A40" s="2845"/>
      <c r="B40" s="2846"/>
      <c r="C40" s="236"/>
      <c r="D40" s="1701"/>
      <c r="E40" s="1702"/>
      <c r="F40" s="1706"/>
      <c r="G40" s="1702"/>
      <c r="H40" s="1704"/>
      <c r="I40" s="1702"/>
      <c r="J40" s="1708"/>
      <c r="K40" s="227"/>
    </row>
    <row r="41" spans="1:11" s="232" customFormat="1" ht="15" customHeight="1" x14ac:dyDescent="0.25">
      <c r="A41" s="2845"/>
      <c r="B41" s="2846"/>
      <c r="C41" s="236"/>
      <c r="D41" s="1701"/>
      <c r="E41" s="1702"/>
      <c r="F41" s="1706"/>
      <c r="G41" s="1702"/>
      <c r="H41" s="1704"/>
      <c r="I41" s="1702"/>
      <c r="J41" s="1708"/>
      <c r="K41" s="227"/>
    </row>
    <row r="42" spans="1:11" s="232" customFormat="1" ht="15" customHeight="1" x14ac:dyDescent="0.25">
      <c r="A42" s="2845"/>
      <c r="B42" s="2845"/>
      <c r="C42" s="236"/>
      <c r="D42" s="1701"/>
      <c r="E42" s="1702"/>
      <c r="F42" s="1706"/>
      <c r="G42" s="1702"/>
      <c r="H42" s="1704"/>
      <c r="I42" s="1702"/>
      <c r="J42" s="1708"/>
      <c r="K42" s="227"/>
    </row>
    <row r="43" spans="1:11" s="232" customFormat="1" ht="15" customHeight="1" x14ac:dyDescent="0.25">
      <c r="A43" s="2845"/>
      <c r="B43" s="2845"/>
      <c r="C43" s="236"/>
      <c r="D43" s="1701"/>
      <c r="E43" s="1702"/>
      <c r="F43" s="1706"/>
      <c r="G43" s="1702"/>
      <c r="H43" s="1704"/>
      <c r="I43" s="1702"/>
      <c r="J43" s="1708"/>
      <c r="K43" s="227"/>
    </row>
    <row r="44" spans="1:11" s="232" customFormat="1" ht="15" customHeight="1" x14ac:dyDescent="0.25">
      <c r="A44" s="2845"/>
      <c r="B44" s="2845"/>
      <c r="C44" s="236"/>
      <c r="D44" s="1701"/>
      <c r="E44" s="1702"/>
      <c r="F44" s="1706"/>
      <c r="G44" s="1702"/>
      <c r="H44" s="1704"/>
      <c r="I44" s="1702"/>
      <c r="J44" s="1708"/>
      <c r="K44" s="227"/>
    </row>
    <row r="45" spans="1:11" s="232" customFormat="1" ht="15" customHeight="1" x14ac:dyDescent="0.25">
      <c r="A45" s="2845"/>
      <c r="B45" s="2845"/>
      <c r="C45" s="236"/>
      <c r="D45" s="1701"/>
      <c r="E45" s="1702"/>
      <c r="F45" s="1706"/>
      <c r="G45" s="1702"/>
      <c r="H45" s="1704"/>
      <c r="I45" s="1702"/>
      <c r="J45" s="1708"/>
      <c r="K45" s="227"/>
    </row>
    <row r="46" spans="1:11" s="232" customFormat="1" ht="15" customHeight="1" x14ac:dyDescent="0.2">
      <c r="A46" s="1710"/>
      <c r="B46" s="265"/>
      <c r="C46" s="236"/>
      <c r="D46" s="1718"/>
      <c r="E46" s="236"/>
      <c r="F46" s="234" t="s">
        <v>4778</v>
      </c>
      <c r="G46" s="236"/>
      <c r="H46" s="236"/>
      <c r="I46" s="236"/>
      <c r="J46" s="1712"/>
      <c r="K46" s="227"/>
    </row>
    <row r="47" spans="1:11" s="232" customFormat="1" ht="15" customHeight="1" thickBot="1" x14ac:dyDescent="0.25">
      <c r="A47" s="235"/>
      <c r="B47" s="1713" t="s">
        <v>84</v>
      </c>
      <c r="C47" s="227"/>
      <c r="D47" s="1843">
        <f>SUM(D38:D45)</f>
        <v>0</v>
      </c>
      <c r="E47" s="227"/>
      <c r="F47" s="234" t="s">
        <v>4917</v>
      </c>
      <c r="G47" s="227"/>
      <c r="H47" s="227"/>
      <c r="I47" s="227"/>
      <c r="J47" s="227"/>
      <c r="K47" s="227"/>
    </row>
    <row r="48" spans="1:11" x14ac:dyDescent="0.2">
      <c r="A48" s="234"/>
      <c r="D48" s="235"/>
      <c r="F48" s="234" t="s">
        <v>4781</v>
      </c>
      <c r="H48" s="235"/>
    </row>
    <row r="49" spans="1:10" s="232" customFormat="1" ht="12" customHeight="1" x14ac:dyDescent="0.2">
      <c r="A49" s="234"/>
      <c r="B49" s="233"/>
      <c r="C49" s="233"/>
      <c r="D49" s="233"/>
      <c r="E49" s="233"/>
      <c r="F49" s="233"/>
      <c r="G49" s="233"/>
      <c r="H49" s="233"/>
      <c r="I49" s="233"/>
      <c r="J49" s="233"/>
    </row>
    <row r="50" spans="1:10" s="236" customFormat="1" ht="12" x14ac:dyDescent="0.2"/>
    <row r="51" spans="1:10" s="236" customFormat="1" ht="12" x14ac:dyDescent="0.2"/>
    <row r="52" spans="1:10" s="236" customFormat="1" ht="12" x14ac:dyDescent="0.2"/>
    <row r="53" spans="1:10" s="236" customFormat="1" ht="12" x14ac:dyDescent="0.2"/>
    <row r="54" spans="1:10" s="236" customFormat="1" ht="12" x14ac:dyDescent="0.2"/>
    <row r="55" spans="1:10" s="236" customFormat="1" ht="12" x14ac:dyDescent="0.2"/>
    <row r="56" spans="1:10" s="236" customFormat="1" ht="12" x14ac:dyDescent="0.2"/>
    <row r="57" spans="1:10" s="236" customFormat="1" ht="12" x14ac:dyDescent="0.2"/>
    <row r="58" spans="1:10" s="236" customFormat="1" ht="12" x14ac:dyDescent="0.2"/>
    <row r="59" spans="1:10" s="236" customFormat="1" ht="12" x14ac:dyDescent="0.2"/>
    <row r="60" spans="1:10" s="236" customFormat="1" ht="12" x14ac:dyDescent="0.2"/>
    <row r="61" spans="1:10" s="236" customFormat="1" ht="12" x14ac:dyDescent="0.2"/>
    <row r="62" spans="1:10" s="236" customFormat="1" ht="12" x14ac:dyDescent="0.2"/>
    <row r="63" spans="1:10" s="236" customFormat="1" ht="12" x14ac:dyDescent="0.2"/>
    <row r="64" spans="1:10" s="236" customFormat="1" ht="12" x14ac:dyDescent="0.2"/>
    <row r="65" s="236" customFormat="1" ht="12" x14ac:dyDescent="0.2"/>
    <row r="66" s="236" customFormat="1" ht="12" x14ac:dyDescent="0.2"/>
    <row r="67" s="236" customFormat="1" ht="12" x14ac:dyDescent="0.2"/>
    <row r="68" s="236" customFormat="1" ht="12" x14ac:dyDescent="0.2"/>
    <row r="69" s="236" customFormat="1" ht="12" x14ac:dyDescent="0.2"/>
    <row r="70" s="236" customFormat="1" ht="12" x14ac:dyDescent="0.2"/>
    <row r="71" s="236" customFormat="1" ht="12" x14ac:dyDescent="0.2"/>
    <row r="72" s="236" customFormat="1" ht="12" x14ac:dyDescent="0.2"/>
    <row r="73" s="236" customFormat="1" ht="12" x14ac:dyDescent="0.2"/>
    <row r="74" s="236" customFormat="1" ht="12" x14ac:dyDescent="0.2"/>
  </sheetData>
  <sheetProtection algorithmName="SHA-512" hashValue="XZDJFEs4cPtOznkPQUburDmhO6ZW5wraioyAugTdD+zTqJAJIesJ6bWjckcSlwWkmeBobHl/br9L0KwLPTdI5w==" saltValue="VnBUJ32dgUyXMBYY4JxiPg==" spinCount="100000" sheet="1" objects="1" scenarios="1" autoFilter="0"/>
  <mergeCells count="27">
    <mergeCell ref="G6:J6"/>
    <mergeCell ref="A1:J1"/>
    <mergeCell ref="A2:J2"/>
    <mergeCell ref="A3:J3"/>
    <mergeCell ref="A4:J4"/>
    <mergeCell ref="A43:B43"/>
    <mergeCell ref="A44:B44"/>
    <mergeCell ref="A45:B45"/>
    <mergeCell ref="B7:E7"/>
    <mergeCell ref="G7:J7"/>
    <mergeCell ref="F36:H36"/>
    <mergeCell ref="F19:H19"/>
    <mergeCell ref="A20:B20"/>
    <mergeCell ref="A21:B21"/>
    <mergeCell ref="A22:B22"/>
    <mergeCell ref="A23:B23"/>
    <mergeCell ref="A42:B42"/>
    <mergeCell ref="A24:B24"/>
    <mergeCell ref="A25:B25"/>
    <mergeCell ref="A26:B26"/>
    <mergeCell ref="A27:B27"/>
    <mergeCell ref="A41:B41"/>
    <mergeCell ref="A28:B28"/>
    <mergeCell ref="A37:B37"/>
    <mergeCell ref="A38:B38"/>
    <mergeCell ref="A39:B39"/>
    <mergeCell ref="A40:B40"/>
  </mergeCells>
  <conditionalFormatting sqref="K1:K3">
    <cfRule type="cellIs" dxfId="41" priority="1" stopIfTrue="1" operator="equal">
      <formula>"na"</formula>
    </cfRule>
  </conditionalFormatting>
  <hyperlinks>
    <hyperlink ref="A1" location="Index!A1" display="Index!A1" xr:uid="{00000000-0004-0000-3800-000000000000}"/>
  </hyperlinks>
  <printOptions horizontalCentered="1"/>
  <pageMargins left="0.5" right="0.5" top="0.5" bottom="0.5" header="0.5" footer="0.4"/>
  <pageSetup scale="96" fitToHeight="0" orientation="portrait" r:id="rId1"/>
  <headerFooter alignWithMargins="0">
    <oddFooter>&amp;R&amp;"MS Sans Serif,Regular"&amp;A</oddFooter>
  </headerFooter>
  <ignoredErrors>
    <ignoredError sqref="D36 D19" numberStoredAsText="1"/>
    <ignoredError sqref="G7 B7" unlocked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10">
    <pageSetUpPr fitToPage="1"/>
  </sheetPr>
  <dimension ref="A1:U42"/>
  <sheetViews>
    <sheetView showGridLines="0" zoomScaleNormal="100" workbookViewId="0">
      <selection sqref="A1:T1"/>
    </sheetView>
  </sheetViews>
  <sheetFormatPr defaultColWidth="8" defaultRowHeight="12.75" x14ac:dyDescent="0.2"/>
  <cols>
    <col min="1" max="1" width="8.5703125" style="577" customWidth="1"/>
    <col min="2" max="2" width="4.5703125" style="577" customWidth="1"/>
    <col min="3" max="3" width="8.5703125" style="577" customWidth="1"/>
    <col min="4" max="7" width="4.5703125" style="577" customWidth="1"/>
    <col min="8" max="8" width="2.5703125" style="577" customWidth="1"/>
    <col min="9" max="9" width="1.5703125" style="577" customWidth="1"/>
    <col min="10" max="10" width="7.5703125" style="577" customWidth="1"/>
    <col min="11" max="11" width="1.5703125" style="577" customWidth="1"/>
    <col min="12" max="12" width="14.42578125" style="577" customWidth="1"/>
    <col min="13" max="13" width="1.5703125" style="577" customWidth="1"/>
    <col min="14" max="14" width="13.42578125" style="577" customWidth="1"/>
    <col min="15" max="15" width="1.5703125" style="577" customWidth="1"/>
    <col min="16" max="16" width="15.42578125" style="577" customWidth="1"/>
    <col min="17" max="17" width="1.5703125" style="577" customWidth="1"/>
    <col min="18" max="18" width="13.42578125" style="577" customWidth="1"/>
    <col min="19" max="19" width="1.5703125" style="577" customWidth="1"/>
    <col min="20" max="20" width="14.42578125" style="577" customWidth="1"/>
    <col min="21" max="21" width="4.5703125" style="577" customWidth="1"/>
    <col min="22" max="216" width="14.42578125" style="577" customWidth="1"/>
    <col min="217" max="16384" width="8" style="577"/>
  </cols>
  <sheetData>
    <row r="1" spans="1:21" s="576" customFormat="1" ht="15" customHeight="1" x14ac:dyDescent="0.25">
      <c r="A1" s="2482" t="str">
        <f>+Index!$A$1</f>
        <v xml:space="preserve">                                                               Office of the State Controller                                                                </v>
      </c>
      <c r="B1" s="2482"/>
      <c r="C1" s="2482"/>
      <c r="D1" s="2482"/>
      <c r="E1" s="2482"/>
      <c r="F1" s="2482"/>
      <c r="G1" s="2482"/>
      <c r="H1" s="2482"/>
      <c r="I1" s="2482"/>
      <c r="J1" s="2482"/>
      <c r="K1" s="2482"/>
      <c r="L1" s="2482"/>
      <c r="M1" s="2482"/>
      <c r="N1" s="2482"/>
      <c r="O1" s="2482"/>
      <c r="P1" s="2482"/>
      <c r="Q1" s="2482"/>
      <c r="R1" s="2482"/>
      <c r="S1" s="2482"/>
      <c r="T1" s="2482"/>
      <c r="U1" s="2510" t="str">
        <f>IF(Index!$B$83="na","NA","")</f>
        <v/>
      </c>
    </row>
    <row r="2" spans="1:21" s="576" customFormat="1" ht="15" customHeight="1" x14ac:dyDescent="0.25">
      <c r="A2" s="2856" t="str">
        <f>+Index!$A$2</f>
        <v>2022 ACFR Worksheets</v>
      </c>
      <c r="B2" s="2856"/>
      <c r="C2" s="2856"/>
      <c r="D2" s="2856"/>
      <c r="E2" s="2856"/>
      <c r="F2" s="2856"/>
      <c r="G2" s="2856"/>
      <c r="H2" s="2856"/>
      <c r="I2" s="2856"/>
      <c r="J2" s="2856"/>
      <c r="K2" s="2856"/>
      <c r="L2" s="2856"/>
      <c r="M2" s="2856"/>
      <c r="N2" s="2856"/>
      <c r="O2" s="2856"/>
      <c r="P2" s="2856"/>
      <c r="Q2" s="2856"/>
      <c r="R2" s="2856"/>
      <c r="S2" s="2856"/>
      <c r="T2" s="2856"/>
      <c r="U2" s="2510"/>
    </row>
    <row r="3" spans="1:21" s="576" customFormat="1" ht="15" customHeight="1" x14ac:dyDescent="0.25">
      <c r="A3" s="2856" t="s">
        <v>3593</v>
      </c>
      <c r="B3" s="2856"/>
      <c r="C3" s="2856"/>
      <c r="D3" s="2856"/>
      <c r="E3" s="2856"/>
      <c r="F3" s="2856"/>
      <c r="G3" s="2856"/>
      <c r="H3" s="2856"/>
      <c r="I3" s="2856"/>
      <c r="J3" s="2856"/>
      <c r="K3" s="2856"/>
      <c r="L3" s="2856"/>
      <c r="M3" s="2856"/>
      <c r="N3" s="2856"/>
      <c r="O3" s="2856"/>
      <c r="P3" s="2856"/>
      <c r="Q3" s="2856"/>
      <c r="R3" s="2856"/>
      <c r="S3" s="2856"/>
      <c r="T3" s="2856"/>
      <c r="U3" s="2510"/>
    </row>
    <row r="4" spans="1:21" ht="15" customHeight="1" x14ac:dyDescent="0.2">
      <c r="A4" s="2324" t="s">
        <v>4968</v>
      </c>
      <c r="C4" s="2199" t="s">
        <v>4969</v>
      </c>
      <c r="P4" s="578" t="s">
        <v>398</v>
      </c>
    </row>
    <row r="5" spans="1:21" s="579" customFormat="1" ht="15" customHeight="1" x14ac:dyDescent="0.2">
      <c r="A5" s="580" t="s">
        <v>327</v>
      </c>
      <c r="B5" s="581"/>
      <c r="C5" s="581"/>
      <c r="D5" s="2858" t="str">
        <f>+Index!$E$10</f>
        <v>01</v>
      </c>
      <c r="E5" s="2858"/>
      <c r="F5" s="581"/>
      <c r="G5" s="581"/>
      <c r="H5" s="581"/>
      <c r="I5" s="582"/>
      <c r="J5" s="582"/>
      <c r="O5" s="583" t="s">
        <v>972</v>
      </c>
      <c r="P5" s="2855" t="str">
        <f>CONCATENATE(Index!$E$12," ",Index!$E$14)</f>
        <v xml:space="preserve"> </v>
      </c>
      <c r="Q5" s="2855"/>
      <c r="R5" s="2855"/>
      <c r="S5" s="2855"/>
      <c r="T5" s="2855"/>
    </row>
    <row r="6" spans="1:21" s="579" customFormat="1" ht="15" customHeight="1" x14ac:dyDescent="0.2">
      <c r="A6" s="580" t="s">
        <v>1154</v>
      </c>
      <c r="B6" s="584"/>
      <c r="C6" s="584"/>
      <c r="D6" s="2857" t="str">
        <f>+Index!$E$11</f>
        <v>North Carolina General Assembly</v>
      </c>
      <c r="E6" s="2857"/>
      <c r="F6" s="2857"/>
      <c r="G6" s="2857"/>
      <c r="H6" s="2857"/>
      <c r="I6" s="2857"/>
      <c r="J6" s="2857"/>
      <c r="K6" s="2857"/>
      <c r="L6" s="2857"/>
      <c r="O6" s="583" t="s">
        <v>348</v>
      </c>
      <c r="P6" s="2862">
        <f>+Index!$E$13</f>
        <v>0</v>
      </c>
      <c r="Q6" s="2862"/>
      <c r="R6" s="2862"/>
      <c r="S6" s="2862"/>
      <c r="T6" s="2862"/>
    </row>
    <row r="7" spans="1:21" s="579" customFormat="1" ht="15" customHeight="1" thickBot="1" x14ac:dyDescent="0.25">
      <c r="A7" s="585"/>
      <c r="B7" s="585"/>
      <c r="C7" s="585"/>
      <c r="D7" s="585"/>
      <c r="E7" s="585"/>
      <c r="F7" s="585"/>
      <c r="G7" s="585"/>
      <c r="H7" s="585"/>
      <c r="I7" s="585"/>
      <c r="J7" s="585"/>
      <c r="K7" s="585"/>
      <c r="L7" s="585"/>
      <c r="M7" s="585"/>
      <c r="N7" s="585"/>
      <c r="O7" s="585"/>
      <c r="P7" s="585"/>
      <c r="Q7" s="585"/>
      <c r="R7" s="585"/>
      <c r="S7" s="585"/>
      <c r="T7" s="585" t="s">
        <v>973</v>
      </c>
      <c r="U7" s="111"/>
    </row>
    <row r="8" spans="1:21" s="579" customFormat="1" ht="15" customHeight="1" x14ac:dyDescent="0.2">
      <c r="U8" s="111"/>
    </row>
    <row r="9" spans="1:21" s="579" customFormat="1" ht="15" customHeight="1" x14ac:dyDescent="0.2">
      <c r="A9" s="577" t="s">
        <v>3595</v>
      </c>
    </row>
    <row r="10" spans="1:21" s="579" customFormat="1" ht="15" customHeight="1" x14ac:dyDescent="0.2">
      <c r="L10" s="2325" t="s">
        <v>5590</v>
      </c>
      <c r="M10" s="2325"/>
      <c r="N10" s="2325" t="s">
        <v>5591</v>
      </c>
      <c r="O10" s="1095"/>
      <c r="P10" s="2325" t="s">
        <v>5592</v>
      </c>
      <c r="Q10" s="2325"/>
      <c r="R10" s="2325" t="s">
        <v>5593</v>
      </c>
      <c r="S10" s="2324"/>
      <c r="T10" s="272"/>
    </row>
    <row r="11" spans="1:21" s="586" customFormat="1" ht="15" customHeight="1" x14ac:dyDescent="0.2">
      <c r="A11" s="587"/>
      <c r="B11" s="588"/>
      <c r="C11" s="588"/>
      <c r="D11" s="588"/>
      <c r="E11" s="588"/>
      <c r="F11" s="588"/>
      <c r="G11" s="588"/>
      <c r="H11" s="589"/>
      <c r="J11" s="590"/>
      <c r="L11" s="590"/>
      <c r="N11" s="590" t="s">
        <v>973</v>
      </c>
      <c r="P11" s="590" t="s">
        <v>224</v>
      </c>
      <c r="R11" s="590"/>
      <c r="T11" s="590"/>
      <c r="U11" s="579"/>
    </row>
    <row r="12" spans="1:21" s="586" customFormat="1" ht="15" customHeight="1" x14ac:dyDescent="0.2">
      <c r="A12" s="591"/>
      <c r="H12" s="592"/>
      <c r="J12" s="593"/>
      <c r="L12" s="593" t="s">
        <v>225</v>
      </c>
      <c r="N12" s="593" t="s">
        <v>1057</v>
      </c>
      <c r="P12" s="593" t="s">
        <v>3718</v>
      </c>
      <c r="R12" s="593" t="s">
        <v>226</v>
      </c>
      <c r="T12" s="593"/>
      <c r="U12" s="579"/>
    </row>
    <row r="13" spans="1:21" s="586" customFormat="1" ht="15" customHeight="1" x14ac:dyDescent="0.2">
      <c r="A13" s="591"/>
      <c r="H13" s="592"/>
      <c r="J13" s="593" t="s">
        <v>1157</v>
      </c>
      <c r="L13" s="593" t="s">
        <v>1160</v>
      </c>
      <c r="N13" s="593" t="s">
        <v>3721</v>
      </c>
      <c r="P13" s="593" t="s">
        <v>3719</v>
      </c>
      <c r="R13" s="593" t="s">
        <v>227</v>
      </c>
      <c r="T13" s="593" t="s">
        <v>1160</v>
      </c>
      <c r="U13" s="579"/>
    </row>
    <row r="14" spans="1:21" s="586" customFormat="1" ht="15" customHeight="1" x14ac:dyDescent="0.2">
      <c r="A14" s="2859" t="s">
        <v>228</v>
      </c>
      <c r="B14" s="2860"/>
      <c r="C14" s="2860"/>
      <c r="D14" s="2860"/>
      <c r="E14" s="2860"/>
      <c r="F14" s="2860"/>
      <c r="G14" s="2860"/>
      <c r="H14" s="2861"/>
      <c r="J14" s="594" t="s">
        <v>685</v>
      </c>
      <c r="L14" s="594" t="str">
        <f>+TEXT(Data!$A$3,"mmmm d, yyyy")</f>
        <v>July 1, 2021</v>
      </c>
      <c r="N14" s="594" t="s">
        <v>229</v>
      </c>
      <c r="P14" s="594" t="s">
        <v>3720</v>
      </c>
      <c r="R14" s="594" t="s">
        <v>231</v>
      </c>
      <c r="T14" s="594" t="str">
        <f>+TEXT(Data!$A$2,"mmmm d, yyyy")</f>
        <v>June 30, 2022</v>
      </c>
      <c r="U14" s="579"/>
    </row>
    <row r="15" spans="1:21" s="579" customFormat="1" ht="15" customHeight="1" x14ac:dyDescent="0.2">
      <c r="A15" s="2854" t="s">
        <v>5596</v>
      </c>
      <c r="B15" s="2854"/>
      <c r="C15" s="2854"/>
      <c r="D15" s="2854"/>
      <c r="E15" s="2854"/>
      <c r="F15" s="2854"/>
      <c r="G15" s="2854"/>
      <c r="H15" s="2854"/>
      <c r="I15" s="111"/>
      <c r="J15" s="524"/>
      <c r="L15" s="602"/>
      <c r="M15" s="596"/>
      <c r="N15" s="602"/>
      <c r="O15" s="596"/>
      <c r="P15" s="602"/>
      <c r="Q15" s="596"/>
      <c r="R15" s="602"/>
      <c r="S15" s="596"/>
      <c r="T15" s="595">
        <f t="shared" ref="T15:T27" si="0">L15+N15-P15-R15</f>
        <v>0</v>
      </c>
    </row>
    <row r="16" spans="1:21" s="579" customFormat="1" ht="15" customHeight="1" x14ac:dyDescent="0.2">
      <c r="A16" s="2854" t="s">
        <v>5596</v>
      </c>
      <c r="B16" s="2854"/>
      <c r="C16" s="2854"/>
      <c r="D16" s="2854"/>
      <c r="E16" s="2854"/>
      <c r="F16" s="2854"/>
      <c r="G16" s="2854"/>
      <c r="H16" s="2854"/>
      <c r="I16" s="111"/>
      <c r="J16" s="601"/>
      <c r="L16" s="602"/>
      <c r="M16" s="596"/>
      <c r="N16" s="602"/>
      <c r="O16" s="596"/>
      <c r="P16" s="602"/>
      <c r="Q16" s="596"/>
      <c r="R16" s="602"/>
      <c r="S16" s="596"/>
      <c r="T16" s="595">
        <f t="shared" si="0"/>
        <v>0</v>
      </c>
    </row>
    <row r="17" spans="1:20" s="579" customFormat="1" ht="15" customHeight="1" x14ac:dyDescent="0.2">
      <c r="A17" s="2854"/>
      <c r="B17" s="2854"/>
      <c r="C17" s="2854"/>
      <c r="D17" s="2854"/>
      <c r="E17" s="2854"/>
      <c r="F17" s="2854"/>
      <c r="G17" s="2854"/>
      <c r="H17" s="2854"/>
      <c r="I17" s="111"/>
      <c r="J17" s="601"/>
      <c r="L17" s="602">
        <v>0</v>
      </c>
      <c r="M17" s="596"/>
      <c r="N17" s="602">
        <v>0</v>
      </c>
      <c r="O17" s="596"/>
      <c r="P17" s="602">
        <v>0</v>
      </c>
      <c r="Q17" s="596"/>
      <c r="R17" s="602">
        <v>0</v>
      </c>
      <c r="S17" s="596"/>
      <c r="T17" s="595">
        <f t="shared" si="0"/>
        <v>0</v>
      </c>
    </row>
    <row r="18" spans="1:20" s="579" customFormat="1" ht="15" customHeight="1" x14ac:dyDescent="0.2">
      <c r="A18" s="2854"/>
      <c r="B18" s="2854"/>
      <c r="C18" s="2854"/>
      <c r="D18" s="2854"/>
      <c r="E18" s="2854"/>
      <c r="F18" s="2854"/>
      <c r="G18" s="2854"/>
      <c r="H18" s="2854"/>
      <c r="I18" s="111"/>
      <c r="J18" s="601"/>
      <c r="L18" s="602"/>
      <c r="M18" s="596"/>
      <c r="N18" s="602">
        <v>0</v>
      </c>
      <c r="O18" s="596"/>
      <c r="P18" s="602">
        <v>0</v>
      </c>
      <c r="Q18" s="596"/>
      <c r="R18" s="602">
        <v>0</v>
      </c>
      <c r="S18" s="596"/>
      <c r="T18" s="595">
        <f t="shared" si="0"/>
        <v>0</v>
      </c>
    </row>
    <row r="19" spans="1:20" s="579" customFormat="1" ht="15" customHeight="1" x14ac:dyDescent="0.2">
      <c r="A19" s="2854"/>
      <c r="B19" s="2854"/>
      <c r="C19" s="2854"/>
      <c r="D19" s="2854"/>
      <c r="E19" s="2854"/>
      <c r="F19" s="2854"/>
      <c r="G19" s="2854"/>
      <c r="H19" s="2854"/>
      <c r="I19" s="111"/>
      <c r="J19" s="601"/>
      <c r="L19" s="602">
        <v>0</v>
      </c>
      <c r="M19" s="596"/>
      <c r="N19" s="602">
        <v>0</v>
      </c>
      <c r="O19" s="596"/>
      <c r="P19" s="602">
        <v>0</v>
      </c>
      <c r="Q19" s="596"/>
      <c r="R19" s="602">
        <v>0</v>
      </c>
      <c r="S19" s="596"/>
      <c r="T19" s="595">
        <f t="shared" si="0"/>
        <v>0</v>
      </c>
    </row>
    <row r="20" spans="1:20" s="579" customFormat="1" ht="15" customHeight="1" x14ac:dyDescent="0.2">
      <c r="A20" s="2854"/>
      <c r="B20" s="2854"/>
      <c r="C20" s="2854"/>
      <c r="D20" s="2854"/>
      <c r="E20" s="2854"/>
      <c r="F20" s="2854"/>
      <c r="G20" s="2854"/>
      <c r="H20" s="2854"/>
      <c r="I20" s="111"/>
      <c r="J20" s="601"/>
      <c r="L20" s="602">
        <v>0</v>
      </c>
      <c r="M20" s="596"/>
      <c r="N20" s="602">
        <v>0</v>
      </c>
      <c r="O20" s="596"/>
      <c r="P20" s="602">
        <v>0</v>
      </c>
      <c r="Q20" s="596"/>
      <c r="R20" s="602">
        <v>0</v>
      </c>
      <c r="S20" s="596"/>
      <c r="T20" s="595">
        <f t="shared" si="0"/>
        <v>0</v>
      </c>
    </row>
    <row r="21" spans="1:20" s="579" customFormat="1" ht="15" customHeight="1" x14ac:dyDescent="0.2">
      <c r="A21" s="2854"/>
      <c r="B21" s="2854"/>
      <c r="C21" s="2854"/>
      <c r="D21" s="2854"/>
      <c r="E21" s="2854"/>
      <c r="F21" s="2854"/>
      <c r="G21" s="2854"/>
      <c r="H21" s="2854"/>
      <c r="I21" s="111"/>
      <c r="J21" s="601"/>
      <c r="L21" s="602">
        <v>0</v>
      </c>
      <c r="M21" s="596"/>
      <c r="N21" s="602">
        <v>0</v>
      </c>
      <c r="O21" s="596"/>
      <c r="P21" s="602">
        <v>0</v>
      </c>
      <c r="Q21" s="596"/>
      <c r="R21" s="602">
        <v>0</v>
      </c>
      <c r="S21" s="596"/>
      <c r="T21" s="595">
        <f t="shared" si="0"/>
        <v>0</v>
      </c>
    </row>
    <row r="22" spans="1:20" s="579" customFormat="1" ht="15" customHeight="1" x14ac:dyDescent="0.2">
      <c r="A22" s="2854"/>
      <c r="B22" s="2854"/>
      <c r="C22" s="2854"/>
      <c r="D22" s="2854"/>
      <c r="E22" s="2854"/>
      <c r="F22" s="2854"/>
      <c r="G22" s="2854"/>
      <c r="H22" s="2854"/>
      <c r="I22" s="111"/>
      <c r="J22" s="601"/>
      <c r="L22" s="602"/>
      <c r="M22" s="596"/>
      <c r="N22" s="602"/>
      <c r="O22" s="596"/>
      <c r="P22" s="602"/>
      <c r="Q22" s="596"/>
      <c r="R22" s="602"/>
      <c r="S22" s="596"/>
      <c r="T22" s="595">
        <f t="shared" si="0"/>
        <v>0</v>
      </c>
    </row>
    <row r="23" spans="1:20" s="579" customFormat="1" ht="15" customHeight="1" x14ac:dyDescent="0.2">
      <c r="A23" s="2854"/>
      <c r="B23" s="2854"/>
      <c r="C23" s="2854"/>
      <c r="D23" s="2854"/>
      <c r="E23" s="2854"/>
      <c r="F23" s="2854"/>
      <c r="G23" s="2854"/>
      <c r="H23" s="2854"/>
      <c r="I23" s="111"/>
      <c r="J23" s="601"/>
      <c r="L23" s="602">
        <v>0</v>
      </c>
      <c r="M23" s="596"/>
      <c r="N23" s="602">
        <v>0</v>
      </c>
      <c r="O23" s="596"/>
      <c r="P23" s="602">
        <v>0</v>
      </c>
      <c r="Q23" s="596"/>
      <c r="R23" s="602">
        <v>0</v>
      </c>
      <c r="S23" s="596"/>
      <c r="T23" s="595">
        <f t="shared" si="0"/>
        <v>0</v>
      </c>
    </row>
    <row r="24" spans="1:20" s="579" customFormat="1" ht="15" customHeight="1" x14ac:dyDescent="0.2">
      <c r="A24" s="2854"/>
      <c r="B24" s="2854"/>
      <c r="C24" s="2854"/>
      <c r="D24" s="2854"/>
      <c r="E24" s="2854"/>
      <c r="F24" s="2854"/>
      <c r="G24" s="2854"/>
      <c r="H24" s="2854"/>
      <c r="I24" s="111"/>
      <c r="J24" s="601"/>
      <c r="L24" s="602">
        <v>0</v>
      </c>
      <c r="M24" s="596"/>
      <c r="N24" s="602">
        <v>0</v>
      </c>
      <c r="O24" s="596"/>
      <c r="P24" s="602">
        <v>0</v>
      </c>
      <c r="Q24" s="596"/>
      <c r="R24" s="602">
        <v>0</v>
      </c>
      <c r="S24" s="596"/>
      <c r="T24" s="595">
        <f t="shared" si="0"/>
        <v>0</v>
      </c>
    </row>
    <row r="25" spans="1:20" s="579" customFormat="1" ht="15" customHeight="1" x14ac:dyDescent="0.2">
      <c r="A25" s="2854"/>
      <c r="B25" s="2854"/>
      <c r="C25" s="2854"/>
      <c r="D25" s="2854"/>
      <c r="E25" s="2854"/>
      <c r="F25" s="2854"/>
      <c r="G25" s="2854"/>
      <c r="H25" s="2854"/>
      <c r="I25" s="111"/>
      <c r="J25" s="601"/>
      <c r="L25" s="602"/>
      <c r="M25" s="596"/>
      <c r="N25" s="602"/>
      <c r="O25" s="596"/>
      <c r="P25" s="602"/>
      <c r="Q25" s="596"/>
      <c r="R25" s="602"/>
      <c r="S25" s="596"/>
      <c r="T25" s="595">
        <f t="shared" si="0"/>
        <v>0</v>
      </c>
    </row>
    <row r="26" spans="1:20" s="579" customFormat="1" ht="15" customHeight="1" x14ac:dyDescent="0.2">
      <c r="A26" s="2854"/>
      <c r="B26" s="2854"/>
      <c r="C26" s="2854"/>
      <c r="D26" s="2854"/>
      <c r="E26" s="2854"/>
      <c r="F26" s="2854"/>
      <c r="G26" s="2854"/>
      <c r="H26" s="2854"/>
      <c r="I26" s="111"/>
      <c r="J26" s="601"/>
      <c r="L26" s="602">
        <v>0</v>
      </c>
      <c r="M26" s="596"/>
      <c r="N26" s="602">
        <v>0</v>
      </c>
      <c r="O26" s="596"/>
      <c r="P26" s="602">
        <v>0</v>
      </c>
      <c r="Q26" s="596"/>
      <c r="R26" s="602">
        <v>0</v>
      </c>
      <c r="S26" s="596"/>
      <c r="T26" s="595">
        <f t="shared" si="0"/>
        <v>0</v>
      </c>
    </row>
    <row r="27" spans="1:20" s="579" customFormat="1" ht="15" customHeight="1" x14ac:dyDescent="0.2">
      <c r="A27" s="2854"/>
      <c r="B27" s="2854"/>
      <c r="C27" s="2854"/>
      <c r="D27" s="2854"/>
      <c r="E27" s="2854"/>
      <c r="F27" s="2854"/>
      <c r="G27" s="2854"/>
      <c r="H27" s="2854"/>
      <c r="I27" s="111"/>
      <c r="J27" s="601"/>
      <c r="L27" s="602"/>
      <c r="M27" s="596"/>
      <c r="N27" s="602"/>
      <c r="O27" s="596"/>
      <c r="P27" s="602"/>
      <c r="Q27" s="596"/>
      <c r="R27" s="602"/>
      <c r="S27" s="596"/>
      <c r="T27" s="595">
        <f t="shared" si="0"/>
        <v>0</v>
      </c>
    </row>
    <row r="28" spans="1:20" s="111" customFormat="1" ht="15" customHeight="1" x14ac:dyDescent="0.2"/>
    <row r="29" spans="1:20" s="579" customFormat="1" ht="15" customHeight="1" thickBot="1" x14ac:dyDescent="0.25">
      <c r="A29" s="2"/>
      <c r="B29" s="2"/>
      <c r="C29" s="2"/>
      <c r="D29" s="2"/>
      <c r="E29" s="2"/>
      <c r="F29" s="2"/>
      <c r="G29" s="2"/>
      <c r="H29" s="2"/>
      <c r="I29" s="2"/>
      <c r="J29" s="2" t="s">
        <v>84</v>
      </c>
      <c r="L29" s="597">
        <f>SUM(L15:L28)</f>
        <v>0</v>
      </c>
      <c r="M29" s="596"/>
      <c r="N29" s="597">
        <f>SUM(N15:N28)</f>
        <v>0</v>
      </c>
      <c r="O29" s="596"/>
      <c r="P29" s="597">
        <f>SUM(P15:P28)</f>
        <v>0</v>
      </c>
      <c r="Q29" s="596"/>
      <c r="R29" s="597">
        <f>SUM(R15:R28)</f>
        <v>0</v>
      </c>
      <c r="S29" s="596"/>
      <c r="T29" s="597">
        <f>SUM(T15:T28)</f>
        <v>0</v>
      </c>
    </row>
    <row r="30" spans="1:20" s="579" customFormat="1" ht="15" customHeight="1" thickTop="1" x14ac:dyDescent="0.2">
      <c r="A30" s="598" t="s">
        <v>973</v>
      </c>
      <c r="B30" s="598"/>
      <c r="C30" s="598"/>
      <c r="D30" s="598"/>
      <c r="E30" s="598"/>
      <c r="F30" s="598"/>
      <c r="G30" s="598"/>
      <c r="H30" s="598"/>
      <c r="I30" s="598"/>
      <c r="J30" s="598"/>
      <c r="R30" s="581"/>
      <c r="T30" s="581" t="s">
        <v>4918</v>
      </c>
    </row>
    <row r="31" spans="1:20" s="579" customFormat="1" ht="15" customHeight="1" x14ac:dyDescent="0.2">
      <c r="A31" s="579" t="s">
        <v>232</v>
      </c>
      <c r="T31" s="599" t="str">
        <f>IF(L29+N29-P29-R29&lt;&gt;T29,"Verify Totals"," ")</f>
        <v xml:space="preserve"> </v>
      </c>
    </row>
    <row r="32" spans="1:20" s="579" customFormat="1" ht="15" customHeight="1" x14ac:dyDescent="0.2">
      <c r="A32" s="579" t="s">
        <v>233</v>
      </c>
    </row>
    <row r="33" spans="1:10" s="579" customFormat="1" ht="15" customHeight="1" x14ac:dyDescent="0.2">
      <c r="A33" s="1650" t="s">
        <v>4151</v>
      </c>
      <c r="B33" s="598"/>
      <c r="C33" s="598"/>
      <c r="D33" s="598"/>
      <c r="E33" s="598"/>
      <c r="F33" s="598"/>
      <c r="G33" s="598"/>
      <c r="H33" s="598"/>
      <c r="I33" s="598"/>
      <c r="J33" s="598"/>
    </row>
    <row r="34" spans="1:10" s="579" customFormat="1" ht="15" customHeight="1" x14ac:dyDescent="0.2">
      <c r="A34" s="577" t="s">
        <v>3722</v>
      </c>
    </row>
    <row r="35" spans="1:10" s="600" customFormat="1" ht="15" customHeight="1" x14ac:dyDescent="0.2"/>
    <row r="36" spans="1:10" ht="15" customHeight="1" x14ac:dyDescent="0.2"/>
    <row r="37" spans="1:10" ht="15" customHeight="1" x14ac:dyDescent="0.2"/>
    <row r="38" spans="1:10" ht="15" customHeight="1" x14ac:dyDescent="0.2"/>
    <row r="39" spans="1:10" ht="15" customHeight="1" x14ac:dyDescent="0.2"/>
    <row r="40" spans="1:10" ht="15" customHeight="1" x14ac:dyDescent="0.2"/>
    <row r="41" spans="1:10" ht="15" customHeight="1" x14ac:dyDescent="0.2"/>
    <row r="42" spans="1:10" ht="15" customHeight="1" x14ac:dyDescent="0.2"/>
  </sheetData>
  <sheetProtection algorithmName="SHA-512" hashValue="OApN5MtfsAjBtB3VIpn0Q80tVj/9WbJeTY5+cc1ZQpn3lZtKDlS+GKWYqKYG57Qlj7Puw25SJq96OT4wAKyumw==" saltValue="TMXz6sO+tebRhQjmdtc3sg==" spinCount="100000" sheet="1" objects="1" scenarios="1" autoFilter="0"/>
  <customSheetViews>
    <customSheetView guid="{B08879A4-635B-4C39-9937-AC7883D562FC}" showGridLines="0" fitToPage="1">
      <selection activeCell="B12" sqref="B12"/>
      <pageMargins left="0.5" right="0.5" top="0.75" bottom="0.5" header="0.5" footer="0.5"/>
      <printOptions horizontalCentered="1"/>
      <pageSetup pageOrder="overThenDown" orientation="landscape" r:id="rId1"/>
      <headerFooter alignWithMargins="0">
        <oddFooter>&amp;R&amp;A</oddFooter>
      </headerFooter>
    </customSheetView>
    <customSheetView guid="{1250FD07-FF56-4A9D-AF9E-C27124A7EBE9}" showGridLines="0" fitToPage="1" showRuler="0">
      <selection sqref="A1:T1"/>
      <pageMargins left="0.5" right="0.5" top="0.75" bottom="0.5" header="0.5" footer="0.5"/>
      <printOptions horizontalCentered="1"/>
      <pageSetup pageOrder="overThenDown" orientation="landscape" horizontalDpi="300" verticalDpi="300" r:id="rId2"/>
      <headerFooter alignWithMargins="0">
        <oddFooter>&amp;R&amp;A</oddFooter>
      </headerFooter>
    </customSheetView>
    <customSheetView guid="{BEA4BE86-04D1-4C96-9358-7A260B9D2B2D}" showGridLines="0" fitToPage="1" showRuler="0">
      <selection sqref="A1:T1"/>
      <pageMargins left="0.5" right="0.5" top="0.75" bottom="0.5" header="0.5" footer="0.5"/>
      <printOptions horizontalCentered="1"/>
      <pageSetup pageOrder="overThenDown" orientation="landscape" horizontalDpi="300" verticalDpi="300" r:id="rId3"/>
      <headerFooter alignWithMargins="0">
        <oddFooter>&amp;R&amp;A</oddFooter>
      </headerFooter>
    </customSheetView>
    <customSheetView guid="{9FCFC836-1CA5-48BF-958D-24D2EA94B219}" showGridLines="0" fitToPage="1">
      <selection activeCell="B12" sqref="B12"/>
      <pageMargins left="0.5" right="0.5" top="0.75" bottom="0.5" header="0.5" footer="0.5"/>
      <printOptions horizontalCentered="1"/>
      <pageSetup pageOrder="overThenDown" orientation="landscape" r:id="rId4"/>
      <headerFooter alignWithMargins="0">
        <oddFooter>&amp;R&amp;A</oddFooter>
      </headerFooter>
    </customSheetView>
  </customSheetViews>
  <mergeCells count="22">
    <mergeCell ref="U1:U3"/>
    <mergeCell ref="A20:H20"/>
    <mergeCell ref="A1:T1"/>
    <mergeCell ref="P5:T5"/>
    <mergeCell ref="A3:T3"/>
    <mergeCell ref="D6:L6"/>
    <mergeCell ref="A2:T2"/>
    <mergeCell ref="D5:E5"/>
    <mergeCell ref="A14:H14"/>
    <mergeCell ref="P6:T6"/>
    <mergeCell ref="A27:H27"/>
    <mergeCell ref="A22:H22"/>
    <mergeCell ref="A15:H15"/>
    <mergeCell ref="A16:H16"/>
    <mergeCell ref="A21:H21"/>
    <mergeCell ref="A17:H17"/>
    <mergeCell ref="A18:H18"/>
    <mergeCell ref="A25:H25"/>
    <mergeCell ref="A24:H24"/>
    <mergeCell ref="A26:H26"/>
    <mergeCell ref="A23:H23"/>
    <mergeCell ref="A19:H19"/>
  </mergeCells>
  <phoneticPr fontId="15" type="noConversion"/>
  <conditionalFormatting sqref="U1:U3">
    <cfRule type="cellIs" dxfId="40" priority="1" stopIfTrue="1" operator="equal">
      <formula>"na"</formula>
    </cfRule>
  </conditionalFormatting>
  <dataValidations count="3">
    <dataValidation type="textLength" operator="equal" allowBlank="1" showInputMessage="1" showErrorMessage="1" errorTitle="Invalid data!" error="GASB number must be 4 digits." sqref="J15:J27" xr:uid="{00000000-0002-0000-3900-000000000000}">
      <formula1>4</formula1>
    </dataValidation>
    <dataValidation type="custom" allowBlank="1" showInputMessage="1" showErrorMessage="1" errorTitle="Invalid Data!" error="Prior year unavailable revenues earned in the current year must not exceed the Beginning Balance, July 1." sqref="P15:P27" xr:uid="{00000000-0002-0000-3900-000001000000}">
      <formula1>P15&lt;=L15</formula1>
    </dataValidation>
    <dataValidation type="list" allowBlank="1" showInputMessage="1" showErrorMessage="1" sqref="C4" xr:uid="{94628536-5321-4D50-A35C-77573DB998B0}">
      <formula1>"No Function,General government,Primary and secondary education, Higher education, Health and human services,Economic development, Environment and natural resources, Public safety, Transportation, Agriculture"</formula1>
    </dataValidation>
  </dataValidations>
  <hyperlinks>
    <hyperlink ref="A1:T1" location="Index!A1" display="Index!A1" xr:uid="{00000000-0004-0000-3900-000000000000}"/>
  </hyperlinks>
  <printOptions horizontalCentered="1"/>
  <pageMargins left="0.5" right="0.5" top="0.75" bottom="0.5" header="0.5" footer="0.5"/>
  <pageSetup scale="96" pageOrder="overThenDown" orientation="landscape" r:id="rId5"/>
  <headerFooter alignWithMargins="0">
    <oddFooter>&amp;R&amp;A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AE16A4-B71B-4FF3-B3F5-7DABA0DEB46B}">
          <x14:formula1>
            <xm:f>Notes!$S$25:$S$50</xm:f>
          </x14:formula1>
          <xm:sqref>A15:H27</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0">
    <pageSetUpPr fitToPage="1"/>
  </sheetPr>
  <dimension ref="A1:W58"/>
  <sheetViews>
    <sheetView showGridLines="0" topLeftCell="B1" zoomScale="95" zoomScaleNormal="95" workbookViewId="0">
      <selection activeCell="Y21" sqref="Y21"/>
    </sheetView>
  </sheetViews>
  <sheetFormatPr defaultColWidth="16.5703125" defaultRowHeight="12.75" x14ac:dyDescent="0.2"/>
  <cols>
    <col min="1" max="1" width="0" style="59" hidden="1" customWidth="1"/>
    <col min="2" max="2" width="20.5703125" style="59" customWidth="1"/>
    <col min="3" max="3" width="0.5703125" style="59" customWidth="1"/>
    <col min="4" max="4" width="18" style="59" customWidth="1"/>
    <col min="5" max="5" width="0.5703125" style="59" customWidth="1"/>
    <col min="6" max="6" width="16" style="59" customWidth="1"/>
    <col min="7" max="7" width="0.5703125" style="59" customWidth="1"/>
    <col min="8" max="8" width="15.42578125" style="59" bestFit="1" customWidth="1"/>
    <col min="9" max="9" width="0.5703125" style="59" customWidth="1"/>
    <col min="10" max="10" width="10.5703125" style="59" bestFit="1" customWidth="1"/>
    <col min="11" max="11" width="0.5703125" style="59" customWidth="1"/>
    <col min="12" max="12" width="9" style="59" customWidth="1"/>
    <col min="13" max="13" width="1.5703125" style="59" customWidth="1"/>
    <col min="14" max="14" width="5.5703125" style="59" customWidth="1"/>
    <col min="15" max="15" width="1.5703125" style="59" customWidth="1"/>
    <col min="16" max="16" width="9.5703125" style="59" customWidth="1"/>
    <col min="17" max="17" width="1.5703125" style="59" customWidth="1"/>
    <col min="18" max="18" width="9.42578125" style="59" customWidth="1"/>
    <col min="19" max="21" width="1.5703125" style="59" customWidth="1"/>
    <col min="22" max="22" width="13.5703125" style="59" customWidth="1"/>
    <col min="23" max="23" width="4.5703125" style="59" customWidth="1"/>
    <col min="24" max="16384" width="16.5703125" style="59"/>
  </cols>
  <sheetData>
    <row r="1" spans="1:23" s="185" customFormat="1" ht="15" customHeight="1" x14ac:dyDescent="0.25">
      <c r="B1" s="2449" t="str">
        <f>+Index!$A$1</f>
        <v xml:space="preserve">                                                               Office of the State Controller                                                                </v>
      </c>
      <c r="C1" s="2449"/>
      <c r="D1" s="2449"/>
      <c r="E1" s="2449"/>
      <c r="F1" s="2449"/>
      <c r="G1" s="2449"/>
      <c r="H1" s="2449"/>
      <c r="I1" s="2449"/>
      <c r="J1" s="2449"/>
      <c r="K1" s="2449"/>
      <c r="L1" s="2449"/>
      <c r="M1" s="2449"/>
      <c r="N1" s="2449"/>
      <c r="O1" s="2449"/>
      <c r="P1" s="2449"/>
      <c r="Q1" s="2449"/>
      <c r="R1" s="2449"/>
      <c r="S1" s="2449"/>
      <c r="T1" s="2449"/>
      <c r="U1" s="2449"/>
      <c r="V1" s="2449"/>
      <c r="W1" s="2510" t="str">
        <f>IF(Index!$B$84="na","NA","")</f>
        <v/>
      </c>
    </row>
    <row r="2" spans="1:23" s="185" customFormat="1" ht="15" customHeight="1" x14ac:dyDescent="0.25">
      <c r="B2" s="2870" t="str">
        <f>+Index!$A$2</f>
        <v>2022 ACFR Worksheets</v>
      </c>
      <c r="C2" s="2870"/>
      <c r="D2" s="2870"/>
      <c r="E2" s="2870"/>
      <c r="F2" s="2870"/>
      <c r="G2" s="2870"/>
      <c r="H2" s="2870"/>
      <c r="I2" s="2870"/>
      <c r="J2" s="2870"/>
      <c r="K2" s="2870"/>
      <c r="L2" s="2870"/>
      <c r="M2" s="2870"/>
      <c r="N2" s="2870"/>
      <c r="O2" s="2870"/>
      <c r="P2" s="2870"/>
      <c r="Q2" s="2870"/>
      <c r="R2" s="2870"/>
      <c r="S2" s="2870"/>
      <c r="T2" s="2870"/>
      <c r="U2" s="2870"/>
      <c r="V2" s="2870"/>
      <c r="W2" s="2510"/>
    </row>
    <row r="3" spans="1:23" s="185" customFormat="1" ht="15" customHeight="1" x14ac:dyDescent="0.25">
      <c r="B3" s="2870" t="s">
        <v>3473</v>
      </c>
      <c r="C3" s="2870"/>
      <c r="D3" s="2870"/>
      <c r="E3" s="2870"/>
      <c r="F3" s="2870"/>
      <c r="G3" s="2870"/>
      <c r="H3" s="2870"/>
      <c r="I3" s="2870"/>
      <c r="J3" s="2870"/>
      <c r="K3" s="2870"/>
      <c r="L3" s="2870"/>
      <c r="M3" s="2870"/>
      <c r="N3" s="2870"/>
      <c r="O3" s="2870"/>
      <c r="P3" s="2870"/>
      <c r="Q3" s="2870"/>
      <c r="R3" s="2870"/>
      <c r="S3" s="2870"/>
      <c r="T3" s="2870"/>
      <c r="U3" s="2870"/>
      <c r="V3" s="2870"/>
      <c r="W3" s="2510"/>
    </row>
    <row r="4" spans="1:23" s="188" customFormat="1" ht="15" customHeight="1" x14ac:dyDescent="0.2">
      <c r="B4" s="189"/>
      <c r="C4" s="189"/>
      <c r="D4" s="189"/>
      <c r="E4" s="189"/>
      <c r="F4" s="189"/>
      <c r="G4" s="189"/>
      <c r="H4" s="189"/>
      <c r="I4" s="189"/>
      <c r="J4" s="189"/>
      <c r="K4" s="189"/>
      <c r="L4" s="189"/>
      <c r="M4" s="189"/>
      <c r="N4" s="189"/>
      <c r="O4" s="189"/>
      <c r="P4" s="189"/>
      <c r="Q4" s="189"/>
      <c r="R4" s="189"/>
      <c r="S4" s="189"/>
      <c r="T4" s="189"/>
      <c r="U4" s="189"/>
    </row>
    <row r="5" spans="1:23" s="188" customFormat="1" ht="15" customHeight="1" x14ac:dyDescent="0.2">
      <c r="B5" s="190" t="s">
        <v>327</v>
      </c>
      <c r="C5" s="2867" t="str">
        <f>+Index!$E$10</f>
        <v>01</v>
      </c>
      <c r="D5" s="2867"/>
      <c r="E5" s="194"/>
      <c r="F5" s="194"/>
      <c r="G5" s="194"/>
      <c r="N5" s="191" t="s">
        <v>1154</v>
      </c>
      <c r="O5" s="2867" t="str">
        <f>+Index!$E$11</f>
        <v>North Carolina General Assembly</v>
      </c>
      <c r="P5" s="2867"/>
      <c r="Q5" s="2867"/>
      <c r="R5" s="2867"/>
      <c r="S5" s="2867"/>
      <c r="T5" s="2867"/>
      <c r="U5" s="2867"/>
      <c r="V5" s="2867"/>
    </row>
    <row r="6" spans="1:23" s="188" customFormat="1" ht="15" customHeight="1" x14ac:dyDescent="0.2">
      <c r="B6" s="190" t="s">
        <v>477</v>
      </c>
      <c r="C6" s="2868"/>
      <c r="D6" s="2868"/>
      <c r="N6" s="191" t="s">
        <v>972</v>
      </c>
      <c r="O6" s="2868" t="str">
        <f>CONCATENATE(Index!$E$12," ",Index!$E$14)</f>
        <v xml:space="preserve"> </v>
      </c>
      <c r="P6" s="2868"/>
      <c r="Q6" s="2868"/>
      <c r="R6" s="2868"/>
      <c r="S6" s="2868"/>
      <c r="T6" s="2868"/>
      <c r="U6" s="2868"/>
      <c r="V6" s="2868"/>
    </row>
    <row r="7" spans="1:23" s="188" customFormat="1" ht="15" customHeight="1" x14ac:dyDescent="0.2">
      <c r="B7" s="190" t="s">
        <v>599</v>
      </c>
      <c r="C7" s="2871"/>
      <c r="D7" s="2871"/>
      <c r="E7" s="2871"/>
      <c r="F7" s="2871"/>
      <c r="G7" s="2871"/>
      <c r="N7" s="191" t="s">
        <v>348</v>
      </c>
      <c r="O7" s="2869">
        <f>+Index!$E$13</f>
        <v>0</v>
      </c>
      <c r="P7" s="2869"/>
      <c r="Q7" s="2869"/>
      <c r="R7" s="2869"/>
      <c r="S7" s="2869"/>
      <c r="T7" s="2869"/>
      <c r="U7" s="2869"/>
      <c r="V7" s="2869"/>
    </row>
    <row r="8" spans="1:23" s="188" customFormat="1" ht="15" customHeight="1" thickBot="1" x14ac:dyDescent="0.25">
      <c r="B8" s="195"/>
      <c r="C8" s="196"/>
      <c r="D8" s="196"/>
      <c r="E8" s="196"/>
      <c r="F8" s="196"/>
      <c r="G8" s="196"/>
      <c r="H8" s="197"/>
      <c r="I8" s="197"/>
      <c r="J8" s="197"/>
      <c r="K8" s="197"/>
      <c r="L8" s="197"/>
      <c r="M8" s="197"/>
      <c r="N8" s="197"/>
      <c r="O8" s="197"/>
      <c r="P8" s="197"/>
      <c r="Q8" s="197"/>
      <c r="R8" s="197"/>
      <c r="S8" s="197"/>
      <c r="T8" s="197"/>
      <c r="U8" s="197"/>
      <c r="V8" s="197"/>
    </row>
    <row r="9" spans="1:23" s="188" customFormat="1" ht="15" customHeight="1" x14ac:dyDescent="0.2"/>
    <row r="10" spans="1:23" s="188" customFormat="1" ht="15" customHeight="1" x14ac:dyDescent="0.2"/>
    <row r="11" spans="1:23" s="188" customFormat="1" ht="15" customHeight="1" x14ac:dyDescent="0.2"/>
    <row r="12" spans="1:23" s="188" customFormat="1" ht="15" customHeight="1" x14ac:dyDescent="0.2"/>
    <row r="13" spans="1:23" s="188" customFormat="1" ht="15" customHeight="1" x14ac:dyDescent="0.2"/>
    <row r="14" spans="1:23" s="188" customFormat="1" ht="73.5" customHeight="1" x14ac:dyDescent="0.2"/>
    <row r="15" spans="1:23" s="188" customFormat="1" ht="22.5" customHeight="1" x14ac:dyDescent="0.2">
      <c r="B15" s="2872" t="s">
        <v>601</v>
      </c>
      <c r="C15" s="2872"/>
      <c r="D15" s="2872"/>
      <c r="E15" s="187"/>
      <c r="F15" s="186" t="s">
        <v>3472</v>
      </c>
      <c r="G15" s="187"/>
      <c r="H15" s="2875" t="s">
        <v>98</v>
      </c>
      <c r="I15" s="2875"/>
      <c r="J15" s="2875"/>
      <c r="K15" s="2875"/>
      <c r="L15" s="2875"/>
      <c r="M15" s="2875"/>
      <c r="N15" s="2875"/>
      <c r="O15" s="2875"/>
      <c r="P15" s="2875"/>
      <c r="Q15" s="2875"/>
      <c r="R15" s="2875"/>
      <c r="S15" s="2875"/>
      <c r="T15" s="2875"/>
      <c r="U15" s="2875"/>
      <c r="V15" s="2875"/>
    </row>
    <row r="16" spans="1:23" s="188" customFormat="1" ht="30" customHeight="1" x14ac:dyDescent="0.2">
      <c r="A16" s="2863"/>
      <c r="B16" s="2864"/>
      <c r="C16" s="2864"/>
      <c r="D16" s="2864"/>
      <c r="E16" s="192"/>
      <c r="F16" s="604"/>
      <c r="G16" s="192"/>
      <c r="H16" s="2865"/>
      <c r="I16" s="2865"/>
      <c r="J16" s="2865"/>
      <c r="K16" s="2865"/>
      <c r="L16" s="2865"/>
      <c r="M16" s="2865"/>
      <c r="N16" s="2865"/>
      <c r="O16" s="2865"/>
      <c r="P16" s="2865"/>
      <c r="Q16" s="2865"/>
      <c r="R16" s="2865"/>
      <c r="S16" s="2865"/>
      <c r="T16" s="2865"/>
      <c r="U16" s="2865"/>
      <c r="V16" s="2865"/>
    </row>
    <row r="17" spans="1:22" s="188" customFormat="1" ht="30.75" customHeight="1" x14ac:dyDescent="0.2">
      <c r="A17" s="2873"/>
      <c r="B17" s="2874"/>
      <c r="C17" s="2874"/>
      <c r="D17" s="2874"/>
      <c r="E17" s="192"/>
      <c r="F17" s="604"/>
      <c r="G17" s="192"/>
      <c r="H17" s="2865"/>
      <c r="I17" s="2865"/>
      <c r="J17" s="2865"/>
      <c r="K17" s="2865"/>
      <c r="L17" s="2865"/>
      <c r="M17" s="2865"/>
      <c r="N17" s="2865"/>
      <c r="O17" s="2865"/>
      <c r="P17" s="2865"/>
      <c r="Q17" s="2865"/>
      <c r="R17" s="2865"/>
      <c r="S17" s="2865"/>
      <c r="T17" s="2865"/>
      <c r="U17" s="2865"/>
      <c r="V17" s="2865"/>
    </row>
    <row r="18" spans="1:22" s="188" customFormat="1" ht="30.75" customHeight="1" x14ac:dyDescent="0.2">
      <c r="A18" s="2863"/>
      <c r="B18" s="2864"/>
      <c r="C18" s="2864"/>
      <c r="D18" s="2864"/>
      <c r="E18" s="192"/>
      <c r="F18" s="604"/>
      <c r="G18" s="192"/>
      <c r="H18" s="2865"/>
      <c r="I18" s="2865"/>
      <c r="J18" s="2865"/>
      <c r="K18" s="2865"/>
      <c r="L18" s="2865"/>
      <c r="M18" s="2865"/>
      <c r="N18" s="2865"/>
      <c r="O18" s="2865"/>
      <c r="P18" s="2865"/>
      <c r="Q18" s="2865"/>
      <c r="R18" s="2865"/>
      <c r="S18" s="2865"/>
      <c r="T18" s="2865"/>
      <c r="U18" s="2865"/>
      <c r="V18" s="2865"/>
    </row>
    <row r="19" spans="1:22" s="188" customFormat="1" ht="30.75" customHeight="1" x14ac:dyDescent="0.2">
      <c r="A19" s="2863"/>
      <c r="B19" s="2864"/>
      <c r="C19" s="2864"/>
      <c r="D19" s="2864"/>
      <c r="E19" s="192"/>
      <c r="F19" s="604"/>
      <c r="G19" s="192"/>
      <c r="H19" s="2865"/>
      <c r="I19" s="2865"/>
      <c r="J19" s="2865"/>
      <c r="K19" s="2865"/>
      <c r="L19" s="2865"/>
      <c r="M19" s="2865"/>
      <c r="N19" s="2865"/>
      <c r="O19" s="2865"/>
      <c r="P19" s="2865"/>
      <c r="Q19" s="2865"/>
      <c r="R19" s="2865"/>
      <c r="S19" s="2865"/>
      <c r="T19" s="2865"/>
      <c r="U19" s="2865"/>
      <c r="V19" s="2865"/>
    </row>
    <row r="20" spans="1:22" s="188" customFormat="1" ht="30.75" customHeight="1" x14ac:dyDescent="0.2">
      <c r="A20" s="2863"/>
      <c r="B20" s="2864"/>
      <c r="C20" s="2864"/>
      <c r="D20" s="2864"/>
      <c r="E20" s="192"/>
      <c r="F20" s="604"/>
      <c r="G20" s="192"/>
      <c r="H20" s="2865"/>
      <c r="I20" s="2865"/>
      <c r="J20" s="2865"/>
      <c r="K20" s="2865"/>
      <c r="L20" s="2865"/>
      <c r="M20" s="2865"/>
      <c r="N20" s="2865"/>
      <c r="O20" s="2865"/>
      <c r="P20" s="2865"/>
      <c r="Q20" s="2865"/>
      <c r="R20" s="2865"/>
      <c r="S20" s="2865"/>
      <c r="T20" s="2865"/>
      <c r="U20" s="2865"/>
      <c r="V20" s="2865"/>
    </row>
    <row r="21" spans="1:22" s="188" customFormat="1" ht="30.75" customHeight="1" x14ac:dyDescent="0.2">
      <c r="A21" s="2863"/>
      <c r="B21" s="2864"/>
      <c r="C21" s="2864"/>
      <c r="D21" s="2864"/>
      <c r="E21" s="192"/>
      <c r="F21" s="604"/>
      <c r="G21" s="192"/>
      <c r="H21" s="2865"/>
      <c r="I21" s="2865"/>
      <c r="J21" s="2865"/>
      <c r="K21" s="2865"/>
      <c r="L21" s="2865"/>
      <c r="M21" s="2865"/>
      <c r="N21" s="2865"/>
      <c r="O21" s="2865"/>
      <c r="P21" s="2865"/>
      <c r="Q21" s="2865"/>
      <c r="R21" s="2865"/>
      <c r="S21" s="2865"/>
      <c r="T21" s="2865"/>
      <c r="U21" s="2865"/>
      <c r="V21" s="2865"/>
    </row>
    <row r="22" spans="1:22" s="188" customFormat="1" ht="30.75" customHeight="1" x14ac:dyDescent="0.2">
      <c r="A22" s="2863"/>
      <c r="B22" s="2864"/>
      <c r="C22" s="2864"/>
      <c r="D22" s="2864"/>
      <c r="E22" s="192"/>
      <c r="F22" s="604"/>
      <c r="G22" s="192"/>
      <c r="H22" s="2865"/>
      <c r="I22" s="2865"/>
      <c r="J22" s="2865"/>
      <c r="K22" s="2865"/>
      <c r="L22" s="2865"/>
      <c r="M22" s="2865"/>
      <c r="N22" s="2865"/>
      <c r="O22" s="2865"/>
      <c r="P22" s="2865"/>
      <c r="Q22" s="2865"/>
      <c r="R22" s="2865"/>
      <c r="S22" s="2865"/>
      <c r="T22" s="2865"/>
      <c r="U22" s="2865"/>
      <c r="V22" s="2865"/>
    </row>
    <row r="23" spans="1:22" s="188" customFormat="1" ht="30.75" customHeight="1" x14ac:dyDescent="0.2">
      <c r="A23" s="2863"/>
      <c r="B23" s="2864"/>
      <c r="C23" s="2864"/>
      <c r="D23" s="2864"/>
      <c r="E23" s="192"/>
      <c r="F23" s="604"/>
      <c r="G23" s="192"/>
      <c r="H23" s="2865"/>
      <c r="I23" s="2865"/>
      <c r="J23" s="2865"/>
      <c r="K23" s="2865"/>
      <c r="L23" s="2865"/>
      <c r="M23" s="2865"/>
      <c r="N23" s="2865"/>
      <c r="O23" s="2865"/>
      <c r="P23" s="2865"/>
      <c r="Q23" s="2865"/>
      <c r="R23" s="2865"/>
      <c r="S23" s="2865"/>
      <c r="T23" s="2865"/>
      <c r="U23" s="2865"/>
      <c r="V23" s="2865"/>
    </row>
    <row r="24" spans="1:22" s="188" customFormat="1" ht="30.75" customHeight="1" x14ac:dyDescent="0.2">
      <c r="A24" s="2863"/>
      <c r="B24" s="2864"/>
      <c r="C24" s="2864"/>
      <c r="D24" s="2864"/>
      <c r="E24" s="192"/>
      <c r="F24" s="604"/>
      <c r="G24" s="192"/>
      <c r="H24" s="2865"/>
      <c r="I24" s="2865"/>
      <c r="J24" s="2865"/>
      <c r="K24" s="2865"/>
      <c r="L24" s="2865"/>
      <c r="M24" s="2865"/>
      <c r="N24" s="2865"/>
      <c r="O24" s="2865"/>
      <c r="P24" s="2865"/>
      <c r="Q24" s="2865"/>
      <c r="R24" s="2865"/>
      <c r="S24" s="2865"/>
      <c r="T24" s="2865"/>
      <c r="U24" s="2865"/>
      <c r="V24" s="2865"/>
    </row>
    <row r="25" spans="1:22" s="188" customFormat="1" ht="15" customHeight="1" x14ac:dyDescent="0.2">
      <c r="B25" s="603"/>
      <c r="D25" s="809"/>
      <c r="E25" s="192"/>
      <c r="F25" s="809"/>
      <c r="G25" s="192"/>
      <c r="H25" s="810"/>
      <c r="I25" s="193"/>
      <c r="J25" s="811"/>
      <c r="L25" s="2866"/>
      <c r="M25" s="2866"/>
      <c r="N25" s="2866"/>
      <c r="O25" s="2866"/>
      <c r="P25" s="2866"/>
      <c r="Q25" s="2866"/>
      <c r="R25" s="2866"/>
      <c r="S25" s="2866"/>
      <c r="T25" s="2866"/>
      <c r="U25" s="2866"/>
      <c r="V25" s="2866"/>
    </row>
    <row r="26" spans="1:22" s="188" customFormat="1" ht="15" customHeight="1" x14ac:dyDescent="0.2">
      <c r="D26" s="192"/>
      <c r="E26" s="192"/>
      <c r="F26" s="192"/>
      <c r="G26" s="192"/>
      <c r="H26" s="192"/>
    </row>
    <row r="27" spans="1:22" s="188" customFormat="1" ht="15" customHeight="1" x14ac:dyDescent="0.2"/>
    <row r="28" spans="1:22" s="188" customFormat="1" ht="21.75" customHeight="1" x14ac:dyDescent="0.2">
      <c r="B28" s="1352"/>
      <c r="C28" s="603"/>
      <c r="D28" s="603"/>
      <c r="E28" s="603"/>
      <c r="F28" s="603"/>
      <c r="G28" s="603"/>
      <c r="H28" s="603"/>
      <c r="I28" s="603"/>
      <c r="J28" s="603"/>
      <c r="K28" s="603"/>
      <c r="L28" s="603"/>
      <c r="M28" s="603"/>
      <c r="N28" s="603"/>
      <c r="O28" s="603"/>
      <c r="P28" s="603"/>
      <c r="Q28" s="603"/>
      <c r="R28" s="603"/>
      <c r="S28" s="603"/>
      <c r="T28" s="603"/>
      <c r="U28" s="603"/>
      <c r="V28" s="603"/>
    </row>
    <row r="29" spans="1:22" s="188" customFormat="1" ht="15" customHeight="1" x14ac:dyDescent="0.2">
      <c r="B29" s="1352"/>
      <c r="C29" s="603"/>
      <c r="D29" s="603"/>
      <c r="E29" s="603"/>
      <c r="F29" s="603"/>
      <c r="G29" s="603"/>
      <c r="H29" s="603"/>
      <c r="I29" s="603"/>
      <c r="J29" s="603"/>
      <c r="K29" s="603"/>
      <c r="L29" s="603"/>
      <c r="M29" s="603"/>
      <c r="N29" s="603"/>
      <c r="O29" s="603"/>
      <c r="P29" s="603"/>
      <c r="Q29" s="603"/>
      <c r="R29" s="603"/>
      <c r="S29" s="603"/>
      <c r="T29" s="603"/>
      <c r="U29" s="603"/>
      <c r="V29" s="603"/>
    </row>
    <row r="30" spans="1:22" ht="15.75" customHeight="1" x14ac:dyDescent="0.2">
      <c r="P30" s="60"/>
      <c r="Q30" s="60"/>
      <c r="R30" s="60"/>
      <c r="S30" s="60"/>
      <c r="T30" s="60"/>
      <c r="U30" s="60"/>
      <c r="V30" s="60"/>
    </row>
    <row r="31" spans="1:22" ht="15" customHeight="1" x14ac:dyDescent="0.2">
      <c r="A31" s="443" t="str">
        <f ca="1">MID(CELL("filename",A11),FIND("]",CELL("filename",A11))+1,256)</f>
        <v>625</v>
      </c>
      <c r="B31" s="812" t="s">
        <v>449</v>
      </c>
      <c r="P31" s="60"/>
      <c r="Q31" s="60"/>
      <c r="R31" s="60"/>
      <c r="S31" s="60"/>
      <c r="T31" s="60"/>
      <c r="U31" s="60"/>
      <c r="V31" s="60"/>
    </row>
    <row r="32" spans="1:22" ht="15" customHeight="1" x14ac:dyDescent="0.2">
      <c r="A32" s="443" t="s">
        <v>446</v>
      </c>
      <c r="B32" s="812" t="str">
        <f t="shared" ref="B32:B41" ca="1" si="0">IF(ISNA(INDEX(ErrorTable,MATCH($A$31&amp;$A32&amp;FALSE,ErrorKey,0),6)),"",INDEX(ErrorTable,MATCH($A$31&amp;$A32&amp;FALSE,ErrorKey,0),6))</f>
        <v>GASB number is blank.</v>
      </c>
      <c r="P32" s="60"/>
      <c r="Q32" s="60"/>
      <c r="R32" s="60"/>
      <c r="S32" s="60"/>
      <c r="T32" s="60"/>
      <c r="U32" s="60"/>
      <c r="V32" s="60"/>
    </row>
    <row r="33" spans="1:22" ht="15" customHeight="1" x14ac:dyDescent="0.2">
      <c r="A33" s="443" t="s">
        <v>447</v>
      </c>
      <c r="B33" s="812" t="str">
        <f t="shared" ca="1" si="0"/>
        <v>GASB name is blank.</v>
      </c>
      <c r="P33" s="60"/>
      <c r="Q33" s="60"/>
      <c r="R33" s="60"/>
      <c r="S33" s="60"/>
      <c r="T33" s="60"/>
      <c r="U33" s="60"/>
      <c r="V33" s="60"/>
    </row>
    <row r="34" spans="1:22" ht="15" customHeight="1" x14ac:dyDescent="0.2">
      <c r="A34" s="443" t="s">
        <v>448</v>
      </c>
      <c r="B34" s="443" t="str">
        <f t="shared" ca="1" si="0"/>
        <v/>
      </c>
      <c r="P34" s="60"/>
      <c r="Q34" s="60"/>
      <c r="R34" s="60"/>
      <c r="S34" s="60"/>
      <c r="T34" s="60"/>
      <c r="U34" s="60"/>
      <c r="V34" s="60"/>
    </row>
    <row r="35" spans="1:22" ht="15" x14ac:dyDescent="0.2">
      <c r="A35" s="443" t="s">
        <v>450</v>
      </c>
      <c r="B35" s="443" t="str">
        <f t="shared" ca="1" si="0"/>
        <v/>
      </c>
      <c r="P35" s="60"/>
      <c r="Q35" s="60"/>
      <c r="R35" s="60"/>
      <c r="S35" s="60"/>
      <c r="T35" s="60"/>
      <c r="U35" s="60"/>
      <c r="V35" s="60"/>
    </row>
    <row r="36" spans="1:22" ht="15" x14ac:dyDescent="0.2">
      <c r="A36" s="443" t="s">
        <v>451</v>
      </c>
      <c r="B36" s="443" t="str">
        <f t="shared" ca="1" si="0"/>
        <v/>
      </c>
      <c r="P36" s="60"/>
      <c r="Q36" s="60"/>
      <c r="R36" s="60"/>
      <c r="S36" s="60"/>
      <c r="T36" s="60"/>
      <c r="U36" s="60"/>
      <c r="V36" s="60"/>
    </row>
    <row r="37" spans="1:22" ht="15" x14ac:dyDescent="0.2">
      <c r="A37" s="443" t="s">
        <v>452</v>
      </c>
      <c r="B37" s="443" t="str">
        <f t="shared" ca="1" si="0"/>
        <v/>
      </c>
      <c r="P37" s="60"/>
      <c r="Q37" s="60"/>
      <c r="R37" s="60"/>
      <c r="S37" s="60"/>
      <c r="T37" s="60"/>
      <c r="U37" s="60"/>
      <c r="V37" s="60"/>
    </row>
    <row r="38" spans="1:22" ht="15" x14ac:dyDescent="0.2">
      <c r="A38" s="443" t="s">
        <v>453</v>
      </c>
      <c r="B38" s="443" t="str">
        <f t="shared" ca="1" si="0"/>
        <v/>
      </c>
      <c r="P38" s="60"/>
      <c r="Q38" s="60"/>
      <c r="R38" s="60"/>
      <c r="S38" s="60"/>
      <c r="T38" s="60"/>
      <c r="U38" s="60"/>
      <c r="V38" s="60"/>
    </row>
    <row r="39" spans="1:22" ht="15" x14ac:dyDescent="0.2">
      <c r="A39" s="443" t="s">
        <v>454</v>
      </c>
      <c r="B39" s="443" t="str">
        <f t="shared" ca="1" si="0"/>
        <v/>
      </c>
      <c r="P39" s="60"/>
      <c r="Q39" s="60"/>
      <c r="R39" s="60"/>
      <c r="S39" s="60"/>
      <c r="T39" s="60"/>
      <c r="U39" s="60"/>
      <c r="V39" s="60"/>
    </row>
    <row r="40" spans="1:22" ht="15" x14ac:dyDescent="0.2">
      <c r="A40" s="443" t="s">
        <v>455</v>
      </c>
      <c r="B40" s="443" t="str">
        <f t="shared" ca="1" si="0"/>
        <v/>
      </c>
      <c r="P40" s="60"/>
      <c r="Q40" s="60"/>
      <c r="R40" s="60"/>
      <c r="S40" s="60"/>
      <c r="T40" s="60"/>
      <c r="U40" s="60"/>
      <c r="V40" s="60"/>
    </row>
    <row r="41" spans="1:22" ht="15" x14ac:dyDescent="0.2">
      <c r="A41" s="443" t="s">
        <v>456</v>
      </c>
      <c r="B41" s="443" t="str">
        <f t="shared" ca="1" si="0"/>
        <v/>
      </c>
      <c r="P41" s="60"/>
      <c r="Q41" s="60"/>
      <c r="R41" s="60"/>
      <c r="S41" s="60"/>
      <c r="T41" s="60"/>
      <c r="U41" s="60"/>
      <c r="V41" s="60"/>
    </row>
    <row r="42" spans="1:22" x14ac:dyDescent="0.2">
      <c r="P42" s="60"/>
      <c r="Q42" s="60"/>
      <c r="R42" s="60"/>
      <c r="S42" s="60"/>
      <c r="T42" s="60"/>
      <c r="U42" s="60"/>
      <c r="V42" s="60"/>
    </row>
    <row r="43" spans="1:22" x14ac:dyDescent="0.2">
      <c r="P43" s="60"/>
      <c r="Q43" s="60"/>
      <c r="R43" s="60"/>
      <c r="S43" s="60"/>
      <c r="T43" s="60"/>
      <c r="U43" s="60"/>
      <c r="V43" s="60"/>
    </row>
    <row r="44" spans="1:22" x14ac:dyDescent="0.2">
      <c r="P44" s="60"/>
      <c r="Q44" s="60"/>
      <c r="R44" s="60"/>
      <c r="S44" s="60"/>
      <c r="T44" s="60"/>
      <c r="U44" s="60"/>
      <c r="V44" s="60"/>
    </row>
    <row r="45" spans="1:22" x14ac:dyDescent="0.2">
      <c r="P45" s="60"/>
      <c r="Q45" s="60"/>
      <c r="R45" s="60"/>
      <c r="S45" s="60"/>
      <c r="T45" s="60"/>
      <c r="U45" s="60"/>
      <c r="V45" s="60"/>
    </row>
    <row r="46" spans="1:22" x14ac:dyDescent="0.2">
      <c r="P46" s="60"/>
      <c r="Q46" s="60"/>
      <c r="R46" s="60"/>
      <c r="S46" s="60"/>
      <c r="T46" s="60"/>
      <c r="U46" s="60"/>
      <c r="V46" s="60"/>
    </row>
    <row r="47" spans="1:22" x14ac:dyDescent="0.2">
      <c r="P47" s="60"/>
      <c r="Q47" s="60"/>
      <c r="R47" s="60"/>
      <c r="S47" s="60"/>
      <c r="T47" s="60"/>
      <c r="U47" s="60"/>
      <c r="V47" s="60"/>
    </row>
    <row r="48" spans="1:22" x14ac:dyDescent="0.2">
      <c r="P48" s="60"/>
      <c r="Q48" s="60"/>
      <c r="R48" s="60"/>
      <c r="S48" s="60"/>
      <c r="T48" s="60"/>
      <c r="U48" s="60"/>
      <c r="V48" s="60"/>
    </row>
    <row r="49" spans="16:22" x14ac:dyDescent="0.2">
      <c r="P49" s="60"/>
      <c r="Q49" s="60"/>
      <c r="R49" s="60"/>
      <c r="S49" s="60"/>
      <c r="T49" s="60"/>
      <c r="U49" s="60"/>
      <c r="V49" s="60"/>
    </row>
    <row r="50" spans="16:22" x14ac:dyDescent="0.2">
      <c r="P50" s="60"/>
      <c r="Q50" s="60"/>
      <c r="R50" s="60"/>
      <c r="S50" s="60"/>
      <c r="T50" s="60"/>
      <c r="U50" s="60"/>
      <c r="V50" s="60"/>
    </row>
    <row r="51" spans="16:22" x14ac:dyDescent="0.2">
      <c r="P51" s="60"/>
      <c r="Q51" s="60"/>
      <c r="R51" s="60"/>
      <c r="S51" s="60"/>
      <c r="T51" s="60"/>
      <c r="U51" s="60"/>
      <c r="V51" s="60"/>
    </row>
    <row r="52" spans="16:22" x14ac:dyDescent="0.2">
      <c r="P52" s="60"/>
      <c r="Q52" s="60"/>
      <c r="R52" s="60"/>
      <c r="S52" s="60"/>
      <c r="T52" s="60"/>
      <c r="U52" s="60"/>
      <c r="V52" s="60"/>
    </row>
    <row r="53" spans="16:22" x14ac:dyDescent="0.2">
      <c r="P53" s="60"/>
      <c r="Q53" s="60"/>
      <c r="R53" s="60"/>
      <c r="S53" s="60"/>
      <c r="T53" s="60"/>
      <c r="U53" s="60"/>
      <c r="V53" s="60"/>
    </row>
    <row r="54" spans="16:22" x14ac:dyDescent="0.2">
      <c r="P54" s="60"/>
      <c r="Q54" s="60"/>
      <c r="R54" s="60"/>
      <c r="S54" s="60"/>
      <c r="T54" s="60"/>
      <c r="U54" s="60"/>
      <c r="V54" s="60"/>
    </row>
    <row r="55" spans="16:22" x14ac:dyDescent="0.2">
      <c r="P55" s="60"/>
      <c r="Q55" s="60"/>
      <c r="R55" s="60"/>
      <c r="S55" s="60"/>
      <c r="T55" s="60"/>
      <c r="U55" s="60"/>
      <c r="V55" s="60"/>
    </row>
    <row r="56" spans="16:22" x14ac:dyDescent="0.2">
      <c r="P56" s="60"/>
      <c r="Q56" s="60"/>
      <c r="R56" s="60"/>
      <c r="S56" s="60"/>
      <c r="T56" s="60"/>
      <c r="U56" s="60"/>
      <c r="V56" s="60"/>
    </row>
    <row r="57" spans="16:22" x14ac:dyDescent="0.2">
      <c r="P57" s="60"/>
      <c r="Q57" s="60"/>
      <c r="R57" s="60"/>
      <c r="S57" s="60"/>
      <c r="T57" s="60"/>
      <c r="U57" s="60"/>
      <c r="V57" s="60"/>
    </row>
    <row r="58" spans="16:22" x14ac:dyDescent="0.2">
      <c r="P58" s="60"/>
      <c r="Q58" s="60"/>
      <c r="R58" s="60"/>
      <c r="S58" s="60"/>
      <c r="T58" s="60"/>
      <c r="U58" s="60"/>
      <c r="V58" s="60"/>
    </row>
  </sheetData>
  <sheetProtection algorithmName="SHA-512" hashValue="V00AGUdiYCqnV3+0ei5oM+tbYg0AnQybrkGuPUQ4HodGdUfnsBBoE5Umsf5qUS+db74Gl4cs39E+SLjLtej6KA==" saltValue="IMFM/kQi7zVX/I1pcmpbIQ==" spinCount="100000" sheet="1" objects="1" scenarios="1" autoFilter="0"/>
  <customSheetViews>
    <customSheetView guid="{B08879A4-635B-4C39-9937-AC7883D562FC}" scale="95" showGridLines="0" fitToPage="1" hiddenColumns="1" topLeftCell="B1">
      <selection activeCell="B18" sqref="B18"/>
      <pageMargins left="0.5" right="0.5" top="0.75" bottom="0.5" header="0.5" footer="0.25"/>
      <printOptions horizontalCentered="1"/>
      <pageSetup scale="82" orientation="landscape" r:id="rId1"/>
      <headerFooter alignWithMargins="0">
        <oddFooter>&amp;R&amp;A</oddFooter>
      </headerFooter>
    </customSheetView>
    <customSheetView guid="{1250FD07-FF56-4A9D-AF9E-C27124A7EBE9}" showGridLines="0" fitToPage="1" showRuler="0">
      <selection sqref="A1:U1"/>
      <pageMargins left="0.5" right="0.5" top="0.75" bottom="0.5" header="0.5" footer="0.5"/>
      <printOptions horizontalCentered="1"/>
      <pageSetup scale="90" orientation="landscape" horizontalDpi="300" verticalDpi="300" r:id="rId2"/>
      <headerFooter alignWithMargins="0">
        <oddFooter>&amp;R&amp;A</oddFooter>
      </headerFooter>
    </customSheetView>
    <customSheetView guid="{BEA4BE86-04D1-4C96-9358-7A260B9D2B2D}" showGridLines="0" fitToPage="1" showRuler="0">
      <selection sqref="A1:U1"/>
      <pageMargins left="0.5" right="0.5" top="0.75" bottom="0.5" header="0.5" footer="0.5"/>
      <printOptions horizontalCentered="1"/>
      <pageSetup scale="90" orientation="landscape" horizontalDpi="300" verticalDpi="300" r:id="rId3"/>
      <headerFooter alignWithMargins="0">
        <oddFooter>&amp;R&amp;A</oddFooter>
      </headerFooter>
    </customSheetView>
    <customSheetView guid="{9FCFC836-1CA5-48BF-958D-24D2EA94B219}" scale="95" showGridLines="0" fitToPage="1" hiddenColumns="1" topLeftCell="B1">
      <selection activeCell="B18" sqref="B18"/>
      <pageMargins left="0.5" right="0.5" top="0.75" bottom="0.5" header="0.5" footer="0.25"/>
      <printOptions horizontalCentered="1"/>
      <pageSetup scale="82" orientation="landscape" r:id="rId4"/>
      <headerFooter alignWithMargins="0">
        <oddFooter>&amp;R&amp;A</oddFooter>
      </headerFooter>
    </customSheetView>
  </customSheetViews>
  <mergeCells count="31">
    <mergeCell ref="B15:D15"/>
    <mergeCell ref="H16:V16"/>
    <mergeCell ref="A17:D17"/>
    <mergeCell ref="H15:V15"/>
    <mergeCell ref="A16:D16"/>
    <mergeCell ref="H17:V17"/>
    <mergeCell ref="W1:W3"/>
    <mergeCell ref="O5:V5"/>
    <mergeCell ref="O6:V6"/>
    <mergeCell ref="O7:V7"/>
    <mergeCell ref="B1:V1"/>
    <mergeCell ref="B2:V2"/>
    <mergeCell ref="C5:D5"/>
    <mergeCell ref="C6:D6"/>
    <mergeCell ref="B3:V3"/>
    <mergeCell ref="C7:G7"/>
    <mergeCell ref="L25:V25"/>
    <mergeCell ref="H22:V22"/>
    <mergeCell ref="H23:V23"/>
    <mergeCell ref="H24:V24"/>
    <mergeCell ref="A22:D22"/>
    <mergeCell ref="A21:D21"/>
    <mergeCell ref="A19:D19"/>
    <mergeCell ref="A24:D24"/>
    <mergeCell ref="H18:V18"/>
    <mergeCell ref="H21:V21"/>
    <mergeCell ref="A20:D20"/>
    <mergeCell ref="A23:D23"/>
    <mergeCell ref="H20:V20"/>
    <mergeCell ref="H19:V19"/>
    <mergeCell ref="A18:D18"/>
  </mergeCells>
  <phoneticPr fontId="15" type="noConversion"/>
  <conditionalFormatting sqref="W1:W3">
    <cfRule type="cellIs" dxfId="39" priority="1" stopIfTrue="1" operator="equal">
      <formula>"na"</formula>
    </cfRule>
  </conditionalFormatting>
  <dataValidations count="1">
    <dataValidation type="textLength" operator="equal" allowBlank="1" showInputMessage="1" showErrorMessage="1" errorTitle="Invalid data!" error="GASB number must be 4 digits." sqref="C6:D6" xr:uid="{00000000-0002-0000-3A00-000000000000}">
      <formula1>4</formula1>
    </dataValidation>
  </dataValidations>
  <hyperlinks>
    <hyperlink ref="B1:V1" location="Index!A1" display="Index!A1" xr:uid="{00000000-0004-0000-3A00-000000000000}"/>
  </hyperlinks>
  <printOptions horizontalCentered="1"/>
  <pageMargins left="0.5" right="0.5" top="0.75" bottom="0.25" header="0.5" footer="0.25"/>
  <pageSetup scale="82" orientation="landscape" r:id="rId5"/>
  <headerFooter alignWithMargins="0">
    <oddFooter>&amp;R&amp;A</oddFooter>
  </headerFooter>
  <drawing r:id="rId6"/>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8">
    <pageSetUpPr fitToPage="1"/>
  </sheetPr>
  <dimension ref="A1:W99"/>
  <sheetViews>
    <sheetView showGridLines="0" topLeftCell="B1" zoomScaleNormal="100" workbookViewId="0">
      <selection activeCell="L58" sqref="L58"/>
    </sheetView>
  </sheetViews>
  <sheetFormatPr defaultRowHeight="12.75" x14ac:dyDescent="0.2"/>
  <cols>
    <col min="1" max="1" width="0" hidden="1" customWidth="1"/>
    <col min="2" max="9" width="3.5703125" customWidth="1"/>
    <col min="10" max="11" width="10.5703125" customWidth="1"/>
    <col min="12" max="12" width="12.42578125" customWidth="1"/>
    <col min="13" max="13" width="10.5703125" customWidth="1"/>
    <col min="14" max="14" width="9.5703125" customWidth="1"/>
    <col min="15" max="21" width="5.42578125" customWidth="1"/>
    <col min="23" max="23" width="41" customWidth="1"/>
    <col min="24" max="24" width="1.5703125" customWidth="1"/>
    <col min="28" max="28" width="25.5703125" customWidth="1"/>
    <col min="29" max="29" width="2" customWidth="1"/>
    <col min="30" max="31" width="11.5703125" customWidth="1"/>
  </cols>
  <sheetData>
    <row r="1" spans="2:21" ht="15" customHeight="1" x14ac:dyDescent="0.25">
      <c r="B1" s="2379" t="str">
        <f>+Index!$A$1</f>
        <v xml:space="preserve">                                                               Office of the State Controller                                                                </v>
      </c>
      <c r="C1" s="2379"/>
      <c r="D1" s="2379"/>
      <c r="E1" s="2379"/>
      <c r="F1" s="2379"/>
      <c r="G1" s="2379"/>
      <c r="H1" s="2379"/>
      <c r="I1" s="2379"/>
      <c r="J1" s="2379"/>
      <c r="K1" s="2379"/>
      <c r="L1" s="2379"/>
      <c r="M1" s="2379"/>
      <c r="N1" s="2379"/>
      <c r="O1" s="2379"/>
      <c r="P1" s="2450" t="str">
        <f>IF(Index!$B$85="na","NA","")</f>
        <v/>
      </c>
      <c r="Q1" s="29"/>
      <c r="R1" s="29"/>
      <c r="S1" s="29"/>
      <c r="T1" s="29"/>
      <c r="U1" s="29"/>
    </row>
    <row r="2" spans="2:21" ht="15" customHeight="1" x14ac:dyDescent="0.25">
      <c r="B2" s="2888" t="str">
        <f>+Index!$A$2</f>
        <v>2022 ACFR Worksheets</v>
      </c>
      <c r="C2" s="2888"/>
      <c r="D2" s="2888"/>
      <c r="E2" s="2888"/>
      <c r="F2" s="2888"/>
      <c r="G2" s="2888"/>
      <c r="H2" s="2888"/>
      <c r="I2" s="2888"/>
      <c r="J2" s="2888"/>
      <c r="K2" s="2888"/>
      <c r="L2" s="2888"/>
      <c r="M2" s="2888"/>
      <c r="N2" s="2888"/>
      <c r="O2" s="2888"/>
      <c r="P2" s="2450"/>
      <c r="Q2" s="30"/>
      <c r="R2" s="30"/>
      <c r="S2" s="30"/>
      <c r="T2" s="30"/>
      <c r="U2" s="30"/>
    </row>
    <row r="3" spans="2:21" ht="15" customHeight="1" x14ac:dyDescent="0.25">
      <c r="B3" s="2889" t="s">
        <v>3477</v>
      </c>
      <c r="C3" s="2889"/>
      <c r="D3" s="2889"/>
      <c r="E3" s="2889"/>
      <c r="F3" s="2889"/>
      <c r="G3" s="2889"/>
      <c r="H3" s="2889"/>
      <c r="I3" s="2889"/>
      <c r="J3" s="2889"/>
      <c r="K3" s="2889"/>
      <c r="L3" s="2889"/>
      <c r="M3" s="2889"/>
      <c r="N3" s="2889"/>
      <c r="O3" s="2889"/>
      <c r="P3" s="2450"/>
      <c r="Q3" s="29"/>
      <c r="R3" s="29"/>
      <c r="S3" s="29"/>
      <c r="T3" s="29"/>
      <c r="U3" s="29"/>
    </row>
    <row r="4" spans="2:21" ht="15" customHeight="1" x14ac:dyDescent="0.25">
      <c r="B4" s="29"/>
      <c r="C4" s="29"/>
      <c r="D4" s="29"/>
      <c r="E4" s="29"/>
      <c r="F4" s="29"/>
      <c r="G4" s="29"/>
      <c r="H4" s="29"/>
      <c r="I4" s="29"/>
      <c r="J4" s="29"/>
      <c r="K4" s="29"/>
      <c r="L4" s="430"/>
      <c r="N4" s="29"/>
      <c r="O4" s="31"/>
      <c r="P4" s="31"/>
      <c r="Q4" s="31"/>
      <c r="R4" s="31"/>
      <c r="S4" s="31"/>
      <c r="T4" s="31"/>
      <c r="U4" s="31"/>
    </row>
    <row r="5" spans="2:21" ht="15" customHeight="1" x14ac:dyDescent="0.25">
      <c r="B5" s="789" t="s">
        <v>327</v>
      </c>
      <c r="C5" s="28"/>
      <c r="D5" s="139"/>
      <c r="E5" s="139"/>
      <c r="F5" s="139"/>
      <c r="G5" s="2887" t="str">
        <f>+Index!$E$10</f>
        <v>01</v>
      </c>
      <c r="H5" s="2887"/>
      <c r="I5" s="2887"/>
      <c r="J5" s="28"/>
      <c r="K5" s="32" t="s">
        <v>1154</v>
      </c>
      <c r="L5" s="2890" t="str">
        <f>+Index!$E$11</f>
        <v>North Carolina General Assembly</v>
      </c>
      <c r="M5" s="2890"/>
      <c r="N5" s="2890"/>
      <c r="O5" s="2890"/>
      <c r="P5" s="33"/>
      <c r="Q5" s="33"/>
      <c r="R5" s="33"/>
      <c r="S5" s="33"/>
      <c r="T5" s="33"/>
      <c r="U5" s="33"/>
    </row>
    <row r="6" spans="2:21" ht="15" customHeight="1" x14ac:dyDescent="0.25">
      <c r="I6" s="35"/>
      <c r="J6" s="28"/>
      <c r="K6" s="32" t="s">
        <v>972</v>
      </c>
      <c r="L6" s="2891" t="str">
        <f>CONCATENATE(Index!$E$12," ",Index!$E$14)</f>
        <v xml:space="preserve"> </v>
      </c>
      <c r="M6" s="2891"/>
      <c r="N6" s="2891"/>
      <c r="O6" s="2891"/>
      <c r="P6" s="33"/>
      <c r="Q6" s="33"/>
      <c r="R6" s="33"/>
      <c r="S6" s="33"/>
      <c r="T6" s="33"/>
      <c r="U6" s="33"/>
    </row>
    <row r="7" spans="2:21" ht="15" customHeight="1" x14ac:dyDescent="0.25">
      <c r="B7" s="34" t="s">
        <v>477</v>
      </c>
      <c r="C7" s="28"/>
      <c r="D7" s="138"/>
      <c r="E7" s="138"/>
      <c r="F7" s="138"/>
      <c r="G7" s="2886"/>
      <c r="H7" s="2886"/>
      <c r="I7" s="2886"/>
      <c r="J7" s="28"/>
      <c r="K7" s="32" t="s">
        <v>348</v>
      </c>
      <c r="L7" s="2892">
        <f>+Index!$E$13</f>
        <v>0</v>
      </c>
      <c r="M7" s="2892"/>
      <c r="N7" s="2892"/>
      <c r="O7" s="2892"/>
      <c r="P7" s="33"/>
      <c r="Q7" s="33"/>
      <c r="R7" s="33"/>
      <c r="S7" s="33"/>
      <c r="T7" s="33"/>
      <c r="U7" s="33"/>
    </row>
    <row r="8" spans="2:21" ht="9" customHeight="1" thickBot="1" x14ac:dyDescent="0.3">
      <c r="B8" s="36"/>
      <c r="C8" s="36"/>
      <c r="D8" s="36"/>
      <c r="E8" s="36"/>
      <c r="F8" s="36"/>
      <c r="G8" s="36"/>
      <c r="H8" s="36"/>
      <c r="I8" s="36"/>
      <c r="J8" s="36"/>
      <c r="K8" s="36"/>
      <c r="L8" s="36"/>
      <c r="M8" s="36"/>
      <c r="N8" s="36"/>
      <c r="O8" s="36"/>
      <c r="P8" s="28"/>
      <c r="Q8" s="28"/>
      <c r="R8" s="28"/>
      <c r="S8" s="28"/>
      <c r="T8" s="28"/>
      <c r="U8" s="28"/>
    </row>
    <row r="9" spans="2:21" ht="9" customHeight="1" x14ac:dyDescent="0.25">
      <c r="B9" s="28"/>
      <c r="C9" s="28"/>
      <c r="D9" s="28"/>
      <c r="E9" s="28"/>
      <c r="F9" s="28"/>
      <c r="G9" s="28"/>
      <c r="H9" s="28"/>
      <c r="I9" s="28"/>
      <c r="J9" s="28"/>
      <c r="K9" s="28"/>
      <c r="L9" s="28"/>
      <c r="M9" s="28"/>
      <c r="N9" s="28"/>
      <c r="O9" s="28"/>
      <c r="P9" s="28"/>
      <c r="Q9" s="28"/>
      <c r="R9" s="28"/>
      <c r="S9" s="28"/>
      <c r="T9" s="28"/>
      <c r="U9" s="28"/>
    </row>
    <row r="10" spans="2:21" s="24" customFormat="1" ht="12" customHeight="1" x14ac:dyDescent="0.2">
      <c r="B10" s="27" t="s">
        <v>1172</v>
      </c>
    </row>
    <row r="11" spans="2:21" s="24" customFormat="1" ht="12" customHeight="1" x14ac:dyDescent="0.2">
      <c r="B11" s="24" t="s">
        <v>550</v>
      </c>
    </row>
    <row r="12" spans="2:21" s="24" customFormat="1" ht="12" customHeight="1" x14ac:dyDescent="0.2">
      <c r="B12" s="24" t="s">
        <v>1008</v>
      </c>
    </row>
    <row r="13" spans="2:21" s="24" customFormat="1" ht="12" customHeight="1" x14ac:dyDescent="0.2">
      <c r="B13" s="24" t="s">
        <v>1021</v>
      </c>
    </row>
    <row r="14" spans="2:21" s="24" customFormat="1" ht="6" customHeight="1" x14ac:dyDescent="0.2"/>
    <row r="15" spans="2:21" s="24" customFormat="1" ht="12" customHeight="1" x14ac:dyDescent="0.2">
      <c r="B15" s="27" t="s">
        <v>1022</v>
      </c>
    </row>
    <row r="16" spans="2:21" s="24" customFormat="1" ht="12" customHeight="1" x14ac:dyDescent="0.2">
      <c r="B16" s="24" t="s">
        <v>566</v>
      </c>
    </row>
    <row r="17" spans="2:20" s="24" customFormat="1" ht="12" customHeight="1" x14ac:dyDescent="0.2">
      <c r="B17" s="24" t="s">
        <v>567</v>
      </c>
    </row>
    <row r="18" spans="2:20" s="24" customFormat="1" ht="12" customHeight="1" x14ac:dyDescent="0.2">
      <c r="B18" s="24" t="s">
        <v>568</v>
      </c>
    </row>
    <row r="19" spans="2:20" s="24" customFormat="1" ht="12" customHeight="1" x14ac:dyDescent="0.2">
      <c r="B19" s="27" t="s">
        <v>602</v>
      </c>
    </row>
    <row r="20" spans="2:20" s="24" customFormat="1" ht="12" customHeight="1" x14ac:dyDescent="0.2">
      <c r="C20" s="2883"/>
      <c r="D20" s="2884"/>
      <c r="E20" s="2884"/>
      <c r="F20" s="2884"/>
      <c r="G20" s="2884"/>
      <c r="H20" s="2884"/>
      <c r="I20" s="2884"/>
      <c r="J20" s="2884"/>
      <c r="K20" s="2884"/>
      <c r="L20" s="2884"/>
      <c r="M20" s="2884"/>
      <c r="N20" s="2884"/>
      <c r="O20" s="2884"/>
    </row>
    <row r="21" spans="2:20" s="24" customFormat="1" ht="12" customHeight="1" x14ac:dyDescent="0.2">
      <c r="C21" s="2885"/>
      <c r="D21" s="2885"/>
      <c r="E21" s="2885"/>
      <c r="F21" s="2885"/>
      <c r="G21" s="2885"/>
      <c r="H21" s="2885"/>
      <c r="I21" s="2885"/>
      <c r="J21" s="2885"/>
      <c r="K21" s="2885"/>
      <c r="L21" s="2885"/>
      <c r="M21" s="2885"/>
      <c r="N21" s="2885"/>
      <c r="O21" s="2885"/>
    </row>
    <row r="22" spans="2:20" s="24" customFormat="1" ht="6" customHeight="1" x14ac:dyDescent="0.2"/>
    <row r="23" spans="2:20" s="24" customFormat="1" ht="12" x14ac:dyDescent="0.2">
      <c r="B23" s="665" t="s">
        <v>3888</v>
      </c>
    </row>
    <row r="24" spans="2:20" s="44" customFormat="1" ht="12" customHeight="1" x14ac:dyDescent="0.2">
      <c r="C24" s="44" t="s">
        <v>1162</v>
      </c>
    </row>
    <row r="25" spans="2:20" s="44" customFormat="1" ht="10.35" customHeight="1" x14ac:dyDescent="0.2">
      <c r="D25" s="2878" t="s">
        <v>930</v>
      </c>
      <c r="E25" s="2878"/>
      <c r="F25" s="2878"/>
      <c r="G25" s="2878"/>
      <c r="H25" s="2878"/>
      <c r="I25" s="2878"/>
      <c r="J25" s="2878"/>
      <c r="K25" s="2878"/>
      <c r="L25" s="1353"/>
    </row>
    <row r="26" spans="2:20" s="44" customFormat="1" ht="10.35" customHeight="1" x14ac:dyDescent="0.2">
      <c r="D26" s="2878" t="s">
        <v>115</v>
      </c>
      <c r="E26" s="2879"/>
      <c r="F26" s="2879"/>
      <c r="G26" s="2879"/>
      <c r="H26" s="2879"/>
      <c r="I26" s="2879"/>
      <c r="J26" s="2879"/>
      <c r="K26" s="2879"/>
      <c r="L26" s="1353"/>
    </row>
    <row r="27" spans="2:20" s="44" customFormat="1" ht="10.35" customHeight="1" x14ac:dyDescent="0.2">
      <c r="D27" s="2878" t="s">
        <v>116</v>
      </c>
      <c r="E27" s="2879"/>
      <c r="F27" s="2879"/>
      <c r="G27" s="2879"/>
      <c r="H27" s="2879"/>
      <c r="I27" s="2879"/>
      <c r="J27" s="2879"/>
      <c r="K27" s="2879"/>
      <c r="L27" s="1353"/>
    </row>
    <row r="28" spans="2:20" s="44" customFormat="1" ht="10.35" customHeight="1" x14ac:dyDescent="0.2">
      <c r="D28" s="2878" t="s">
        <v>117</v>
      </c>
      <c r="E28" s="2879"/>
      <c r="F28" s="2879"/>
      <c r="G28" s="2879"/>
      <c r="H28" s="2879"/>
      <c r="I28" s="2879"/>
      <c r="J28" s="2879"/>
      <c r="K28" s="2879"/>
      <c r="L28" s="1353"/>
    </row>
    <row r="29" spans="2:20" s="44" customFormat="1" ht="10.35" customHeight="1" x14ac:dyDescent="0.2">
      <c r="D29" s="2878" t="s">
        <v>943</v>
      </c>
      <c r="E29" s="2879"/>
      <c r="F29" s="2879"/>
      <c r="G29" s="2879"/>
      <c r="H29" s="2879"/>
      <c r="I29" s="2879"/>
      <c r="J29" s="2879"/>
      <c r="K29" s="2879"/>
      <c r="L29" s="1353"/>
    </row>
    <row r="30" spans="2:20" s="44" customFormat="1" ht="10.5" customHeight="1" x14ac:dyDescent="0.2">
      <c r="D30" s="140"/>
      <c r="E30" s="2878" t="s">
        <v>764</v>
      </c>
      <c r="F30" s="2879"/>
      <c r="G30" s="2879"/>
      <c r="H30" s="2879"/>
      <c r="I30" s="2879"/>
      <c r="J30" s="2879"/>
      <c r="K30" s="2879"/>
      <c r="L30" s="1356">
        <f>SUM(L25:L29)</f>
        <v>0</v>
      </c>
    </row>
    <row r="31" spans="2:20" s="44" customFormat="1" ht="10.35" customHeight="1" x14ac:dyDescent="0.2">
      <c r="D31" s="140"/>
      <c r="E31" s="1320"/>
      <c r="F31" s="1319"/>
      <c r="G31" s="1319"/>
      <c r="H31" s="1319"/>
      <c r="I31" s="1319"/>
      <c r="J31" s="1319"/>
      <c r="K31" s="1319"/>
      <c r="L31" s="249"/>
    </row>
    <row r="32" spans="2:20" s="44" customFormat="1" ht="10.35" customHeight="1" x14ac:dyDescent="0.2">
      <c r="C32" s="335" t="s">
        <v>3431</v>
      </c>
      <c r="T32" s="783"/>
    </row>
    <row r="33" spans="3:23" s="44" customFormat="1" ht="10.35" customHeight="1" x14ac:dyDescent="0.2">
      <c r="D33" s="2877" t="s">
        <v>3440</v>
      </c>
      <c r="E33" s="2878"/>
      <c r="F33" s="2878"/>
      <c r="G33" s="2878"/>
      <c r="H33" s="2878"/>
      <c r="I33" s="2878"/>
      <c r="J33" s="2878"/>
      <c r="K33" s="2878"/>
      <c r="L33" s="1353"/>
      <c r="T33" s="2876"/>
      <c r="U33" s="2876"/>
      <c r="V33" s="2876"/>
      <c r="W33" s="2876"/>
    </row>
    <row r="34" spans="3:23" s="44" customFormat="1" ht="10.35" customHeight="1" x14ac:dyDescent="0.2">
      <c r="D34" s="2877" t="s">
        <v>3582</v>
      </c>
      <c r="E34" s="2878"/>
      <c r="F34" s="2878"/>
      <c r="G34" s="2878"/>
      <c r="H34" s="2878"/>
      <c r="I34" s="2878"/>
      <c r="J34" s="2878"/>
      <c r="K34" s="2878"/>
      <c r="L34" s="1353"/>
      <c r="T34" s="398"/>
      <c r="U34" s="398"/>
      <c r="V34" s="398"/>
      <c r="W34" s="398"/>
    </row>
    <row r="35" spans="3:23" s="44" customFormat="1" ht="10.35" customHeight="1" x14ac:dyDescent="0.2">
      <c r="D35" s="2877" t="s">
        <v>3866</v>
      </c>
      <c r="E35" s="2878"/>
      <c r="F35" s="2878"/>
      <c r="G35" s="2878"/>
      <c r="H35" s="2878"/>
      <c r="I35" s="2878"/>
      <c r="J35" s="2878"/>
      <c r="K35" s="2878"/>
      <c r="L35" s="1353"/>
      <c r="T35" s="398"/>
      <c r="U35" s="398"/>
      <c r="V35" s="398"/>
      <c r="W35" s="398"/>
    </row>
    <row r="36" spans="3:23" s="44" customFormat="1" ht="10.35" customHeight="1" x14ac:dyDescent="0.2">
      <c r="D36" s="2877" t="s">
        <v>4443</v>
      </c>
      <c r="E36" s="2878"/>
      <c r="F36" s="2878"/>
      <c r="G36" s="2878"/>
      <c r="H36" s="2878"/>
      <c r="I36" s="2878"/>
      <c r="J36" s="2878"/>
      <c r="K36" s="2878"/>
      <c r="L36" s="1353"/>
      <c r="T36" s="398"/>
      <c r="U36" s="398"/>
      <c r="V36" s="398"/>
      <c r="W36" s="398"/>
    </row>
    <row r="37" spans="3:23" s="44" customFormat="1" ht="10.35" customHeight="1" x14ac:dyDescent="0.2">
      <c r="D37" s="2877" t="s">
        <v>3873</v>
      </c>
      <c r="E37" s="2878"/>
      <c r="F37" s="2878"/>
      <c r="G37" s="2878"/>
      <c r="H37" s="2878"/>
      <c r="I37" s="2878"/>
      <c r="J37" s="2878"/>
      <c r="K37" s="2878"/>
      <c r="L37" s="1353"/>
      <c r="T37" s="398"/>
      <c r="U37" s="398"/>
      <c r="V37" s="398"/>
      <c r="W37" s="398"/>
    </row>
    <row r="38" spans="3:23" s="44" customFormat="1" ht="10.35" customHeight="1" x14ac:dyDescent="0.2">
      <c r="D38" s="2877" t="s">
        <v>3944</v>
      </c>
      <c r="E38" s="2878"/>
      <c r="F38" s="2878"/>
      <c r="G38" s="2878"/>
      <c r="H38" s="2878"/>
      <c r="I38" s="2878"/>
      <c r="J38" s="2878"/>
      <c r="K38" s="2878"/>
      <c r="L38" s="1353"/>
      <c r="T38" s="398"/>
      <c r="U38" s="398"/>
      <c r="V38" s="398"/>
      <c r="W38" s="398"/>
    </row>
    <row r="39" spans="3:23" s="44" customFormat="1" ht="10.35" customHeight="1" x14ac:dyDescent="0.2">
      <c r="D39" s="1321"/>
      <c r="E39" s="2877" t="s">
        <v>3436</v>
      </c>
      <c r="F39" s="2879"/>
      <c r="G39" s="2879"/>
      <c r="H39" s="2879"/>
      <c r="I39" s="2879"/>
      <c r="J39" s="2879"/>
      <c r="K39" s="2879"/>
      <c r="L39" s="1358">
        <f>SUM(L33:L38)</f>
        <v>0</v>
      </c>
      <c r="T39" s="398"/>
      <c r="U39" s="398"/>
      <c r="V39" s="398"/>
      <c r="W39" s="398"/>
    </row>
    <row r="40" spans="3:23" s="44" customFormat="1" ht="9" customHeight="1" x14ac:dyDescent="0.2">
      <c r="D40" s="1320"/>
      <c r="E40" s="1321"/>
      <c r="F40" s="1319"/>
      <c r="G40" s="1319"/>
      <c r="H40" s="1319"/>
      <c r="I40" s="1319"/>
      <c r="J40" s="1319"/>
      <c r="K40" s="1319"/>
      <c r="L40" s="249"/>
      <c r="T40" s="2876"/>
      <c r="U40" s="2876"/>
      <c r="V40" s="2876"/>
      <c r="W40" s="2876"/>
    </row>
    <row r="41" spans="3:23" s="44" customFormat="1" ht="10.35" customHeight="1" x14ac:dyDescent="0.2">
      <c r="C41" s="44" t="s">
        <v>1163</v>
      </c>
      <c r="L41" s="249"/>
      <c r="T41" s="2876"/>
      <c r="U41" s="2876"/>
      <c r="V41" s="2876"/>
      <c r="W41" s="2876"/>
    </row>
    <row r="42" spans="3:23" s="44" customFormat="1" ht="10.35" customHeight="1" x14ac:dyDescent="0.2">
      <c r="D42" s="2878" t="s">
        <v>373</v>
      </c>
      <c r="E42" s="2879"/>
      <c r="F42" s="2879"/>
      <c r="G42" s="2879"/>
      <c r="H42" s="2879"/>
      <c r="I42" s="2879"/>
      <c r="J42" s="2879"/>
      <c r="K42" s="2879"/>
      <c r="L42" s="1353"/>
      <c r="T42" s="2876"/>
      <c r="U42" s="2876"/>
      <c r="V42" s="2876"/>
      <c r="W42" s="2876"/>
    </row>
    <row r="43" spans="3:23" s="44" customFormat="1" ht="10.35" customHeight="1" x14ac:dyDescent="0.2">
      <c r="D43" s="2878" t="s">
        <v>374</v>
      </c>
      <c r="E43" s="2879"/>
      <c r="F43" s="2879"/>
      <c r="G43" s="2879"/>
      <c r="H43" s="2879"/>
      <c r="I43" s="2879"/>
      <c r="J43" s="2879"/>
      <c r="K43" s="2879"/>
      <c r="L43" s="1353"/>
      <c r="T43" s="2876"/>
      <c r="U43" s="2876"/>
      <c r="V43" s="2876"/>
      <c r="W43" s="2876"/>
    </row>
    <row r="44" spans="3:23" s="44" customFormat="1" ht="10.35" customHeight="1" x14ac:dyDescent="0.2">
      <c r="D44" s="2878" t="s">
        <v>375</v>
      </c>
      <c r="E44" s="2879"/>
      <c r="F44" s="2879"/>
      <c r="G44" s="2879"/>
      <c r="H44" s="2879"/>
      <c r="I44" s="2879"/>
      <c r="J44" s="2879"/>
      <c r="K44" s="2879"/>
      <c r="L44" s="1353"/>
    </row>
    <row r="45" spans="3:23" s="44" customFormat="1" ht="10.35" customHeight="1" x14ac:dyDescent="0.2">
      <c r="D45" s="2878" t="s">
        <v>376</v>
      </c>
      <c r="E45" s="2879"/>
      <c r="F45" s="2879"/>
      <c r="G45" s="2879"/>
      <c r="H45" s="2879"/>
      <c r="I45" s="2879"/>
      <c r="J45" s="2879"/>
      <c r="K45" s="2879"/>
      <c r="L45" s="1353"/>
    </row>
    <row r="46" spans="3:23" s="44" customFormat="1" ht="11.25" customHeight="1" x14ac:dyDescent="0.2">
      <c r="D46" s="140"/>
      <c r="E46" s="2878" t="s">
        <v>377</v>
      </c>
      <c r="F46" s="2879"/>
      <c r="G46" s="2879"/>
      <c r="H46" s="2879"/>
      <c r="I46" s="2879"/>
      <c r="J46" s="2879"/>
      <c r="K46" s="2879"/>
      <c r="L46" s="1356">
        <f>SUM(L42:L45)</f>
        <v>0</v>
      </c>
    </row>
    <row r="47" spans="3:23" s="44" customFormat="1" ht="10.35" customHeight="1" x14ac:dyDescent="0.2">
      <c r="D47" s="140"/>
      <c r="E47" s="1320"/>
      <c r="F47" s="1319"/>
      <c r="G47" s="1319"/>
      <c r="H47" s="1319"/>
      <c r="I47" s="1319"/>
      <c r="J47" s="1319"/>
      <c r="K47" s="1319"/>
      <c r="L47" s="249"/>
    </row>
    <row r="48" spans="3:23" s="44" customFormat="1" ht="10.35" customHeight="1" x14ac:dyDescent="0.2">
      <c r="C48" s="335" t="s">
        <v>3437</v>
      </c>
      <c r="T48" s="394"/>
      <c r="U48"/>
      <c r="V48"/>
      <c r="W48"/>
    </row>
    <row r="49" spans="3:23" s="44" customFormat="1" ht="10.35" customHeight="1" x14ac:dyDescent="0.2">
      <c r="D49" s="2877" t="s">
        <v>3439</v>
      </c>
      <c r="E49" s="2878"/>
      <c r="F49" s="2878"/>
      <c r="G49" s="2878"/>
      <c r="H49" s="2878"/>
      <c r="I49" s="2878"/>
      <c r="J49" s="2878"/>
      <c r="K49" s="2878"/>
      <c r="L49" s="1353"/>
      <c r="T49" s="2876"/>
      <c r="U49" s="2876"/>
      <c r="V49" s="2876"/>
      <c r="W49" s="2876"/>
    </row>
    <row r="50" spans="3:23" s="44" customFormat="1" ht="10.35" customHeight="1" x14ac:dyDescent="0.2">
      <c r="D50" s="2877" t="s">
        <v>3438</v>
      </c>
      <c r="E50" s="2878"/>
      <c r="F50" s="2878"/>
      <c r="G50" s="2878"/>
      <c r="H50" s="2878"/>
      <c r="I50" s="2878"/>
      <c r="J50" s="2878"/>
      <c r="K50" s="2878"/>
      <c r="L50" s="1353"/>
      <c r="T50" s="2876"/>
      <c r="U50" s="2876"/>
      <c r="V50" s="2876"/>
      <c r="W50" s="2876"/>
    </row>
    <row r="51" spans="3:23" s="44" customFormat="1" ht="10.35" customHeight="1" x14ac:dyDescent="0.2">
      <c r="D51" s="2877" t="s">
        <v>3798</v>
      </c>
      <c r="E51" s="2878"/>
      <c r="F51" s="2878"/>
      <c r="G51" s="2878"/>
      <c r="H51" s="2878"/>
      <c r="I51" s="2878"/>
      <c r="J51" s="2878"/>
      <c r="K51" s="2878"/>
      <c r="L51" s="1353"/>
      <c r="T51" s="398"/>
      <c r="U51" s="398"/>
      <c r="V51" s="398"/>
      <c r="W51" s="398"/>
    </row>
    <row r="52" spans="3:23" s="44" customFormat="1" ht="10.35" customHeight="1" x14ac:dyDescent="0.2">
      <c r="D52" s="2877" t="s">
        <v>3574</v>
      </c>
      <c r="E52" s="2878"/>
      <c r="F52" s="2878"/>
      <c r="G52" s="2878"/>
      <c r="H52" s="2878"/>
      <c r="I52" s="2878"/>
      <c r="J52" s="2878"/>
      <c r="K52" s="2878"/>
      <c r="L52" s="1353"/>
      <c r="T52" s="398"/>
      <c r="U52" s="398"/>
      <c r="V52" s="398"/>
      <c r="W52" s="398"/>
    </row>
    <row r="53" spans="3:23" s="44" customFormat="1" ht="10.35" customHeight="1" x14ac:dyDescent="0.2">
      <c r="D53" s="2877" t="s">
        <v>3872</v>
      </c>
      <c r="E53" s="2878"/>
      <c r="F53" s="2878"/>
      <c r="G53" s="2878"/>
      <c r="H53" s="2878"/>
      <c r="I53" s="2878"/>
      <c r="J53" s="2878"/>
      <c r="K53" s="2878"/>
      <c r="L53" s="1353"/>
      <c r="T53" s="398"/>
      <c r="U53" s="398"/>
      <c r="V53" s="398"/>
      <c r="W53" s="398"/>
    </row>
    <row r="54" spans="3:23" s="44" customFormat="1" ht="10.35" customHeight="1" x14ac:dyDescent="0.2">
      <c r="D54" s="2877" t="s">
        <v>3871</v>
      </c>
      <c r="E54" s="2878"/>
      <c r="F54" s="2878"/>
      <c r="G54" s="2878"/>
      <c r="H54" s="2878"/>
      <c r="I54" s="2878"/>
      <c r="J54" s="2878"/>
      <c r="K54" s="2878"/>
      <c r="L54" s="1353"/>
      <c r="T54" s="398"/>
      <c r="U54" s="398"/>
      <c r="V54" s="398"/>
      <c r="W54" s="398"/>
    </row>
    <row r="55" spans="3:23" s="44" customFormat="1" ht="10.35" customHeight="1" x14ac:dyDescent="0.2">
      <c r="D55" s="2877" t="s">
        <v>4448</v>
      </c>
      <c r="E55" s="2878"/>
      <c r="F55" s="2878"/>
      <c r="G55" s="2878"/>
      <c r="H55" s="2878"/>
      <c r="I55" s="2878"/>
      <c r="J55" s="2878"/>
      <c r="K55" s="2878"/>
      <c r="L55" s="1353"/>
      <c r="T55" s="398"/>
      <c r="U55" s="398"/>
      <c r="V55" s="398"/>
      <c r="W55" s="398"/>
    </row>
    <row r="56" spans="3:23" s="44" customFormat="1" ht="10.35" customHeight="1" x14ac:dyDescent="0.2">
      <c r="D56" s="2877" t="s">
        <v>5360</v>
      </c>
      <c r="E56" s="2878"/>
      <c r="F56" s="2878"/>
      <c r="G56" s="2878"/>
      <c r="H56" s="2878"/>
      <c r="I56" s="2878"/>
      <c r="J56" s="2878"/>
      <c r="K56" s="2878"/>
      <c r="L56" s="1353"/>
      <c r="T56" s="398"/>
      <c r="U56" s="398"/>
      <c r="V56" s="398"/>
      <c r="W56" s="398"/>
    </row>
    <row r="57" spans="3:23" s="44" customFormat="1" ht="10.35" customHeight="1" x14ac:dyDescent="0.2">
      <c r="D57" s="2877" t="s">
        <v>3945</v>
      </c>
      <c r="E57" s="2878"/>
      <c r="F57" s="2878"/>
      <c r="G57" s="2878"/>
      <c r="H57" s="2878"/>
      <c r="I57" s="2878"/>
      <c r="J57" s="2878"/>
      <c r="K57" s="2878"/>
      <c r="L57" s="1353"/>
      <c r="T57" s="398"/>
      <c r="U57" s="398"/>
      <c r="V57" s="398"/>
      <c r="W57" s="398"/>
    </row>
    <row r="58" spans="3:23" s="44" customFormat="1" ht="11.25" customHeight="1" x14ac:dyDescent="0.2">
      <c r="D58" s="140"/>
      <c r="E58" s="2877" t="s">
        <v>3889</v>
      </c>
      <c r="F58" s="2879"/>
      <c r="G58" s="2879"/>
      <c r="H58" s="2879"/>
      <c r="I58" s="2879"/>
      <c r="J58" s="2879"/>
      <c r="K58" s="2879"/>
      <c r="L58" s="1358">
        <f>SUM(L49:L57)</f>
        <v>0</v>
      </c>
      <c r="T58" s="2876"/>
      <c r="U58" s="2876"/>
      <c r="V58" s="2876"/>
      <c r="W58" s="2876"/>
    </row>
    <row r="59" spans="3:23" s="44" customFormat="1" ht="10.35" customHeight="1" x14ac:dyDescent="0.2">
      <c r="D59" s="140"/>
      <c r="E59" s="1320"/>
      <c r="F59" s="1319"/>
      <c r="G59" s="1319"/>
      <c r="H59" s="1319"/>
      <c r="I59" s="1319"/>
      <c r="J59" s="1319"/>
      <c r="K59" s="1319"/>
      <c r="L59" s="1355"/>
      <c r="T59" s="2876"/>
      <c r="U59" s="2876"/>
      <c r="V59" s="2876"/>
      <c r="W59" s="2876"/>
    </row>
    <row r="60" spans="3:23" s="44" customFormat="1" ht="10.35" customHeight="1" x14ac:dyDescent="0.2">
      <c r="C60" s="335" t="s">
        <v>1892</v>
      </c>
      <c r="L60" s="1355"/>
      <c r="T60" s="2876"/>
      <c r="U60" s="2876"/>
      <c r="V60" s="2876"/>
      <c r="W60" s="2876"/>
    </row>
    <row r="61" spans="3:23" s="44" customFormat="1" ht="10.35" customHeight="1" x14ac:dyDescent="0.2">
      <c r="D61" s="2877" t="s">
        <v>1937</v>
      </c>
      <c r="E61" s="2879"/>
      <c r="F61" s="2879"/>
      <c r="G61" s="2879"/>
      <c r="H61" s="2879"/>
      <c r="I61" s="2879"/>
      <c r="J61" s="2879"/>
      <c r="K61" s="2879"/>
      <c r="L61" s="1353"/>
      <c r="T61" s="2876"/>
      <c r="U61" s="2876"/>
      <c r="V61" s="2876"/>
      <c r="W61" s="2876"/>
    </row>
    <row r="62" spans="3:23" s="44" customFormat="1" ht="10.35" customHeight="1" x14ac:dyDescent="0.2">
      <c r="D62" s="2878" t="s">
        <v>378</v>
      </c>
      <c r="E62" s="2879"/>
      <c r="F62" s="2879"/>
      <c r="G62" s="2879"/>
      <c r="H62" s="2879"/>
      <c r="I62" s="2879"/>
      <c r="J62" s="2879"/>
      <c r="K62" s="2879"/>
      <c r="L62" s="1353"/>
      <c r="T62" s="2876"/>
      <c r="U62" s="2876"/>
      <c r="V62" s="2876"/>
      <c r="W62" s="2876"/>
    </row>
    <row r="63" spans="3:23" s="44" customFormat="1" ht="10.35" customHeight="1" x14ac:dyDescent="0.2">
      <c r="D63" s="2878" t="s">
        <v>923</v>
      </c>
      <c r="E63" s="2879"/>
      <c r="F63" s="2879"/>
      <c r="G63" s="2879"/>
      <c r="H63" s="2879"/>
      <c r="I63" s="2879"/>
      <c r="J63" s="2879"/>
      <c r="K63" s="2879"/>
      <c r="L63" s="1353"/>
    </row>
    <row r="64" spans="3:23" s="44" customFormat="1" ht="12" customHeight="1" thickBot="1" x14ac:dyDescent="0.25">
      <c r="C64" s="2881" t="s">
        <v>3475</v>
      </c>
      <c r="D64" s="2882"/>
      <c r="E64" s="2882"/>
      <c r="F64" s="2882"/>
      <c r="G64" s="2882"/>
      <c r="H64" s="2882"/>
      <c r="I64" s="2882"/>
      <c r="J64" s="2882"/>
      <c r="L64" s="1357">
        <f>SUM(L61:L63)</f>
        <v>0</v>
      </c>
    </row>
    <row r="65" spans="2:12" s="44" customFormat="1" ht="10.35" customHeight="1" thickTop="1" x14ac:dyDescent="0.2">
      <c r="C65" s="140"/>
      <c r="D65" s="140"/>
      <c r="E65" s="140"/>
      <c r="F65" s="140"/>
      <c r="G65" s="140"/>
      <c r="H65" s="140"/>
      <c r="I65" s="140"/>
      <c r="J65" s="140"/>
      <c r="L65" s="249"/>
    </row>
    <row r="66" spans="2:12" s="44" customFormat="1" ht="10.35" customHeight="1" x14ac:dyDescent="0.2">
      <c r="B66" s="335" t="s">
        <v>3474</v>
      </c>
      <c r="C66" s="140"/>
      <c r="D66" s="140"/>
      <c r="E66" s="140"/>
      <c r="F66" s="140"/>
      <c r="G66" s="140"/>
      <c r="H66" s="140"/>
      <c r="I66" s="140"/>
      <c r="J66" s="140"/>
      <c r="L66" s="1354" t="str">
        <f>IF(ROUND(L30+L39-L46-L58=L64,2),"In bal.","Out of bal.")</f>
        <v>In bal.</v>
      </c>
    </row>
    <row r="67" spans="2:12" s="24" customFormat="1" ht="6" customHeight="1" x14ac:dyDescent="0.2">
      <c r="C67" s="37"/>
      <c r="L67" s="250"/>
    </row>
    <row r="68" spans="2:12" s="24" customFormat="1" ht="12" x14ac:dyDescent="0.2">
      <c r="B68" s="665" t="s">
        <v>3432</v>
      </c>
      <c r="L68" s="250"/>
    </row>
    <row r="69" spans="2:12" s="44" customFormat="1" ht="11.25" customHeight="1" x14ac:dyDescent="0.2">
      <c r="C69" s="2879" t="s">
        <v>1164</v>
      </c>
      <c r="D69" s="2879"/>
      <c r="E69" s="2879"/>
      <c r="F69" s="2879"/>
      <c r="G69" s="2879"/>
      <c r="H69" s="2879"/>
      <c r="I69" s="2879"/>
      <c r="J69" s="2879"/>
      <c r="K69" s="2879"/>
      <c r="L69" s="1353"/>
    </row>
    <row r="70" spans="2:12" s="44" customFormat="1" ht="10.35" customHeight="1" x14ac:dyDescent="0.2">
      <c r="C70" s="2879" t="s">
        <v>301</v>
      </c>
      <c r="D70" s="2879"/>
      <c r="E70" s="2879"/>
      <c r="F70" s="2879"/>
      <c r="G70" s="2879"/>
      <c r="H70" s="2879"/>
      <c r="I70" s="2879"/>
      <c r="J70" s="2879"/>
      <c r="K70" s="2879"/>
      <c r="L70" s="1353"/>
    </row>
    <row r="71" spans="2:12" s="44" customFormat="1" ht="10.35" customHeight="1" x14ac:dyDescent="0.2">
      <c r="C71" s="2879" t="s">
        <v>1103</v>
      </c>
      <c r="D71" s="2879"/>
      <c r="E71" s="2879"/>
      <c r="F71" s="2879"/>
      <c r="G71" s="2879"/>
      <c r="H71" s="2879"/>
      <c r="I71" s="2879"/>
      <c r="J71" s="2879"/>
      <c r="K71" s="2879"/>
      <c r="L71" s="1353"/>
    </row>
    <row r="72" spans="2:12" s="44" customFormat="1" ht="10.35" customHeight="1" x14ac:dyDescent="0.2">
      <c r="C72" s="2879" t="s">
        <v>1104</v>
      </c>
      <c r="D72" s="2879"/>
      <c r="E72" s="2879"/>
      <c r="F72" s="2879"/>
      <c r="G72" s="2879"/>
      <c r="H72" s="2879"/>
      <c r="I72" s="2879"/>
      <c r="J72" s="2879"/>
      <c r="K72" s="2879"/>
      <c r="L72" s="1353"/>
    </row>
    <row r="73" spans="2:12" s="44" customFormat="1" ht="10.35" customHeight="1" x14ac:dyDescent="0.2">
      <c r="D73" s="2878" t="s">
        <v>473</v>
      </c>
      <c r="E73" s="2878"/>
      <c r="F73" s="2878"/>
      <c r="G73" s="2878"/>
      <c r="H73" s="2878"/>
      <c r="I73" s="2878"/>
      <c r="J73" s="2878"/>
      <c r="K73" s="2878"/>
      <c r="L73" s="1356">
        <f>SUM(L69:L72)</f>
        <v>0</v>
      </c>
    </row>
    <row r="74" spans="2:12" s="44" customFormat="1" ht="10.35" customHeight="1" x14ac:dyDescent="0.2">
      <c r="C74" s="44" t="s">
        <v>1105</v>
      </c>
      <c r="L74" s="249"/>
    </row>
    <row r="75" spans="2:12" s="44" customFormat="1" ht="10.35" customHeight="1" x14ac:dyDescent="0.2">
      <c r="D75" s="2879" t="s">
        <v>1106</v>
      </c>
      <c r="E75" s="2879"/>
      <c r="F75" s="2879"/>
      <c r="G75" s="2879"/>
      <c r="H75" s="2879"/>
      <c r="I75" s="2879"/>
      <c r="J75" s="2879"/>
      <c r="K75" s="2879"/>
      <c r="L75" s="1353"/>
    </row>
    <row r="76" spans="2:12" s="44" customFormat="1" ht="10.35" customHeight="1" x14ac:dyDescent="0.2">
      <c r="D76" s="2879" t="s">
        <v>1107</v>
      </c>
      <c r="E76" s="2879"/>
      <c r="F76" s="2879"/>
      <c r="G76" s="2879"/>
      <c r="H76" s="2879"/>
      <c r="I76" s="2879"/>
      <c r="J76" s="2879"/>
      <c r="K76" s="2879"/>
      <c r="L76" s="1353"/>
    </row>
    <row r="77" spans="2:12" s="44" customFormat="1" ht="10.35" customHeight="1" x14ac:dyDescent="0.2">
      <c r="D77" s="2879" t="s">
        <v>1108</v>
      </c>
      <c r="E77" s="2879"/>
      <c r="F77" s="2879"/>
      <c r="G77" s="2879"/>
      <c r="H77" s="2879"/>
      <c r="I77" s="2879"/>
      <c r="J77" s="2879"/>
      <c r="K77" s="2879"/>
      <c r="L77" s="1353"/>
    </row>
    <row r="78" spans="2:12" s="44" customFormat="1" ht="10.35" customHeight="1" x14ac:dyDescent="0.2">
      <c r="C78" s="2879" t="s">
        <v>1109</v>
      </c>
      <c r="D78" s="2879"/>
      <c r="E78" s="2879"/>
      <c r="F78" s="2879"/>
      <c r="G78" s="2879"/>
      <c r="H78" s="2879"/>
      <c r="I78" s="2879"/>
      <c r="J78" s="2879"/>
      <c r="K78" s="2879"/>
      <c r="L78" s="1353"/>
    </row>
    <row r="79" spans="2:12" s="44" customFormat="1" ht="10.35" customHeight="1" x14ac:dyDescent="0.2">
      <c r="C79" s="2879" t="s">
        <v>1110</v>
      </c>
      <c r="D79" s="2879"/>
      <c r="E79" s="2879"/>
      <c r="F79" s="2879"/>
      <c r="G79" s="2879"/>
      <c r="H79" s="2879"/>
      <c r="I79" s="2879"/>
      <c r="J79" s="2879"/>
      <c r="K79" s="2879"/>
      <c r="L79" s="1353"/>
    </row>
    <row r="80" spans="2:12" s="44" customFormat="1" ht="10.35" customHeight="1" x14ac:dyDescent="0.2">
      <c r="C80" s="2879" t="s">
        <v>1111</v>
      </c>
      <c r="D80" s="2879"/>
      <c r="E80" s="2879"/>
      <c r="F80" s="2879"/>
      <c r="G80" s="2879"/>
      <c r="H80" s="2879"/>
      <c r="I80" s="2879"/>
      <c r="J80" s="2879"/>
      <c r="K80" s="2879"/>
      <c r="L80" s="1353"/>
    </row>
    <row r="81" spans="1:12" s="44" customFormat="1" ht="10.35" customHeight="1" x14ac:dyDescent="0.2">
      <c r="C81" s="2879" t="s">
        <v>1112</v>
      </c>
      <c r="D81" s="2879"/>
      <c r="E81" s="2879"/>
      <c r="F81" s="2879"/>
      <c r="G81" s="2879"/>
      <c r="H81" s="2879"/>
      <c r="I81" s="2879"/>
      <c r="J81" s="2879"/>
      <c r="K81" s="2879"/>
      <c r="L81" s="1353"/>
    </row>
    <row r="82" spans="1:12" s="44" customFormat="1" ht="10.35" customHeight="1" x14ac:dyDescent="0.2">
      <c r="C82" s="2879" t="s">
        <v>1113</v>
      </c>
      <c r="D82" s="2879"/>
      <c r="E82" s="2879"/>
      <c r="F82" s="2879"/>
      <c r="G82" s="2879"/>
      <c r="H82" s="2879"/>
      <c r="I82" s="2879"/>
      <c r="J82" s="2879"/>
      <c r="K82" s="2879"/>
      <c r="L82" s="1353"/>
    </row>
    <row r="83" spans="1:12" s="44" customFormat="1" ht="10.35" customHeight="1" x14ac:dyDescent="0.2">
      <c r="C83" s="2877" t="s">
        <v>3433</v>
      </c>
      <c r="D83" s="2878"/>
      <c r="E83" s="2878"/>
      <c r="F83" s="2878"/>
      <c r="G83" s="2878"/>
      <c r="H83" s="2878"/>
      <c r="I83" s="2878"/>
      <c r="J83" s="2878"/>
      <c r="K83" s="2878"/>
      <c r="L83" s="1356">
        <f>SUM(L73:L82)</f>
        <v>0</v>
      </c>
    </row>
    <row r="84" spans="1:12" s="44" customFormat="1" ht="10.35" customHeight="1" x14ac:dyDescent="0.2">
      <c r="C84" s="2880" t="s">
        <v>3434</v>
      </c>
      <c r="D84" s="2879"/>
      <c r="E84" s="2879"/>
      <c r="F84" s="2879"/>
      <c r="G84" s="2879"/>
      <c r="H84" s="2879"/>
      <c r="I84" s="2879"/>
      <c r="J84" s="2879"/>
      <c r="K84" s="2879"/>
      <c r="L84" s="1353"/>
    </row>
    <row r="85" spans="1:12" s="44" customFormat="1" ht="14.25" customHeight="1" thickBot="1" x14ac:dyDescent="0.25">
      <c r="C85" s="2880" t="s">
        <v>3435</v>
      </c>
      <c r="D85" s="2879"/>
      <c r="E85" s="2879"/>
      <c r="F85" s="2879"/>
      <c r="G85" s="2879"/>
      <c r="H85" s="2879"/>
      <c r="I85" s="2879"/>
      <c r="J85" s="2879"/>
      <c r="K85" s="2879"/>
      <c r="L85" s="1357">
        <f>SUM(L83:L84)</f>
        <v>0</v>
      </c>
    </row>
    <row r="86" spans="1:12" s="24" customFormat="1" ht="6" customHeight="1" thickTop="1" x14ac:dyDescent="0.2">
      <c r="L86" s="250"/>
    </row>
    <row r="87" spans="1:12" x14ac:dyDescent="0.2">
      <c r="B87" s="272" t="s">
        <v>3476</v>
      </c>
      <c r="L87" s="1354" t="str">
        <f>IF(ROUND(L64-L85=0,2),"OK","Error")</f>
        <v>OK</v>
      </c>
    </row>
    <row r="89" spans="1:12" ht="15" x14ac:dyDescent="0.2">
      <c r="A89" s="443" t="str">
        <f ca="1">MID(CELL("filename",A68),FIND("]",CELL("filename",A68))+1,256)</f>
        <v>635</v>
      </c>
      <c r="B89" s="443" t="s">
        <v>449</v>
      </c>
    </row>
    <row r="90" spans="1:12" ht="15" x14ac:dyDescent="0.2">
      <c r="A90" s="443" t="s">
        <v>446</v>
      </c>
      <c r="B90" s="443" t="str">
        <f t="shared" ref="B90:B99" ca="1" si="0">IF(ISNA(INDEX(ErrorTable,MATCH($A$89&amp;$A90&amp;FALSE,ErrorKey,0),6)),"",INDEX(ErrorTable,MATCH($A$89&amp;$A90&amp;FALSE,ErrorKey,0),6))</f>
        <v>GASB number is blank.</v>
      </c>
    </row>
    <row r="91" spans="1:12" ht="15" x14ac:dyDescent="0.2">
      <c r="A91" s="443" t="s">
        <v>447</v>
      </c>
      <c r="B91" s="443" t="str">
        <f t="shared" ca="1" si="0"/>
        <v/>
      </c>
    </row>
    <row r="92" spans="1:12" ht="15" x14ac:dyDescent="0.2">
      <c r="A92" s="443" t="s">
        <v>448</v>
      </c>
      <c r="B92" s="443" t="str">
        <f t="shared" ca="1" si="0"/>
        <v/>
      </c>
    </row>
    <row r="93" spans="1:12" ht="15" x14ac:dyDescent="0.2">
      <c r="A93" s="443" t="s">
        <v>450</v>
      </c>
      <c r="B93" s="443" t="str">
        <f t="shared" ca="1" si="0"/>
        <v/>
      </c>
    </row>
    <row r="94" spans="1:12" ht="15" x14ac:dyDescent="0.2">
      <c r="A94" s="443" t="s">
        <v>451</v>
      </c>
      <c r="B94" s="443" t="str">
        <f t="shared" ca="1" si="0"/>
        <v/>
      </c>
    </row>
    <row r="95" spans="1:12" ht="15" x14ac:dyDescent="0.2">
      <c r="A95" s="443" t="s">
        <v>452</v>
      </c>
      <c r="B95" s="443" t="str">
        <f t="shared" ca="1" si="0"/>
        <v/>
      </c>
    </row>
    <row r="96" spans="1:12" ht="15" x14ac:dyDescent="0.2">
      <c r="A96" s="443" t="s">
        <v>453</v>
      </c>
      <c r="B96" s="443" t="str">
        <f t="shared" ca="1" si="0"/>
        <v/>
      </c>
    </row>
    <row r="97" spans="1:2" ht="15" x14ac:dyDescent="0.2">
      <c r="A97" s="443" t="s">
        <v>454</v>
      </c>
      <c r="B97" s="443" t="str">
        <f t="shared" ca="1" si="0"/>
        <v/>
      </c>
    </row>
    <row r="98" spans="1:2" ht="15" x14ac:dyDescent="0.2">
      <c r="A98" s="443" t="s">
        <v>455</v>
      </c>
      <c r="B98" s="443" t="str">
        <f t="shared" ca="1" si="0"/>
        <v/>
      </c>
    </row>
    <row r="99" spans="1:2" ht="15" x14ac:dyDescent="0.2">
      <c r="A99" s="443" t="s">
        <v>456</v>
      </c>
      <c r="B99" s="443" t="str">
        <f t="shared" ca="1" si="0"/>
        <v/>
      </c>
    </row>
  </sheetData>
  <sheetProtection algorithmName="SHA-512" hashValue="yaW4bK+zFeEqmkTqTfwJtJiS6gVDDdzedQx6ngeWF8atULHAFn+5UqeAWFdOLGMJv276MHPr9Dvys2JMqe6yRw==" saltValue="nNdCunW9osLcPOulr8cD4Q==" spinCount="100000" sheet="1" objects="1" scenarios="1" autoFilter="0"/>
  <customSheetViews>
    <customSheetView guid="{B08879A4-635B-4C39-9937-AC7883D562FC}" showGridLines="0" fitToPage="1" hiddenColumns="1" topLeftCell="B1">
      <selection activeCell="B12" sqref="B12"/>
      <pageMargins left="0.75" right="0.5" top="0.5" bottom="0.5" header="0.5" footer="0.5"/>
      <pageSetup orientation="portrait" r:id="rId1"/>
      <headerFooter alignWithMargins="0">
        <oddFooter>&amp;R&amp;A</oddFooter>
      </headerFooter>
    </customSheetView>
    <customSheetView guid="{1250FD07-FF56-4A9D-AF9E-C27124A7EBE9}" showGridLines="0" fitToPage="1" showRuler="0">
      <selection sqref="A1:N1"/>
      <pageMargins left="0.75" right="0.5" top="0.5" bottom="0.5" header="0.5" footer="0.5"/>
      <pageSetup orientation="portrait" r:id="rId2"/>
      <headerFooter alignWithMargins="0">
        <oddFooter>&amp;R&amp;A</oddFooter>
      </headerFooter>
    </customSheetView>
    <customSheetView guid="{BEA4BE86-04D1-4C96-9358-7A260B9D2B2D}" showGridLines="0" fitToPage="1" showRuler="0">
      <selection sqref="A1:N1"/>
      <pageMargins left="0.75" right="0.5" top="0.5" bottom="0.5" header="0.5" footer="0.5"/>
      <pageSetup orientation="portrait" r:id="rId3"/>
      <headerFooter alignWithMargins="0">
        <oddFooter>&amp;R&amp;A</oddFooter>
      </headerFooter>
    </customSheetView>
    <customSheetView guid="{9FCFC836-1CA5-48BF-958D-24D2EA94B219}" showGridLines="0" fitToPage="1" hiddenColumns="1" topLeftCell="B1">
      <selection activeCell="B12" sqref="B12"/>
      <pageMargins left="0.75" right="0.5" top="0.5" bottom="0.5" header="0.5" footer="0.5"/>
      <pageSetup orientation="portrait" r:id="rId4"/>
      <headerFooter alignWithMargins="0">
        <oddFooter>&amp;R&amp;A</oddFooter>
      </headerFooter>
    </customSheetView>
  </customSheetViews>
  <mergeCells count="71">
    <mergeCell ref="D75:K75"/>
    <mergeCell ref="D76:K76"/>
    <mergeCell ref="D77:K77"/>
    <mergeCell ref="C80:K80"/>
    <mergeCell ref="D50:K50"/>
    <mergeCell ref="D52:K52"/>
    <mergeCell ref="D53:K53"/>
    <mergeCell ref="D57:K57"/>
    <mergeCell ref="D55:K55"/>
    <mergeCell ref="D56:K56"/>
    <mergeCell ref="E46:K46"/>
    <mergeCell ref="P1:P3"/>
    <mergeCell ref="C20:O20"/>
    <mergeCell ref="C21:O21"/>
    <mergeCell ref="D25:K25"/>
    <mergeCell ref="G7:I7"/>
    <mergeCell ref="G5:I5"/>
    <mergeCell ref="D28:K28"/>
    <mergeCell ref="B1:O1"/>
    <mergeCell ref="B2:O2"/>
    <mergeCell ref="B3:O3"/>
    <mergeCell ref="L5:O5"/>
    <mergeCell ref="L6:O6"/>
    <mergeCell ref="L7:O7"/>
    <mergeCell ref="D26:K26"/>
    <mergeCell ref="D27:K27"/>
    <mergeCell ref="D29:K29"/>
    <mergeCell ref="D43:K43"/>
    <mergeCell ref="D44:K44"/>
    <mergeCell ref="D45:K45"/>
    <mergeCell ref="D42:K42"/>
    <mergeCell ref="E30:K30"/>
    <mergeCell ref="D33:K33"/>
    <mergeCell ref="D36:K36"/>
    <mergeCell ref="C82:K82"/>
    <mergeCell ref="C84:K84"/>
    <mergeCell ref="C85:K85"/>
    <mergeCell ref="C83:K83"/>
    <mergeCell ref="D61:K61"/>
    <mergeCell ref="D62:K62"/>
    <mergeCell ref="D63:K63"/>
    <mergeCell ref="C78:K78"/>
    <mergeCell ref="C79:K79"/>
    <mergeCell ref="C69:K69"/>
    <mergeCell ref="C72:K72"/>
    <mergeCell ref="D73:K73"/>
    <mergeCell ref="C64:J64"/>
    <mergeCell ref="C70:K70"/>
    <mergeCell ref="C71:K71"/>
    <mergeCell ref="C81:K81"/>
    <mergeCell ref="T33:W33"/>
    <mergeCell ref="T40:W40"/>
    <mergeCell ref="T41:W41"/>
    <mergeCell ref="T42:W42"/>
    <mergeCell ref="T43:W43"/>
    <mergeCell ref="T61:W61"/>
    <mergeCell ref="T62:W62"/>
    <mergeCell ref="D51:K51"/>
    <mergeCell ref="D54:K54"/>
    <mergeCell ref="D34:K34"/>
    <mergeCell ref="D35:K35"/>
    <mergeCell ref="D37:K37"/>
    <mergeCell ref="D38:K38"/>
    <mergeCell ref="E39:K39"/>
    <mergeCell ref="T49:W49"/>
    <mergeCell ref="T50:W50"/>
    <mergeCell ref="T58:W58"/>
    <mergeCell ref="T59:W59"/>
    <mergeCell ref="T60:W60"/>
    <mergeCell ref="D49:K49"/>
    <mergeCell ref="E58:K58"/>
  </mergeCells>
  <phoneticPr fontId="15" type="noConversion"/>
  <conditionalFormatting sqref="P1:P3">
    <cfRule type="cellIs" dxfId="38" priority="1" stopIfTrue="1" operator="equal">
      <formula>"na"</formula>
    </cfRule>
  </conditionalFormatting>
  <dataValidations count="1">
    <dataValidation type="textLength" operator="equal" allowBlank="1" showInputMessage="1" showErrorMessage="1" errorTitle="Invalid data!" error="GASB number must be 4 digits." sqref="G7:I7" xr:uid="{00000000-0002-0000-3B00-000000000000}">
      <formula1>4</formula1>
    </dataValidation>
  </dataValidations>
  <hyperlinks>
    <hyperlink ref="B1:O1" location="Index!A1" display="Index!A1" xr:uid="{00000000-0004-0000-3B00-000000000000}"/>
  </hyperlinks>
  <pageMargins left="0.75" right="0.5" top="0.5" bottom="0.5" header="0.5" footer="0.5"/>
  <pageSetup scale="78" orientation="portrait" r:id="rId5"/>
  <headerFooter alignWithMargins="0">
    <oddFooter>&amp;R&amp;A</oddFooter>
  </headerFooter>
  <legacyDrawing r:id="rId6"/>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1"/>
  <dimension ref="A1:M50"/>
  <sheetViews>
    <sheetView showGridLines="0" workbookViewId="0">
      <selection activeCell="A22" sqref="A22:L22"/>
    </sheetView>
  </sheetViews>
  <sheetFormatPr defaultRowHeight="12.75" x14ac:dyDescent="0.2"/>
  <cols>
    <col min="2" max="2" width="18.5703125" customWidth="1"/>
    <col min="3" max="3" width="2" customWidth="1"/>
    <col min="11" max="11" width="7.5703125" customWidth="1"/>
    <col min="12" max="13" width="5.42578125" customWidth="1"/>
  </cols>
  <sheetData>
    <row r="1" spans="1:13" ht="15.75" x14ac:dyDescent="0.25">
      <c r="A1" s="2895" t="str">
        <f>+Index!A1</f>
        <v xml:space="preserve">                                                               Office of the State Controller                                                                </v>
      </c>
      <c r="B1" s="2895"/>
      <c r="C1" s="2895"/>
      <c r="D1" s="2895"/>
      <c r="E1" s="2895"/>
      <c r="F1" s="2895"/>
      <c r="G1" s="2895"/>
      <c r="H1" s="2895"/>
      <c r="I1" s="2895"/>
      <c r="J1" s="2895"/>
      <c r="K1" s="2895"/>
      <c r="L1" s="2895"/>
      <c r="M1" s="2450" t="str">
        <f>IF(Index!$B$86="na","NA","")</f>
        <v/>
      </c>
    </row>
    <row r="2" spans="1:13" ht="15.75" x14ac:dyDescent="0.25">
      <c r="A2" s="2431" t="str">
        <f>Index!A2</f>
        <v>2022 ACFR Worksheets</v>
      </c>
      <c r="B2" s="2431"/>
      <c r="C2" s="2431"/>
      <c r="D2" s="2431"/>
      <c r="E2" s="2431"/>
      <c r="F2" s="2431"/>
      <c r="G2" s="2431"/>
      <c r="H2" s="2431"/>
      <c r="I2" s="2431"/>
      <c r="J2" s="2431"/>
      <c r="K2" s="2431"/>
      <c r="L2" s="2431"/>
      <c r="M2" s="2450"/>
    </row>
    <row r="3" spans="1:13" ht="15" customHeight="1" x14ac:dyDescent="0.25">
      <c r="A3" s="2896" t="s">
        <v>4283</v>
      </c>
      <c r="B3" s="2896"/>
      <c r="C3" s="2896"/>
      <c r="D3" s="2896"/>
      <c r="E3" s="2896"/>
      <c r="F3" s="2896"/>
      <c r="G3" s="2896"/>
      <c r="H3" s="2896"/>
      <c r="I3" s="2896"/>
      <c r="J3" s="2896"/>
      <c r="K3" s="2896"/>
      <c r="L3" s="2896"/>
      <c r="M3" s="2450"/>
    </row>
    <row r="4" spans="1:13" x14ac:dyDescent="0.2">
      <c r="A4" s="1691"/>
    </row>
    <row r="5" spans="1:13" x14ac:dyDescent="0.2">
      <c r="H5" s="1692" t="s">
        <v>327</v>
      </c>
      <c r="I5" s="2563" t="str">
        <f>+Index!E10</f>
        <v>01</v>
      </c>
      <c r="J5" s="2563"/>
      <c r="K5" s="2563"/>
      <c r="L5" s="2563"/>
    </row>
    <row r="6" spans="1:13" x14ac:dyDescent="0.2">
      <c r="H6" s="1692" t="s">
        <v>1154</v>
      </c>
      <c r="I6" s="2894" t="str">
        <f>Index!E11</f>
        <v>North Carolina General Assembly</v>
      </c>
      <c r="J6" s="2894"/>
      <c r="K6" s="2894"/>
      <c r="L6" s="2894"/>
    </row>
    <row r="7" spans="1:13" x14ac:dyDescent="0.2">
      <c r="H7" s="1692" t="s">
        <v>4236</v>
      </c>
      <c r="I7" s="2894" t="str">
        <f>CONCATENATE(Index!$E$12," ",Index!$E$14)</f>
        <v xml:space="preserve"> </v>
      </c>
      <c r="J7" s="2894"/>
      <c r="K7" s="2894"/>
      <c r="L7" s="2894"/>
    </row>
    <row r="8" spans="1:13" x14ac:dyDescent="0.2">
      <c r="H8" s="1692" t="s">
        <v>348</v>
      </c>
      <c r="I8" s="2894">
        <f>Index!$E$13</f>
        <v>0</v>
      </c>
      <c r="J8" s="2894"/>
      <c r="K8" s="2894"/>
      <c r="L8" s="2894"/>
    </row>
    <row r="9" spans="1:13" ht="13.5" thickBot="1" x14ac:dyDescent="0.25">
      <c r="A9" s="838"/>
      <c r="B9" s="838"/>
      <c r="C9" s="838"/>
      <c r="D9" s="838"/>
      <c r="E9" s="838"/>
      <c r="F9" s="838"/>
      <c r="G9" s="838"/>
      <c r="H9" s="838"/>
      <c r="I9" s="838"/>
      <c r="J9" s="838"/>
      <c r="K9" s="838"/>
      <c r="L9" s="838"/>
    </row>
    <row r="21" spans="1:12" ht="23.25" customHeight="1" x14ac:dyDescent="0.2">
      <c r="A21" t="s">
        <v>4267</v>
      </c>
    </row>
    <row r="22" spans="1:12" x14ac:dyDescent="0.2">
      <c r="A22" s="2898" t="s">
        <v>4266</v>
      </c>
      <c r="B22" s="2898"/>
      <c r="C22" s="2898"/>
      <c r="D22" s="2898"/>
      <c r="E22" s="2898"/>
      <c r="F22" s="2898"/>
      <c r="G22" s="2898"/>
      <c r="H22" s="2898"/>
      <c r="I22" s="2898"/>
      <c r="J22" s="2898"/>
      <c r="K22" s="2898"/>
      <c r="L22" s="2898"/>
    </row>
    <row r="24" spans="1:12" x14ac:dyDescent="0.2">
      <c r="A24" t="s">
        <v>4322</v>
      </c>
    </row>
    <row r="26" spans="1:12" ht="20.100000000000001" customHeight="1" x14ac:dyDescent="0.2">
      <c r="A26" s="2" t="s">
        <v>4242</v>
      </c>
      <c r="C26" s="1696" t="s">
        <v>213</v>
      </c>
      <c r="D26" s="2700"/>
      <c r="E26" s="2700"/>
      <c r="F26" s="2700"/>
      <c r="G26" s="2700"/>
      <c r="H26" s="2700"/>
      <c r="I26" s="2700"/>
      <c r="J26" s="2700"/>
      <c r="K26" s="2700"/>
      <c r="L26" s="2700"/>
    </row>
    <row r="27" spans="1:12" ht="20.100000000000001" customHeight="1" x14ac:dyDescent="0.2">
      <c r="A27" s="665" t="s">
        <v>4743</v>
      </c>
      <c r="C27" s="1696" t="s">
        <v>214</v>
      </c>
      <c r="D27" s="2900"/>
      <c r="E27" s="2900"/>
      <c r="F27" s="2900"/>
      <c r="G27" s="2900"/>
      <c r="H27" s="2900"/>
      <c r="I27" s="2900"/>
      <c r="J27" s="2900"/>
      <c r="K27" s="2900"/>
      <c r="L27" s="2900"/>
    </row>
    <row r="28" spans="1:12" ht="20.100000000000001" customHeight="1" x14ac:dyDescent="0.2">
      <c r="A28" s="3"/>
      <c r="C28" s="1696" t="s">
        <v>143</v>
      </c>
      <c r="D28" s="2900"/>
      <c r="E28" s="2900"/>
      <c r="F28" s="2900"/>
      <c r="G28" s="2900"/>
      <c r="H28" s="2900"/>
      <c r="I28" s="2900"/>
      <c r="J28" s="2900"/>
      <c r="K28" s="2900"/>
      <c r="L28" s="2900"/>
    </row>
    <row r="29" spans="1:12" ht="20.100000000000001" customHeight="1" x14ac:dyDescent="0.2"/>
    <row r="30" spans="1:12" ht="20.100000000000001" customHeight="1" x14ac:dyDescent="0.2">
      <c r="A30" s="2" t="s">
        <v>4254</v>
      </c>
      <c r="C30" s="1696" t="s">
        <v>213</v>
      </c>
      <c r="D30" s="2700"/>
      <c r="E30" s="2700"/>
      <c r="F30" s="2700"/>
      <c r="G30" s="2700"/>
      <c r="H30" s="2700"/>
      <c r="I30" s="2700"/>
      <c r="J30" s="2700"/>
      <c r="K30" s="2700"/>
      <c r="L30" s="2700"/>
    </row>
    <row r="31" spans="1:12" ht="20.100000000000001" customHeight="1" x14ac:dyDescent="0.2">
      <c r="A31" s="364" t="s">
        <v>4744</v>
      </c>
      <c r="C31" s="1696" t="s">
        <v>214</v>
      </c>
      <c r="D31" s="2900"/>
      <c r="E31" s="2900"/>
      <c r="F31" s="2900"/>
      <c r="G31" s="2900"/>
      <c r="H31" s="2900"/>
      <c r="I31" s="2900"/>
      <c r="J31" s="2900"/>
      <c r="K31" s="2900"/>
      <c r="L31" s="2900"/>
    </row>
    <row r="32" spans="1:12" ht="20.100000000000001" customHeight="1" x14ac:dyDescent="0.2">
      <c r="A32" s="3"/>
      <c r="C32" s="1696" t="s">
        <v>143</v>
      </c>
      <c r="D32" s="2900"/>
      <c r="E32" s="2900"/>
      <c r="F32" s="2900"/>
      <c r="G32" s="2900"/>
      <c r="H32" s="2900"/>
      <c r="I32" s="2900"/>
      <c r="J32" s="2900"/>
      <c r="K32" s="2900"/>
      <c r="L32" s="2900"/>
    </row>
    <row r="33" spans="1:13" ht="8.25" customHeight="1" x14ac:dyDescent="0.2">
      <c r="A33" s="272"/>
    </row>
    <row r="34" spans="1:13" ht="20.100000000000001" customHeight="1" x14ac:dyDescent="0.2">
      <c r="A34" s="2" t="s">
        <v>4255</v>
      </c>
      <c r="C34" s="1696" t="s">
        <v>213</v>
      </c>
      <c r="D34" s="2700"/>
      <c r="E34" s="2700"/>
      <c r="F34" s="2700"/>
      <c r="G34" s="2700"/>
      <c r="H34" s="2700"/>
      <c r="I34" s="2700"/>
      <c r="J34" s="2700"/>
      <c r="K34" s="2700"/>
      <c r="L34" s="2700"/>
    </row>
    <row r="35" spans="1:13" ht="20.100000000000001" customHeight="1" x14ac:dyDescent="0.2">
      <c r="A35" s="665" t="s">
        <v>4745</v>
      </c>
      <c r="C35" s="1696" t="s">
        <v>214</v>
      </c>
      <c r="D35" s="2900"/>
      <c r="E35" s="2900"/>
      <c r="F35" s="2900"/>
      <c r="G35" s="2900"/>
      <c r="H35" s="2900"/>
      <c r="I35" s="2900"/>
      <c r="J35" s="2900"/>
      <c r="K35" s="2900"/>
      <c r="L35" s="2900"/>
    </row>
    <row r="36" spans="1:13" ht="20.100000000000001" customHeight="1" x14ac:dyDescent="0.2">
      <c r="A36" s="3"/>
      <c r="C36" s="1696" t="s">
        <v>143</v>
      </c>
      <c r="D36" s="2899"/>
      <c r="E36" s="2899"/>
      <c r="F36" s="2899"/>
      <c r="G36" s="2899"/>
      <c r="H36" s="2899"/>
      <c r="I36" s="2899"/>
      <c r="J36" s="2899"/>
      <c r="K36" s="2899"/>
      <c r="L36" s="2899"/>
    </row>
    <row r="37" spans="1:13" ht="20.100000000000001" customHeight="1" x14ac:dyDescent="0.2">
      <c r="A37" s="3"/>
      <c r="D37" s="203"/>
      <c r="E37" s="203"/>
      <c r="F37" s="203"/>
      <c r="G37" s="203"/>
      <c r="H37" s="203"/>
      <c r="I37" s="203"/>
      <c r="J37" s="203"/>
      <c r="K37" s="203"/>
      <c r="L37" s="203"/>
    </row>
    <row r="38" spans="1:13" x14ac:dyDescent="0.2">
      <c r="A38" s="2" t="s">
        <v>4462</v>
      </c>
      <c r="K38" s="1695"/>
      <c r="L38" s="1695"/>
      <c r="M38" s="1693"/>
    </row>
    <row r="39" spans="1:13" ht="20.100000000000001" customHeight="1" x14ac:dyDescent="0.2">
      <c r="A39" s="665" t="s">
        <v>4746</v>
      </c>
      <c r="B39" s="272"/>
      <c r="C39" s="1696" t="s">
        <v>213</v>
      </c>
      <c r="D39" s="2897"/>
      <c r="E39" s="2897"/>
      <c r="F39" s="2897"/>
      <c r="G39" s="2897"/>
      <c r="H39" s="2897"/>
      <c r="I39" s="2897"/>
      <c r="J39" s="2897"/>
      <c r="K39" s="2897"/>
      <c r="L39" s="2897"/>
      <c r="M39" s="1693"/>
    </row>
    <row r="40" spans="1:13" ht="20.100000000000001" customHeight="1" x14ac:dyDescent="0.2">
      <c r="A40" s="2"/>
      <c r="B40" s="272"/>
      <c r="C40" s="1696" t="s">
        <v>214</v>
      </c>
      <c r="D40" s="2893"/>
      <c r="E40" s="2893"/>
      <c r="F40" s="2893"/>
      <c r="G40" s="2893"/>
      <c r="H40" s="2893"/>
      <c r="I40" s="2893"/>
      <c r="J40" s="2893"/>
      <c r="K40" s="2893"/>
      <c r="L40" s="2893"/>
      <c r="M40" s="1693"/>
    </row>
    <row r="41" spans="1:13" ht="20.100000000000001" customHeight="1" x14ac:dyDescent="0.2">
      <c r="A41" s="2"/>
      <c r="B41" s="272"/>
      <c r="C41" s="1696" t="s">
        <v>143</v>
      </c>
      <c r="D41" s="2893"/>
      <c r="E41" s="2893"/>
      <c r="F41" s="2893"/>
      <c r="G41" s="2893"/>
      <c r="H41" s="2893"/>
      <c r="I41" s="2893"/>
      <c r="J41" s="2893"/>
      <c r="K41" s="2893"/>
      <c r="L41" s="2893"/>
      <c r="M41" s="1693"/>
    </row>
    <row r="42" spans="1:13" x14ac:dyDescent="0.2">
      <c r="K42" s="1695"/>
      <c r="L42" s="1695"/>
      <c r="M42" s="1693"/>
    </row>
    <row r="43" spans="1:13" ht="24" customHeight="1" x14ac:dyDescent="0.2">
      <c r="A43" s="2" t="s">
        <v>4282</v>
      </c>
      <c r="I43" s="2638"/>
      <c r="J43" s="2638"/>
      <c r="K43" s="2638"/>
      <c r="L43" s="2638"/>
    </row>
    <row r="44" spans="1:13" ht="20.100000000000001" customHeight="1" x14ac:dyDescent="0.2">
      <c r="A44" s="665" t="s">
        <v>4747</v>
      </c>
      <c r="C44" s="1696" t="s">
        <v>213</v>
      </c>
      <c r="D44" s="2700"/>
      <c r="E44" s="2700"/>
      <c r="F44" s="2700"/>
      <c r="G44" s="2700"/>
      <c r="H44" s="2700"/>
      <c r="I44" s="2700"/>
      <c r="J44" s="2700"/>
      <c r="K44" s="2700"/>
      <c r="L44" s="2700"/>
    </row>
    <row r="45" spans="1:13" ht="20.100000000000001" customHeight="1" x14ac:dyDescent="0.2">
      <c r="A45" s="2"/>
      <c r="C45" s="1696" t="s">
        <v>214</v>
      </c>
      <c r="D45" s="2900"/>
      <c r="E45" s="2900"/>
      <c r="F45" s="2900"/>
      <c r="G45" s="2900"/>
      <c r="H45" s="2900"/>
      <c r="I45" s="2900"/>
      <c r="J45" s="2900"/>
      <c r="K45" s="2900"/>
      <c r="L45" s="2900"/>
    </row>
    <row r="46" spans="1:13" ht="20.100000000000001" customHeight="1" x14ac:dyDescent="0.2">
      <c r="A46" s="2"/>
      <c r="C46" s="1696" t="s">
        <v>143</v>
      </c>
      <c r="D46" s="2900"/>
      <c r="E46" s="2900"/>
      <c r="F46" s="2900"/>
      <c r="G46" s="2900"/>
      <c r="H46" s="2900"/>
      <c r="I46" s="2900"/>
      <c r="J46" s="2900"/>
      <c r="K46" s="2900"/>
      <c r="L46" s="2900"/>
    </row>
    <row r="47" spans="1:13" ht="15.75" customHeight="1" x14ac:dyDescent="0.2">
      <c r="A47" s="2"/>
      <c r="I47" s="290"/>
      <c r="J47" s="290"/>
      <c r="K47" s="290"/>
      <c r="L47" s="290"/>
    </row>
    <row r="48" spans="1:13" x14ac:dyDescent="0.2">
      <c r="A48" s="2" t="s">
        <v>4756</v>
      </c>
    </row>
    <row r="49" spans="1:1" x14ac:dyDescent="0.2">
      <c r="A49" s="2" t="s">
        <v>4896</v>
      </c>
    </row>
    <row r="50" spans="1:1" x14ac:dyDescent="0.2">
      <c r="A50" s="2"/>
    </row>
  </sheetData>
  <sheetProtection algorithmName="SHA-512" hashValue="ibOUAcJ8iWRGVlExGFXiZUdN9E9rwIVW+yfzOZQpeiK98pgivygFDDrnqUxe4bFMzjFTIRKq2i9NG7j83lzADw==" saltValue="hYDTRFNRcHeJ0W48SIl5AQ==" spinCount="100000" sheet="1" objects="1" scenarios="1" autoFilter="0"/>
  <mergeCells count="25">
    <mergeCell ref="D36:L36"/>
    <mergeCell ref="D44:L44"/>
    <mergeCell ref="D45:L45"/>
    <mergeCell ref="D46:L46"/>
    <mergeCell ref="D27:L27"/>
    <mergeCell ref="D28:L28"/>
    <mergeCell ref="D31:L31"/>
    <mergeCell ref="D32:L32"/>
    <mergeCell ref="D35:L35"/>
    <mergeCell ref="M1:M3"/>
    <mergeCell ref="D40:L40"/>
    <mergeCell ref="I43:L43"/>
    <mergeCell ref="I8:L8"/>
    <mergeCell ref="D34:L34"/>
    <mergeCell ref="A1:L1"/>
    <mergeCell ref="A2:L2"/>
    <mergeCell ref="A3:L3"/>
    <mergeCell ref="I5:L5"/>
    <mergeCell ref="I6:L6"/>
    <mergeCell ref="I7:L7"/>
    <mergeCell ref="D30:L30"/>
    <mergeCell ref="D26:L26"/>
    <mergeCell ref="D39:L39"/>
    <mergeCell ref="D41:L41"/>
    <mergeCell ref="A22:L22"/>
  </mergeCells>
  <conditionalFormatting sqref="M1:M3">
    <cfRule type="cellIs" dxfId="37" priority="1" stopIfTrue="1" operator="equal">
      <formula>"na"</formula>
    </cfRule>
  </conditionalFormatting>
  <hyperlinks>
    <hyperlink ref="A22" r:id="rId1" display="http://ncosc.s3.amazonaws.com/s3fs-public/documents/GASB_Resources/Financial_Reporting_Updates/gasb_standard_77.pdf" xr:uid="{00000000-0004-0000-3C00-000000000000}"/>
    <hyperlink ref="A22:L22" r:id="rId2" display="Financial Reporting Update GASB 77" xr:uid="{00000000-0004-0000-3C00-000001000000}"/>
    <hyperlink ref="A1:L1" location="Index!A1" display="Index!A1" xr:uid="{DC4C6F33-8261-4198-BD7C-CD47816F6ED1}"/>
  </hyperlinks>
  <pageMargins left="0.5" right="0.5" top="0.25" bottom="0.25" header="0.3" footer="0.3"/>
  <pageSetup scale="85" orientation="portrait" r:id="rId3"/>
  <headerFooter>
    <oddFooter>&amp;R&amp;A</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M88"/>
  <sheetViews>
    <sheetView showGridLines="0" topLeftCell="B1" zoomScaleNormal="100" workbookViewId="0">
      <selection activeCell="R17" sqref="R17"/>
    </sheetView>
  </sheetViews>
  <sheetFormatPr defaultColWidth="9.42578125" defaultRowHeight="12.75" x14ac:dyDescent="0.2"/>
  <cols>
    <col min="1" max="1" width="9.42578125" style="61" hidden="1" customWidth="1"/>
    <col min="2" max="3" width="3.42578125" style="61" customWidth="1"/>
    <col min="4" max="4" width="7.5703125" style="61" customWidth="1"/>
    <col min="5" max="5" width="8.5703125" style="61" customWidth="1"/>
    <col min="6" max="6" width="22.5703125" style="61" customWidth="1"/>
    <col min="7" max="7" width="7.5703125" style="61" customWidth="1"/>
    <col min="8" max="8" width="8.5703125" style="61" customWidth="1"/>
    <col min="9" max="9" width="7.42578125" style="61" customWidth="1"/>
    <col min="10" max="10" width="21.5703125" style="61" customWidth="1"/>
    <col min="11" max="11" width="4.5703125" style="61" customWidth="1"/>
    <col min="12" max="16384" width="9.42578125" style="61"/>
  </cols>
  <sheetData>
    <row r="1" spans="1:12" ht="15.75" x14ac:dyDescent="0.25">
      <c r="A1" s="61" t="str">
        <f t="shared" ref="A1:A10" si="0">AgyIdx</f>
        <v>01</v>
      </c>
      <c r="B1" s="2379" t="str">
        <f>+Index!$A$1</f>
        <v xml:space="preserve">                                                               Office of the State Controller                                                                </v>
      </c>
      <c r="C1" s="2379"/>
      <c r="D1" s="2379"/>
      <c r="E1" s="2379"/>
      <c r="F1" s="2379"/>
      <c r="G1" s="2379"/>
      <c r="H1" s="2379"/>
      <c r="I1" s="2379"/>
      <c r="J1" s="2379"/>
      <c r="K1" s="2432"/>
    </row>
    <row r="2" spans="1:12" ht="15.75" x14ac:dyDescent="0.25">
      <c r="A2" s="61" t="str">
        <f t="shared" si="0"/>
        <v>01</v>
      </c>
      <c r="B2" s="2435" t="str">
        <f>+Index!$A$2</f>
        <v>2022 ACFR Worksheets</v>
      </c>
      <c r="C2" s="2435"/>
      <c r="D2" s="2435"/>
      <c r="E2" s="2435"/>
      <c r="F2" s="2435"/>
      <c r="G2" s="2435"/>
      <c r="H2" s="2435"/>
      <c r="I2" s="2435"/>
      <c r="J2" s="2435"/>
      <c r="K2" s="2432"/>
    </row>
    <row r="3" spans="1:12" ht="15.75" x14ac:dyDescent="0.25">
      <c r="A3" s="61" t="str">
        <f t="shared" si="0"/>
        <v>01</v>
      </c>
      <c r="B3" s="2436" t="s">
        <v>3814</v>
      </c>
      <c r="C3" s="2436"/>
      <c r="D3" s="2436"/>
      <c r="E3" s="2436"/>
      <c r="F3" s="2436"/>
      <c r="G3" s="2436"/>
      <c r="H3" s="2436"/>
      <c r="I3" s="2436"/>
      <c r="J3" s="2436"/>
      <c r="K3" s="2432"/>
    </row>
    <row r="4" spans="1:12" ht="12.75" customHeight="1" x14ac:dyDescent="0.2">
      <c r="A4" s="61" t="str">
        <f t="shared" si="0"/>
        <v>01</v>
      </c>
      <c r="B4" s="454"/>
      <c r="C4" s="454"/>
      <c r="D4" s="454"/>
      <c r="E4" s="454"/>
      <c r="F4" s="454"/>
      <c r="G4" s="454"/>
      <c r="H4" s="454"/>
      <c r="I4" s="454"/>
      <c r="J4" s="447"/>
      <c r="K4" s="448"/>
    </row>
    <row r="5" spans="1:12" x14ac:dyDescent="0.2">
      <c r="A5" s="61" t="str">
        <f t="shared" si="0"/>
        <v>01</v>
      </c>
      <c r="B5" s="1089"/>
      <c r="C5" s="1089"/>
      <c r="D5" s="1089"/>
      <c r="E5" s="451"/>
      <c r="F5" s="1345"/>
      <c r="G5" s="1335" t="s">
        <v>327</v>
      </c>
      <c r="H5" s="1336" t="str">
        <f>+Index!$E$10</f>
        <v>01</v>
      </c>
      <c r="I5" s="1337"/>
      <c r="J5" s="1337"/>
    </row>
    <row r="6" spans="1:12" x14ac:dyDescent="0.2">
      <c r="A6" s="61" t="str">
        <f t="shared" si="0"/>
        <v>01</v>
      </c>
      <c r="B6" s="1089"/>
      <c r="C6" s="1089"/>
      <c r="D6" s="1089"/>
      <c r="E6" s="1089"/>
      <c r="F6" s="1333"/>
      <c r="G6" s="1335" t="s">
        <v>1154</v>
      </c>
      <c r="H6" s="1338" t="str">
        <f>AgyName</f>
        <v>North Carolina General Assembly</v>
      </c>
      <c r="I6" s="1339"/>
      <c r="J6" s="1339"/>
    </row>
    <row r="7" spans="1:12" x14ac:dyDescent="0.2">
      <c r="A7" s="61" t="str">
        <f t="shared" si="0"/>
        <v>01</v>
      </c>
      <c r="B7" s="2452" t="s">
        <v>3447</v>
      </c>
      <c r="C7" s="2421"/>
      <c r="D7" s="2421"/>
      <c r="E7" s="1334" t="s">
        <v>805</v>
      </c>
      <c r="F7" s="454"/>
      <c r="G7" s="1335" t="s">
        <v>972</v>
      </c>
      <c r="H7" s="1340" t="str">
        <f>CONCATENATE(Index!$E$12," ",Index!$E$14)</f>
        <v xml:space="preserve"> </v>
      </c>
      <c r="I7" s="1370"/>
      <c r="J7" s="1370"/>
    </row>
    <row r="8" spans="1:12" x14ac:dyDescent="0.2">
      <c r="A8" s="61" t="str">
        <f t="shared" si="0"/>
        <v>01</v>
      </c>
      <c r="B8" s="1333"/>
      <c r="C8" s="1333"/>
      <c r="D8" s="1345"/>
      <c r="E8" s="454"/>
      <c r="F8" s="454"/>
      <c r="G8" s="1335" t="s">
        <v>348</v>
      </c>
      <c r="H8" s="1340">
        <f>+Index!$E$13</f>
        <v>0</v>
      </c>
      <c r="I8" s="1370"/>
      <c r="J8" s="1370"/>
    </row>
    <row r="9" spans="1:12" ht="10.35" customHeight="1" thickBot="1" x14ac:dyDescent="0.25">
      <c r="A9" s="61" t="str">
        <f t="shared" si="0"/>
        <v>01</v>
      </c>
      <c r="B9" s="1346"/>
      <c r="C9" s="1346"/>
      <c r="D9" s="1346"/>
      <c r="E9" s="1346"/>
      <c r="F9" s="1346"/>
      <c r="G9" s="1346"/>
      <c r="H9" s="1346"/>
      <c r="I9" s="1346"/>
      <c r="J9" s="1346"/>
    </row>
    <row r="10" spans="1:12" ht="9" customHeight="1" x14ac:dyDescent="0.25">
      <c r="A10" s="61" t="str">
        <f t="shared" si="0"/>
        <v>01</v>
      </c>
      <c r="B10" s="1341"/>
      <c r="C10" s="1341"/>
      <c r="D10" s="1341"/>
      <c r="E10" s="1341"/>
      <c r="F10" s="1341"/>
      <c r="G10" s="1341"/>
      <c r="H10" s="1341"/>
      <c r="I10" s="1341"/>
      <c r="J10" s="1341"/>
    </row>
    <row r="11" spans="1:12" ht="15.75" customHeight="1" x14ac:dyDescent="0.2">
      <c r="B11" s="1204" t="s">
        <v>3448</v>
      </c>
      <c r="C11" s="1204"/>
      <c r="D11" s="1204"/>
      <c r="E11" s="1204"/>
      <c r="F11" s="1204"/>
      <c r="G11" s="1204"/>
      <c r="H11" s="1204"/>
      <c r="I11" s="1204"/>
      <c r="J11" s="1204"/>
      <c r="K11" s="1342"/>
      <c r="L11" s="1306"/>
    </row>
    <row r="12" spans="1:12" ht="12.75" customHeight="1" x14ac:dyDescent="0.2">
      <c r="B12" s="1204" t="s">
        <v>3463</v>
      </c>
      <c r="C12" s="1204"/>
      <c r="D12" s="1204"/>
      <c r="E12" s="1204"/>
      <c r="F12" s="1204"/>
      <c r="G12" s="1204"/>
      <c r="H12" s="1204"/>
      <c r="I12" s="1204"/>
      <c r="J12" s="1204"/>
      <c r="K12" s="1342"/>
      <c r="L12" s="1306"/>
    </row>
    <row r="13" spans="1:12" ht="12.75" customHeight="1" x14ac:dyDescent="0.2">
      <c r="B13" s="1204"/>
      <c r="C13" s="1204"/>
      <c r="D13" s="1204"/>
      <c r="E13" s="1204"/>
      <c r="F13" s="1204"/>
      <c r="G13" s="1204"/>
      <c r="H13" s="1204"/>
      <c r="I13" s="1204"/>
      <c r="J13" s="1204"/>
      <c r="K13" s="1342"/>
      <c r="L13" s="1306"/>
    </row>
    <row r="14" spans="1:12" s="63" customFormat="1" ht="12.75" customHeight="1" x14ac:dyDescent="0.25">
      <c r="B14" s="1204" t="s">
        <v>3461</v>
      </c>
      <c r="C14" s="1088"/>
      <c r="D14" s="1089"/>
      <c r="E14" s="1089"/>
      <c r="F14" s="1089"/>
      <c r="G14" s="1089"/>
      <c r="H14" s="1089"/>
      <c r="I14" s="1089"/>
      <c r="J14" s="1089"/>
      <c r="K14" s="61"/>
    </row>
    <row r="15" spans="1:12" s="63" customFormat="1" ht="12.75" customHeight="1" x14ac:dyDescent="0.25">
      <c r="B15" s="1204" t="s">
        <v>3462</v>
      </c>
      <c r="C15" s="1088"/>
      <c r="D15" s="1089"/>
      <c r="E15" s="1089"/>
      <c r="F15" s="1089"/>
      <c r="G15" s="1089"/>
      <c r="H15" s="1089"/>
      <c r="I15" s="1089"/>
      <c r="J15" s="1089"/>
      <c r="K15" s="61"/>
    </row>
    <row r="16" spans="1:12" s="63" customFormat="1" ht="8.1" customHeight="1" x14ac:dyDescent="0.25">
      <c r="B16" s="1204"/>
      <c r="C16" s="1088"/>
      <c r="D16" s="1089"/>
      <c r="E16" s="1089"/>
      <c r="F16" s="1089"/>
      <c r="G16" s="1089"/>
      <c r="H16" s="1089"/>
      <c r="I16" s="1089"/>
      <c r="J16" s="1089"/>
      <c r="K16" s="61"/>
    </row>
    <row r="17" spans="2:13" s="63" customFormat="1" ht="12.75" customHeight="1" x14ac:dyDescent="0.25">
      <c r="B17" s="1089"/>
      <c r="C17" s="1204" t="s">
        <v>213</v>
      </c>
      <c r="D17" s="2453" t="s">
        <v>3445</v>
      </c>
      <c r="E17" s="2421"/>
      <c r="F17" s="2421"/>
      <c r="G17" s="2421"/>
      <c r="H17" s="2421"/>
      <c r="I17" s="2421"/>
      <c r="J17" s="2421"/>
      <c r="K17" s="61"/>
    </row>
    <row r="18" spans="2:13" s="63" customFormat="1" ht="12.75" customHeight="1" x14ac:dyDescent="0.25">
      <c r="B18" s="1089"/>
      <c r="C18" s="1204"/>
      <c r="D18" s="2453" t="s">
        <v>3456</v>
      </c>
      <c r="E18" s="2421"/>
      <c r="F18" s="2421"/>
      <c r="G18" s="2421"/>
      <c r="H18" s="2421"/>
      <c r="I18" s="2421"/>
      <c r="J18" s="2421"/>
      <c r="K18" s="61"/>
    </row>
    <row r="19" spans="2:13" s="63" customFormat="1" ht="12.75" customHeight="1" x14ac:dyDescent="0.25">
      <c r="B19" s="1089"/>
      <c r="C19" s="1204"/>
      <c r="D19" s="2453" t="s">
        <v>3449</v>
      </c>
      <c r="E19" s="2421"/>
      <c r="F19" s="2421"/>
      <c r="G19" s="2421"/>
      <c r="H19" s="2421"/>
      <c r="I19" s="2421"/>
      <c r="J19" s="2421"/>
      <c r="K19" s="61"/>
    </row>
    <row r="20" spans="2:13" s="63" customFormat="1" ht="12.75" customHeight="1" x14ac:dyDescent="0.25">
      <c r="B20" s="1089"/>
      <c r="C20" s="1204"/>
      <c r="D20" s="2453" t="s">
        <v>3450</v>
      </c>
      <c r="E20" s="2421"/>
      <c r="F20" s="2421"/>
      <c r="G20" s="2421"/>
      <c r="H20" s="2421"/>
      <c r="I20" s="2421"/>
      <c r="J20" s="2421"/>
      <c r="K20" s="61"/>
    </row>
    <row r="21" spans="2:13" s="63" customFormat="1" ht="12.75" customHeight="1" x14ac:dyDescent="0.25">
      <c r="B21" s="1089"/>
      <c r="C21" s="1204"/>
      <c r="D21" s="1347" t="s">
        <v>3457</v>
      </c>
      <c r="E21" s="272"/>
      <c r="F21" s="272"/>
      <c r="G21" s="272"/>
      <c r="H21" s="272"/>
      <c r="I21" s="272"/>
      <c r="J21" s="272"/>
      <c r="K21" s="61"/>
    </row>
    <row r="22" spans="2:13" s="63" customFormat="1" ht="12.75" customHeight="1" x14ac:dyDescent="0.25">
      <c r="B22" s="1089"/>
      <c r="C22" s="1204"/>
      <c r="D22" s="1347" t="s">
        <v>3455</v>
      </c>
      <c r="E22" s="272"/>
      <c r="F22" s="272"/>
      <c r="G22" s="272"/>
      <c r="H22" s="272"/>
      <c r="I22" s="272"/>
      <c r="J22" s="272"/>
      <c r="K22" s="61"/>
    </row>
    <row r="23" spans="2:13" s="63" customFormat="1" ht="12.75" customHeight="1" x14ac:dyDescent="0.25">
      <c r="B23" s="1089"/>
      <c r="C23" s="1204"/>
      <c r="D23" s="1347" t="s">
        <v>3464</v>
      </c>
      <c r="E23" s="272"/>
      <c r="F23" s="272"/>
      <c r="G23" s="272"/>
      <c r="H23" s="272"/>
      <c r="I23" s="272"/>
      <c r="J23" s="272"/>
      <c r="K23" s="61"/>
    </row>
    <row r="24" spans="2:13" s="63" customFormat="1" ht="4.3499999999999996" customHeight="1" x14ac:dyDescent="0.25">
      <c r="B24" s="1089"/>
      <c r="C24" s="1204"/>
      <c r="D24" s="1347"/>
      <c r="E24" s="272"/>
      <c r="F24" s="272"/>
      <c r="G24" s="272"/>
      <c r="H24" s="272"/>
      <c r="I24" s="272"/>
      <c r="J24" s="272"/>
      <c r="K24" s="61"/>
    </row>
    <row r="25" spans="2:13" s="63" customFormat="1" ht="12.75" customHeight="1" x14ac:dyDescent="0.25">
      <c r="B25" s="1089"/>
      <c r="C25" s="1204" t="s">
        <v>214</v>
      </c>
      <c r="D25" s="2453" t="s">
        <v>3458</v>
      </c>
      <c r="E25" s="2421"/>
      <c r="F25" s="2421"/>
      <c r="G25" s="2421"/>
      <c r="H25" s="2421"/>
      <c r="I25" s="2421"/>
      <c r="J25" s="2421"/>
      <c r="K25" s="61"/>
    </row>
    <row r="26" spans="2:13" s="63" customFormat="1" ht="4.3499999999999996" customHeight="1" x14ac:dyDescent="0.25">
      <c r="B26" s="1089"/>
      <c r="C26" s="1204"/>
      <c r="D26" s="1343"/>
      <c r="E26" s="272"/>
      <c r="F26" s="272"/>
      <c r="G26" s="272"/>
      <c r="H26" s="272"/>
      <c r="I26" s="272"/>
      <c r="J26" s="272"/>
      <c r="K26" s="61"/>
    </row>
    <row r="27" spans="2:13" s="63" customFormat="1" ht="12.75" customHeight="1" x14ac:dyDescent="0.25">
      <c r="B27" s="1089"/>
      <c r="C27" s="1204" t="s">
        <v>143</v>
      </c>
      <c r="D27" s="2453" t="s">
        <v>3452</v>
      </c>
      <c r="E27" s="2421"/>
      <c r="F27" s="2421"/>
      <c r="G27" s="2421"/>
      <c r="H27" s="2421"/>
      <c r="I27" s="2421"/>
      <c r="J27" s="2421"/>
      <c r="K27" s="61"/>
    </row>
    <row r="28" spans="2:13" s="63" customFormat="1" ht="12.75" customHeight="1" x14ac:dyDescent="0.25">
      <c r="B28" s="1089"/>
      <c r="C28" s="1204"/>
      <c r="D28" s="2453" t="s">
        <v>3453</v>
      </c>
      <c r="E28" s="2421"/>
      <c r="F28" s="2421"/>
      <c r="G28" s="2421"/>
      <c r="H28" s="2421"/>
      <c r="I28" s="2421"/>
      <c r="J28" s="2421"/>
      <c r="K28" s="61"/>
    </row>
    <row r="29" spans="2:13" s="63" customFormat="1" ht="12.75" customHeight="1" x14ac:dyDescent="0.25">
      <c r="B29" s="1089"/>
      <c r="C29" s="1204"/>
      <c r="D29" s="2453" t="s">
        <v>3454</v>
      </c>
      <c r="E29" s="2421"/>
      <c r="F29" s="2421"/>
      <c r="G29" s="2421"/>
      <c r="H29" s="2421"/>
      <c r="I29" s="2421"/>
      <c r="J29" s="2421"/>
      <c r="K29" s="61"/>
    </row>
    <row r="30" spans="2:13" s="63" customFormat="1" ht="4.3499999999999996" customHeight="1" x14ac:dyDescent="0.25">
      <c r="B30" s="1089"/>
      <c r="C30" s="1204"/>
      <c r="D30" s="1343"/>
      <c r="E30" s="272"/>
      <c r="F30" s="272"/>
      <c r="G30" s="272"/>
      <c r="H30" s="272"/>
      <c r="I30" s="272"/>
      <c r="J30" s="272"/>
      <c r="K30" s="61"/>
    </row>
    <row r="31" spans="2:13" s="63" customFormat="1" ht="12.75" customHeight="1" x14ac:dyDescent="0.25">
      <c r="B31" s="1089"/>
      <c r="C31" s="1204" t="s">
        <v>1231</v>
      </c>
      <c r="D31" s="2453" t="s">
        <v>3446</v>
      </c>
      <c r="E31" s="2421"/>
      <c r="F31" s="2421"/>
      <c r="G31" s="2421"/>
      <c r="H31" s="2421"/>
      <c r="I31" s="2421"/>
      <c r="J31" s="2421"/>
      <c r="K31" s="61"/>
      <c r="L31" s="1307"/>
      <c r="M31" s="908"/>
    </row>
    <row r="32" spans="2:13" s="63" customFormat="1" ht="12.75" customHeight="1" x14ac:dyDescent="0.25">
      <c r="B32" s="1204"/>
      <c r="C32" s="1089"/>
      <c r="D32" s="2453" t="s">
        <v>1959</v>
      </c>
      <c r="E32" s="2421"/>
      <c r="F32" s="2421"/>
      <c r="G32" s="2421"/>
      <c r="H32" s="2421"/>
      <c r="I32" s="2421"/>
      <c r="J32" s="2421"/>
      <c r="K32" s="1089"/>
      <c r="L32" s="1307"/>
      <c r="M32" s="908"/>
    </row>
    <row r="33" spans="2:12" s="63" customFormat="1" ht="15.75" customHeight="1" x14ac:dyDescent="0.25">
      <c r="B33" s="1088"/>
      <c r="C33" s="1088"/>
      <c r="D33" s="1089"/>
      <c r="E33" s="1089"/>
      <c r="F33" s="1089"/>
      <c r="G33" s="1089"/>
      <c r="H33" s="1089"/>
      <c r="I33" s="1089"/>
      <c r="J33" s="1089"/>
      <c r="K33" s="61"/>
    </row>
    <row r="34" spans="2:12" s="63" customFormat="1" ht="12.75" customHeight="1" x14ac:dyDescent="0.25">
      <c r="B34" s="1204" t="s">
        <v>3460</v>
      </c>
      <c r="C34" s="1088"/>
      <c r="D34" s="1089"/>
      <c r="E34" s="1089"/>
      <c r="F34" s="1089"/>
      <c r="G34" s="1089"/>
      <c r="H34" s="1089"/>
      <c r="I34" s="1089"/>
      <c r="J34" s="1089"/>
      <c r="K34" s="61"/>
    </row>
    <row r="35" spans="2:12" s="63" customFormat="1" ht="12.75" customHeight="1" x14ac:dyDescent="0.25">
      <c r="B35" s="1204" t="s">
        <v>3459</v>
      </c>
      <c r="C35" s="1088"/>
      <c r="D35" s="1089"/>
      <c r="E35" s="1089"/>
      <c r="F35" s="1089"/>
      <c r="G35" s="1089"/>
      <c r="H35" s="1089"/>
      <c r="I35" s="1089"/>
      <c r="J35" s="1089"/>
      <c r="K35" s="61"/>
    </row>
    <row r="36" spans="2:12" s="63" customFormat="1" ht="12.75" customHeight="1" x14ac:dyDescent="0.25">
      <c r="B36" s="1088"/>
      <c r="C36" s="1088"/>
      <c r="D36" s="1089"/>
      <c r="E36" s="1089"/>
      <c r="F36" s="1089"/>
      <c r="G36" s="1089"/>
      <c r="H36" s="1089"/>
      <c r="I36" s="1089"/>
      <c r="J36" s="1089"/>
      <c r="K36" s="61"/>
    </row>
    <row r="37" spans="2:12" s="63" customFormat="1" ht="12.75" customHeight="1" x14ac:dyDescent="0.25">
      <c r="B37" s="1088"/>
      <c r="C37" s="1088"/>
      <c r="D37" s="1090" t="s">
        <v>969</v>
      </c>
      <c r="E37" s="1369"/>
      <c r="F37" s="1420" t="str">
        <f>IF(AND(ISBLANK(E37),ISBLANK(E38))=TRUE,"Answer Missing"," ")</f>
        <v>Answer Missing</v>
      </c>
      <c r="G37" s="1089"/>
      <c r="H37" s="1089"/>
      <c r="I37" s="1089"/>
      <c r="J37" s="1089"/>
      <c r="K37" s="61"/>
    </row>
    <row r="38" spans="2:12" s="63" customFormat="1" ht="12.75" customHeight="1" x14ac:dyDescent="0.25">
      <c r="B38" s="1088"/>
      <c r="C38" s="1088"/>
      <c r="D38" s="1090" t="s">
        <v>970</v>
      </c>
      <c r="E38" s="1369"/>
      <c r="F38" s="1089"/>
      <c r="G38" s="1089"/>
      <c r="H38" s="1089"/>
      <c r="I38" s="1089"/>
      <c r="J38" s="1089"/>
      <c r="K38" s="61"/>
    </row>
    <row r="39" spans="2:12" s="63" customFormat="1" ht="12.75" customHeight="1" x14ac:dyDescent="0.25">
      <c r="B39" s="1088"/>
      <c r="C39" s="1088"/>
      <c r="D39" s="1089"/>
      <c r="E39" s="1089"/>
      <c r="F39" s="1089"/>
      <c r="G39" s="1089"/>
      <c r="H39" s="1089"/>
      <c r="I39" s="1089"/>
      <c r="J39" s="1089"/>
      <c r="K39" s="61"/>
    </row>
    <row r="40" spans="2:12" s="63" customFormat="1" ht="12.75" customHeight="1" x14ac:dyDescent="0.25">
      <c r="B40" s="1089"/>
      <c r="C40" s="1089"/>
      <c r="D40" s="1089"/>
      <c r="E40" s="1089"/>
      <c r="F40" s="1089"/>
      <c r="G40" s="1089"/>
      <c r="H40" s="1089"/>
      <c r="I40" s="1089"/>
      <c r="J40" s="1089"/>
      <c r="K40" s="61"/>
    </row>
    <row r="41" spans="2:12" s="63" customFormat="1" ht="12.75" customHeight="1" x14ac:dyDescent="0.25">
      <c r="B41" s="1344" t="s">
        <v>1955</v>
      </c>
      <c r="C41" s="1088"/>
      <c r="D41" s="1089"/>
      <c r="E41" s="1089"/>
      <c r="F41" s="1089"/>
      <c r="G41" s="1089"/>
      <c r="H41" s="1089"/>
      <c r="I41" s="1089"/>
      <c r="J41" s="1089"/>
      <c r="K41" s="61"/>
    </row>
    <row r="42" spans="2:12" ht="12.75" customHeight="1" x14ac:dyDescent="0.2">
      <c r="B42" s="1204" t="s">
        <v>3451</v>
      </c>
      <c r="C42" s="273"/>
      <c r="D42" s="273"/>
      <c r="E42" s="273"/>
      <c r="F42" s="273"/>
      <c r="G42" s="273"/>
      <c r="H42" s="273"/>
      <c r="I42" s="273"/>
      <c r="J42" s="1089"/>
    </row>
    <row r="43" spans="2:12" ht="12.75" customHeight="1" x14ac:dyDescent="0.2">
      <c r="B43" s="1204" t="s">
        <v>4908</v>
      </c>
      <c r="C43" s="273"/>
      <c r="D43" s="273"/>
      <c r="E43" s="273"/>
      <c r="F43" s="273"/>
      <c r="G43" s="273"/>
      <c r="H43" s="273"/>
      <c r="I43" s="273"/>
      <c r="J43" s="1089"/>
    </row>
    <row r="44" spans="2:12" ht="12" customHeight="1" x14ac:dyDescent="0.2">
      <c r="B44" s="1088"/>
      <c r="C44" s="1088"/>
      <c r="D44" s="1089"/>
      <c r="E44" s="1089"/>
      <c r="F44" s="1089"/>
      <c r="G44" s="1089"/>
      <c r="H44" s="1089"/>
      <c r="I44" s="1089"/>
      <c r="J44" s="1089"/>
    </row>
    <row r="45" spans="2:12" ht="5.0999999999999996" customHeight="1" x14ac:dyDescent="0.2">
      <c r="B45" s="1088"/>
      <c r="C45" s="1088"/>
      <c r="D45" s="1089"/>
      <c r="E45" s="1089"/>
      <c r="F45" s="1089"/>
      <c r="G45" s="1089"/>
      <c r="H45" s="1089"/>
      <c r="I45" s="1089"/>
      <c r="J45" s="1089"/>
    </row>
    <row r="46" spans="2:12" ht="15.75" customHeight="1" x14ac:dyDescent="0.2">
      <c r="B46" s="1089"/>
      <c r="C46" s="1089"/>
      <c r="D46" s="1089"/>
      <c r="E46" s="1089"/>
      <c r="F46" s="1089"/>
      <c r="G46" s="1089"/>
      <c r="H46" s="1089"/>
      <c r="I46" s="1089"/>
      <c r="J46" s="1089"/>
    </row>
    <row r="47" spans="2:12" ht="15.75" customHeight="1" x14ac:dyDescent="0.2">
      <c r="B47" s="1089"/>
      <c r="C47" s="1089"/>
      <c r="D47" s="1089"/>
      <c r="E47" s="1089"/>
      <c r="F47" s="1089"/>
      <c r="G47" s="1089"/>
      <c r="H47" s="1089"/>
      <c r="I47" s="1089"/>
      <c r="J47" s="273"/>
      <c r="K47" s="273"/>
      <c r="L47" s="40"/>
    </row>
    <row r="48" spans="2:12" ht="15.75" customHeight="1" x14ac:dyDescent="0.2">
      <c r="B48" s="1089"/>
      <c r="C48" s="1089"/>
      <c r="D48" s="1089"/>
      <c r="E48" s="1089"/>
      <c r="F48" s="1089"/>
      <c r="G48" s="1089"/>
      <c r="H48" s="1089"/>
      <c r="I48" s="1089"/>
      <c r="J48" s="273"/>
      <c r="K48" s="273"/>
      <c r="L48" s="273"/>
    </row>
    <row r="49" spans="2:10" ht="15.75" customHeight="1" x14ac:dyDescent="0.2">
      <c r="B49" s="1088"/>
      <c r="C49" s="1088"/>
      <c r="D49" s="1089"/>
      <c r="E49" s="1089"/>
      <c r="F49" s="1089"/>
      <c r="G49" s="1089"/>
      <c r="H49" s="1089"/>
      <c r="I49" s="1089"/>
      <c r="J49" s="1089"/>
    </row>
    <row r="50" spans="2:10" ht="12" customHeight="1" x14ac:dyDescent="0.2">
      <c r="B50" s="1088"/>
      <c r="C50" s="1088"/>
      <c r="D50" s="1089"/>
      <c r="E50" s="1089"/>
      <c r="F50" s="1089"/>
      <c r="G50" s="1089"/>
      <c r="H50" s="1089"/>
      <c r="I50" s="1089"/>
      <c r="J50" s="1089"/>
    </row>
    <row r="51" spans="2:10" ht="12" customHeight="1" x14ac:dyDescent="0.2">
      <c r="B51" s="1088"/>
      <c r="C51" s="1088"/>
      <c r="D51" s="1089"/>
      <c r="E51" s="1089"/>
      <c r="F51" s="1089"/>
      <c r="G51" s="1089"/>
      <c r="H51" s="1089"/>
      <c r="I51" s="1089"/>
      <c r="J51" s="1089"/>
    </row>
    <row r="52" spans="2:10" ht="12" customHeight="1" x14ac:dyDescent="0.2">
      <c r="B52" s="1088"/>
      <c r="C52" s="1088"/>
      <c r="D52" s="1089"/>
      <c r="E52" s="1089"/>
      <c r="F52" s="1089"/>
      <c r="G52" s="1089"/>
      <c r="H52" s="1089"/>
      <c r="I52" s="1089"/>
      <c r="J52" s="1089"/>
    </row>
    <row r="53" spans="2:10" ht="12" customHeight="1" x14ac:dyDescent="0.2">
      <c r="B53" s="1088"/>
      <c r="C53" s="1088"/>
      <c r="D53" s="1089"/>
      <c r="E53" s="1089"/>
      <c r="F53" s="1089"/>
      <c r="G53" s="1089"/>
      <c r="H53" s="1089"/>
      <c r="I53" s="1089"/>
      <c r="J53" s="1089"/>
    </row>
    <row r="54" spans="2:10" ht="5.0999999999999996" customHeight="1" x14ac:dyDescent="0.2">
      <c r="B54" s="1088"/>
      <c r="C54" s="1088"/>
      <c r="D54" s="1089"/>
      <c r="E54" s="1089"/>
      <c r="F54" s="1089"/>
      <c r="G54" s="1089"/>
      <c r="H54" s="1089"/>
      <c r="I54" s="1089"/>
      <c r="J54" s="1089"/>
    </row>
    <row r="55" spans="2:10" ht="12" customHeight="1" x14ac:dyDescent="0.2">
      <c r="B55" s="1088"/>
      <c r="C55" s="1088"/>
      <c r="D55" s="1089"/>
      <c r="E55" s="1089"/>
      <c r="F55" s="1089"/>
      <c r="G55" s="1089"/>
      <c r="H55" s="1089"/>
      <c r="I55" s="1089"/>
      <c r="J55" s="1089"/>
    </row>
    <row r="56" spans="2:10" ht="12" customHeight="1" x14ac:dyDescent="0.2">
      <c r="B56" s="1088"/>
      <c r="C56" s="1088"/>
      <c r="D56" s="1089"/>
      <c r="E56" s="1089"/>
      <c r="F56" s="1089"/>
      <c r="G56" s="1089"/>
      <c r="H56" s="1089"/>
      <c r="I56" s="1089"/>
      <c r="J56" s="1089"/>
    </row>
    <row r="57" spans="2:10" ht="12" customHeight="1" x14ac:dyDescent="0.2">
      <c r="B57" s="1088"/>
      <c r="C57" s="1088"/>
      <c r="D57" s="1089"/>
      <c r="E57" s="1089"/>
      <c r="F57" s="1089"/>
      <c r="G57" s="1089"/>
      <c r="H57" s="1089"/>
      <c r="I57" s="1089"/>
      <c r="J57" s="1089"/>
    </row>
    <row r="58" spans="2:10" ht="12" customHeight="1" x14ac:dyDescent="0.2">
      <c r="B58" s="1088"/>
      <c r="C58" s="1088"/>
      <c r="D58" s="1089"/>
      <c r="E58" s="1089"/>
      <c r="F58" s="1089"/>
      <c r="G58" s="1089"/>
      <c r="H58" s="1089"/>
      <c r="I58" s="1089"/>
      <c r="J58" s="1089"/>
    </row>
    <row r="59" spans="2:10" ht="12" customHeight="1" x14ac:dyDescent="0.2">
      <c r="B59" s="456"/>
      <c r="C59" s="456"/>
      <c r="D59" s="457"/>
      <c r="E59" s="457"/>
      <c r="F59" s="457"/>
      <c r="G59" s="457"/>
      <c r="H59" s="457"/>
      <c r="I59" s="457"/>
      <c r="J59" s="457"/>
    </row>
    <row r="60" spans="2:10" ht="12" customHeight="1" x14ac:dyDescent="0.2">
      <c r="B60" s="456"/>
      <c r="C60" s="456"/>
      <c r="D60" s="457"/>
      <c r="E60" s="457"/>
      <c r="F60" s="457"/>
      <c r="G60" s="457"/>
      <c r="H60" s="457"/>
      <c r="I60" s="457"/>
      <c r="J60" s="457"/>
    </row>
    <row r="61" spans="2:10" ht="5.0999999999999996" customHeight="1" x14ac:dyDescent="0.2">
      <c r="B61" s="456"/>
      <c r="C61" s="456"/>
      <c r="D61" s="457"/>
      <c r="E61" s="457"/>
      <c r="F61" s="457"/>
      <c r="G61" s="457"/>
      <c r="H61" s="457"/>
      <c r="I61" s="457"/>
      <c r="J61" s="457"/>
    </row>
    <row r="65" spans="1:12" ht="14.1" customHeight="1" x14ac:dyDescent="0.2">
      <c r="B65" s="456"/>
      <c r="C65" s="273"/>
      <c r="D65" s="273"/>
      <c r="E65" s="273"/>
      <c r="F65" s="273"/>
      <c r="G65" s="273"/>
      <c r="H65" s="273"/>
      <c r="I65" s="273"/>
      <c r="J65" s="273"/>
      <c r="K65" s="273"/>
      <c r="L65" s="273"/>
    </row>
    <row r="66" spans="1:12" ht="5.0999999999999996" customHeight="1" x14ac:dyDescent="0.2">
      <c r="B66" s="456"/>
      <c r="C66" s="456"/>
      <c r="D66" s="457"/>
      <c r="E66" s="457"/>
      <c r="F66" s="457"/>
      <c r="G66" s="457"/>
      <c r="H66" s="457"/>
      <c r="I66" s="457"/>
      <c r="J66" s="457"/>
    </row>
    <row r="67" spans="1:12" ht="12" customHeight="1" x14ac:dyDescent="0.2">
      <c r="B67" s="456"/>
      <c r="C67" s="456"/>
      <c r="D67" s="457"/>
      <c r="E67" s="457"/>
      <c r="F67" s="457"/>
      <c r="G67" s="457"/>
      <c r="H67" s="457"/>
      <c r="I67" s="457"/>
      <c r="J67" s="457"/>
    </row>
    <row r="68" spans="1:12" x14ac:dyDescent="0.2">
      <c r="B68" s="456"/>
      <c r="C68" s="456"/>
      <c r="D68" s="457"/>
      <c r="E68" s="457"/>
      <c r="F68" s="457"/>
      <c r="G68" s="457"/>
      <c r="H68" s="457"/>
      <c r="I68" s="457"/>
      <c r="J68" s="457"/>
    </row>
    <row r="69" spans="1:12" x14ac:dyDescent="0.2">
      <c r="B69" s="456"/>
      <c r="C69" s="456"/>
      <c r="D69" s="457"/>
      <c r="E69" s="457"/>
      <c r="F69" s="457"/>
      <c r="G69" s="457"/>
      <c r="H69" s="457"/>
      <c r="I69" s="457"/>
      <c r="J69" s="457"/>
    </row>
    <row r="70" spans="1:12" ht="16.5" customHeight="1" x14ac:dyDescent="0.2">
      <c r="B70" s="456"/>
      <c r="C70" s="456"/>
      <c r="D70" s="457"/>
      <c r="E70" s="457"/>
      <c r="F70" s="457"/>
      <c r="G70" s="457"/>
      <c r="H70" s="457"/>
      <c r="I70" s="457"/>
      <c r="J70" s="457"/>
    </row>
    <row r="71" spans="1:12" ht="5.0999999999999996" customHeight="1" x14ac:dyDescent="0.2">
      <c r="B71" s="456"/>
      <c r="C71" s="456"/>
      <c r="D71" s="457"/>
      <c r="E71" s="457"/>
      <c r="F71" s="457"/>
      <c r="G71" s="457"/>
      <c r="H71" s="457"/>
      <c r="I71" s="457"/>
      <c r="J71" s="457"/>
    </row>
    <row r="72" spans="1:12" x14ac:dyDescent="0.2">
      <c r="B72" s="456"/>
      <c r="C72" s="456"/>
      <c r="D72" s="457"/>
      <c r="E72" s="457"/>
      <c r="F72" s="457"/>
      <c r="G72" s="457"/>
      <c r="H72" s="457"/>
      <c r="I72" s="457"/>
      <c r="J72" s="457"/>
    </row>
    <row r="73" spans="1:12" x14ac:dyDescent="0.2">
      <c r="B73" s="456"/>
      <c r="C73" s="456"/>
      <c r="D73" s="457"/>
      <c r="E73" s="457"/>
      <c r="F73" s="457"/>
      <c r="G73" s="457"/>
      <c r="H73" s="457"/>
      <c r="I73" s="457"/>
      <c r="J73" s="457"/>
    </row>
    <row r="74" spans="1:12" x14ac:dyDescent="0.2">
      <c r="B74" s="456"/>
      <c r="C74" s="456"/>
      <c r="D74" s="457"/>
      <c r="E74" s="457"/>
      <c r="F74" s="457"/>
      <c r="G74" s="457"/>
      <c r="H74" s="457"/>
      <c r="I74" s="457"/>
      <c r="J74" s="457"/>
    </row>
    <row r="75" spans="1:12" ht="16.5" customHeight="1" x14ac:dyDescent="0.2">
      <c r="B75" s="456"/>
      <c r="C75" s="456"/>
      <c r="D75" s="457"/>
      <c r="E75" s="457"/>
      <c r="F75" s="457"/>
      <c r="G75" s="457"/>
      <c r="H75" s="457"/>
      <c r="I75" s="457"/>
      <c r="J75" s="457"/>
    </row>
    <row r="76" spans="1:12" ht="11.1" customHeight="1" x14ac:dyDescent="0.2">
      <c r="B76" s="456"/>
      <c r="C76" s="456"/>
      <c r="D76" s="457"/>
      <c r="E76" s="457"/>
      <c r="F76" s="457"/>
      <c r="G76" s="457"/>
      <c r="H76" s="457"/>
      <c r="I76" s="457"/>
      <c r="J76" s="457"/>
    </row>
    <row r="77" spans="1:12" x14ac:dyDescent="0.2">
      <c r="A77" s="61" t="str">
        <f>AgyIdx</f>
        <v>01</v>
      </c>
      <c r="B77" s="456"/>
      <c r="C77" s="456"/>
      <c r="D77" s="457"/>
      <c r="E77" s="457"/>
      <c r="F77" s="457"/>
      <c r="G77" s="457"/>
      <c r="H77" s="457"/>
      <c r="I77" s="457"/>
      <c r="J77" s="457"/>
    </row>
    <row r="78" spans="1:12" ht="15" x14ac:dyDescent="0.2">
      <c r="A78" s="443" t="str">
        <f ca="1">MID(CELL("filename",A1),FIND("]",CELL("filename",A1))+1,256)</f>
        <v>110</v>
      </c>
      <c r="B78" s="456" t="str">
        <f t="shared" ref="B78:B87" ca="1" si="1">IF(ISNA(INDEX(ErrorTable,MATCH($A$78&amp;$A79&amp;FALSE,ErrorKey,0),6)),"",INDEX(ErrorTable,MATCH($A$78&amp;$A79&amp;FALSE,ErrorKey,0),6))</f>
        <v/>
      </c>
      <c r="C78" s="456"/>
      <c r="D78" s="457"/>
      <c r="E78" s="457"/>
      <c r="F78" s="457"/>
      <c r="G78" s="457"/>
      <c r="H78" s="457"/>
      <c r="I78" s="457"/>
      <c r="J78" s="457"/>
    </row>
    <row r="79" spans="1:12" ht="15" x14ac:dyDescent="0.2">
      <c r="A79" s="443" t="s">
        <v>446</v>
      </c>
      <c r="B79" s="456" t="str">
        <f t="shared" ca="1" si="1"/>
        <v/>
      </c>
      <c r="C79" s="456"/>
      <c r="D79" s="457"/>
      <c r="E79" s="457"/>
      <c r="F79" s="457"/>
      <c r="G79" s="457"/>
      <c r="H79" s="457"/>
      <c r="I79" s="457"/>
      <c r="J79" s="457"/>
    </row>
    <row r="80" spans="1:12" ht="15" x14ac:dyDescent="0.2">
      <c r="A80" s="443" t="s">
        <v>447</v>
      </c>
      <c r="B80" s="456" t="str">
        <f t="shared" ca="1" si="1"/>
        <v/>
      </c>
      <c r="C80" s="456"/>
      <c r="D80" s="457"/>
      <c r="E80" s="457"/>
      <c r="F80" s="457"/>
      <c r="G80" s="457"/>
      <c r="H80" s="457"/>
      <c r="I80" s="457"/>
      <c r="J80" s="457"/>
    </row>
    <row r="81" spans="1:10" ht="15" x14ac:dyDescent="0.2">
      <c r="A81" s="443" t="s">
        <v>448</v>
      </c>
      <c r="B81" s="443" t="str">
        <f t="shared" ca="1" si="1"/>
        <v/>
      </c>
      <c r="C81" s="456"/>
      <c r="D81" s="457"/>
      <c r="E81" s="457"/>
      <c r="F81" s="457"/>
      <c r="G81" s="457"/>
      <c r="H81" s="457"/>
      <c r="I81" s="457"/>
      <c r="J81" s="457"/>
    </row>
    <row r="82" spans="1:10" ht="15" x14ac:dyDescent="0.2">
      <c r="A82" s="443" t="s">
        <v>450</v>
      </c>
      <c r="B82" s="443" t="str">
        <f t="shared" ca="1" si="1"/>
        <v/>
      </c>
      <c r="C82" s="443"/>
    </row>
    <row r="83" spans="1:10" ht="15" x14ac:dyDescent="0.2">
      <c r="A83" s="443" t="s">
        <v>451</v>
      </c>
      <c r="B83" s="443" t="str">
        <f t="shared" ca="1" si="1"/>
        <v/>
      </c>
      <c r="C83" s="443"/>
    </row>
    <row r="84" spans="1:10" ht="15" x14ac:dyDescent="0.2">
      <c r="A84" s="443" t="s">
        <v>452</v>
      </c>
      <c r="B84" s="443" t="str">
        <f t="shared" ca="1" si="1"/>
        <v/>
      </c>
      <c r="C84" s="443"/>
    </row>
    <row r="85" spans="1:10" ht="15" x14ac:dyDescent="0.2">
      <c r="A85" s="443" t="s">
        <v>453</v>
      </c>
      <c r="B85" s="443" t="str">
        <f t="shared" ca="1" si="1"/>
        <v/>
      </c>
      <c r="C85" s="443"/>
    </row>
    <row r="86" spans="1:10" ht="15" x14ac:dyDescent="0.2">
      <c r="A86" s="443" t="s">
        <v>454</v>
      </c>
      <c r="B86" s="443" t="str">
        <f t="shared" ca="1" si="1"/>
        <v/>
      </c>
      <c r="C86" s="443"/>
    </row>
    <row r="87" spans="1:10" ht="15" x14ac:dyDescent="0.2">
      <c r="A87" s="443" t="s">
        <v>455</v>
      </c>
      <c r="B87" s="443" t="str">
        <f t="shared" ca="1" si="1"/>
        <v/>
      </c>
      <c r="C87" s="443"/>
    </row>
    <row r="88" spans="1:10" ht="15" x14ac:dyDescent="0.2">
      <c r="A88" s="443" t="s">
        <v>456</v>
      </c>
      <c r="C88" s="443"/>
    </row>
  </sheetData>
  <sheetProtection algorithmName="SHA-512" hashValue="2xOllbiVhN5u72PmwOHkzvnYtAFLParMj7KmNRQdf2VRI480iBtyonUtlsEWEN0TcyNwx21OaTCmiIBjeyXITg==" saltValue="/VwwR/YEUxMW6cywwuZZeQ==" spinCount="100000" sheet="1" objects="1" scenarios="1" autoFilter="0"/>
  <mergeCells count="15">
    <mergeCell ref="D29:J29"/>
    <mergeCell ref="D31:J31"/>
    <mergeCell ref="D32:J32"/>
    <mergeCell ref="D17:J17"/>
    <mergeCell ref="D18:J18"/>
    <mergeCell ref="D19:J19"/>
    <mergeCell ref="D20:J20"/>
    <mergeCell ref="D25:J25"/>
    <mergeCell ref="D27:J27"/>
    <mergeCell ref="D28:J28"/>
    <mergeCell ref="B7:D7"/>
    <mergeCell ref="B1:J1"/>
    <mergeCell ref="K1:K3"/>
    <mergeCell ref="B2:J2"/>
    <mergeCell ref="B3:J3"/>
  </mergeCells>
  <conditionalFormatting sqref="K1:K3">
    <cfRule type="cellIs" dxfId="173" priority="2" stopIfTrue="1" operator="equal">
      <formula>"na"</formula>
    </cfRule>
  </conditionalFormatting>
  <conditionalFormatting sqref="F37">
    <cfRule type="containsText" dxfId="172" priority="1" stopIfTrue="1" operator="containsText" text="Answer Missing">
      <formula>NOT(ISERROR(SEARCH("Answer Missing",F37)))</formula>
    </cfRule>
  </conditionalFormatting>
  <hyperlinks>
    <hyperlink ref="B1:J1" location="Index!A1" display="Index!A1" xr:uid="{00000000-0004-0000-0500-000000000000}"/>
  </hyperlinks>
  <pageMargins left="0.5" right="0.5" top="0.5" bottom="0.5" header="0.43" footer="0.25"/>
  <pageSetup orientation="portrait" r:id="rId1"/>
  <headerFooter alignWithMargins="0">
    <oddFooter>&amp;R&amp;A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pageSetUpPr fitToPage="1"/>
  </sheetPr>
  <dimension ref="A1:S71"/>
  <sheetViews>
    <sheetView showGridLines="0" topLeftCell="C1" zoomScaleNormal="100" workbookViewId="0">
      <selection activeCell="C4" sqref="C4:Q4"/>
    </sheetView>
  </sheetViews>
  <sheetFormatPr defaultColWidth="9.42578125" defaultRowHeight="12.75" x14ac:dyDescent="0.2"/>
  <cols>
    <col min="1" max="1" width="0" style="1130" hidden="1" customWidth="1"/>
    <col min="2" max="2" width="9.42578125" style="11" hidden="1" customWidth="1"/>
    <col min="3" max="3" width="12.5703125" style="11" customWidth="1"/>
    <col min="4" max="4" width="4.5703125" style="11" customWidth="1"/>
    <col min="5" max="5" width="8.42578125" style="11" customWidth="1"/>
    <col min="6" max="6" width="1.5703125" style="11" customWidth="1"/>
    <col min="7" max="7" width="15.42578125" style="11" customWidth="1"/>
    <col min="8" max="8" width="1.5703125" style="11" customWidth="1"/>
    <col min="9" max="9" width="15.42578125" style="11" customWidth="1"/>
    <col min="10" max="10" width="1.5703125" style="11" customWidth="1"/>
    <col min="11" max="11" width="15.42578125" style="11" customWidth="1"/>
    <col min="12" max="12" width="1.5703125" style="11" customWidth="1"/>
    <col min="13" max="13" width="15.42578125" style="11" customWidth="1"/>
    <col min="14" max="14" width="1.5703125" style="11" customWidth="1"/>
    <col min="15" max="15" width="15.42578125" style="11" customWidth="1"/>
    <col min="16" max="16" width="1.5703125" style="11" customWidth="1"/>
    <col min="17" max="17" width="15.42578125" style="11" customWidth="1"/>
    <col min="18" max="18" width="4.5703125" style="11" customWidth="1"/>
    <col min="19" max="19" width="7" style="11" hidden="1" customWidth="1"/>
    <col min="20" max="16384" width="9.42578125" style="11"/>
  </cols>
  <sheetData>
    <row r="1" spans="1:18" s="145" customFormat="1" ht="15" customHeight="1" x14ac:dyDescent="0.25">
      <c r="A1" s="1130" t="str">
        <f t="shared" ref="A1:A36" si="0">AgyIdx</f>
        <v>01</v>
      </c>
      <c r="C1" s="2449" t="str">
        <f>+Index!$A$1</f>
        <v xml:space="preserve">                                                               Office of the State Controller                                                                </v>
      </c>
      <c r="D1" s="2449"/>
      <c r="E1" s="2449"/>
      <c r="F1" s="2449"/>
      <c r="G1" s="2449"/>
      <c r="H1" s="2449"/>
      <c r="I1" s="2449"/>
      <c r="J1" s="2449"/>
      <c r="K1" s="2449"/>
      <c r="L1" s="2449"/>
      <c r="M1" s="2449"/>
      <c r="N1" s="2449"/>
      <c r="O1" s="2449"/>
      <c r="P1" s="2449"/>
      <c r="Q1" s="2449"/>
      <c r="R1" s="2510" t="str">
        <f>IF(Index!$B$87="na","NA","")</f>
        <v/>
      </c>
    </row>
    <row r="2" spans="1:18" s="145" customFormat="1" ht="15" customHeight="1" x14ac:dyDescent="0.25">
      <c r="A2" s="1130" t="str">
        <f t="shared" si="0"/>
        <v>01</v>
      </c>
      <c r="C2" s="2905" t="str">
        <f>+Index!$A$2</f>
        <v>2022 ACFR Worksheets</v>
      </c>
      <c r="D2" s="2905"/>
      <c r="E2" s="2905"/>
      <c r="F2" s="2905"/>
      <c r="G2" s="2905"/>
      <c r="H2" s="2905"/>
      <c r="I2" s="2905"/>
      <c r="J2" s="2905"/>
      <c r="K2" s="2905"/>
      <c r="L2" s="2905"/>
      <c r="M2" s="2905"/>
      <c r="N2" s="2905"/>
      <c r="O2" s="2905"/>
      <c r="P2" s="2905"/>
      <c r="Q2" s="2905"/>
      <c r="R2" s="2510"/>
    </row>
    <row r="3" spans="1:18" s="145" customFormat="1" ht="15" customHeight="1" x14ac:dyDescent="0.25">
      <c r="A3" s="1130" t="str">
        <f t="shared" si="0"/>
        <v>01</v>
      </c>
      <c r="C3" s="2905" t="s">
        <v>349</v>
      </c>
      <c r="D3" s="2905"/>
      <c r="E3" s="2905"/>
      <c r="F3" s="2905"/>
      <c r="G3" s="2905"/>
      <c r="H3" s="2905"/>
      <c r="I3" s="2905"/>
      <c r="J3" s="2905"/>
      <c r="K3" s="2905"/>
      <c r="L3" s="2905"/>
      <c r="M3" s="2905"/>
      <c r="N3" s="2905"/>
      <c r="O3" s="2905"/>
      <c r="P3" s="2905"/>
      <c r="Q3" s="2905"/>
      <c r="R3" s="2510"/>
    </row>
    <row r="4" spans="1:18" s="145" customFormat="1" ht="15" customHeight="1" x14ac:dyDescent="0.25">
      <c r="A4" s="1130" t="str">
        <f t="shared" si="0"/>
        <v>01</v>
      </c>
      <c r="C4" s="2905" t="s">
        <v>3596</v>
      </c>
      <c r="D4" s="2905"/>
      <c r="E4" s="2905"/>
      <c r="F4" s="2905"/>
      <c r="G4" s="2905"/>
      <c r="H4" s="2905"/>
      <c r="I4" s="2905"/>
      <c r="J4" s="2905"/>
      <c r="K4" s="2905"/>
      <c r="L4" s="2905"/>
      <c r="M4" s="2905"/>
      <c r="N4" s="2905"/>
      <c r="O4" s="2905"/>
      <c r="P4" s="2905"/>
      <c r="Q4" s="2905"/>
    </row>
    <row r="5" spans="1:18" s="146" customFormat="1" ht="15" customHeight="1" x14ac:dyDescent="0.2">
      <c r="A5" s="1130" t="str">
        <f t="shared" si="0"/>
        <v>01</v>
      </c>
      <c r="M5" s="430"/>
    </row>
    <row r="6" spans="1:18" s="146" customFormat="1" ht="15" customHeight="1" x14ac:dyDescent="0.2">
      <c r="A6" s="1130" t="str">
        <f t="shared" si="0"/>
        <v>01</v>
      </c>
      <c r="C6" s="365" t="s">
        <v>327</v>
      </c>
      <c r="E6" s="2904" t="str">
        <f>+Index!$E$10</f>
        <v>01</v>
      </c>
      <c r="F6" s="2904"/>
      <c r="G6" s="2904"/>
      <c r="J6" s="365"/>
      <c r="K6" s="365" t="s">
        <v>687</v>
      </c>
      <c r="L6" s="2901" t="str">
        <f>+Index!$E$11</f>
        <v>North Carolina General Assembly</v>
      </c>
      <c r="M6" s="2901"/>
      <c r="N6" s="2901"/>
      <c r="O6" s="2901"/>
      <c r="P6" s="2901"/>
      <c r="Q6" s="2901"/>
    </row>
    <row r="7" spans="1:18" s="146" customFormat="1" ht="15" customHeight="1" x14ac:dyDescent="0.2">
      <c r="A7" s="1130" t="str">
        <f t="shared" si="0"/>
        <v>01</v>
      </c>
      <c r="E7" s="258"/>
      <c r="F7" s="258"/>
      <c r="G7" s="258"/>
      <c r="J7" s="365"/>
      <c r="K7" s="365" t="s">
        <v>972</v>
      </c>
      <c r="L7" s="2902" t="str">
        <f>CONCATENATE(Index!$E$12," ",Index!$E$14)</f>
        <v xml:space="preserve"> </v>
      </c>
      <c r="M7" s="2902"/>
      <c r="N7" s="2902"/>
      <c r="O7" s="2902"/>
      <c r="P7" s="2902"/>
      <c r="Q7" s="2902"/>
    </row>
    <row r="8" spans="1:18" s="146" customFormat="1" ht="15" customHeight="1" x14ac:dyDescent="0.2">
      <c r="A8" s="1130" t="str">
        <f t="shared" si="0"/>
        <v>01</v>
      </c>
      <c r="C8" s="146" t="s">
        <v>477</v>
      </c>
      <c r="E8" s="2904" t="s">
        <v>971</v>
      </c>
      <c r="F8" s="2904"/>
      <c r="G8" s="2904"/>
      <c r="J8" s="365"/>
      <c r="K8" s="365" t="s">
        <v>348</v>
      </c>
      <c r="L8" s="2903">
        <f>+Index!$E$13</f>
        <v>0</v>
      </c>
      <c r="M8" s="2903"/>
      <c r="N8" s="2903"/>
      <c r="O8" s="2903"/>
      <c r="P8" s="2903"/>
      <c r="Q8" s="2903"/>
    </row>
    <row r="9" spans="1:18" s="146" customFormat="1" ht="12" customHeight="1" thickBot="1" x14ac:dyDescent="0.25">
      <c r="A9" s="1130" t="str">
        <f t="shared" si="0"/>
        <v>01</v>
      </c>
      <c r="C9" s="282"/>
      <c r="D9" s="282"/>
      <c r="E9" s="282"/>
      <c r="F9" s="282"/>
      <c r="G9" s="282"/>
      <c r="H9" s="282"/>
      <c r="I9" s="282"/>
      <c r="J9" s="282"/>
      <c r="K9" s="282"/>
      <c r="L9" s="282"/>
      <c r="M9" s="282"/>
      <c r="N9" s="282"/>
      <c r="O9" s="282"/>
      <c r="P9" s="282"/>
      <c r="Q9" s="282"/>
    </row>
    <row r="10" spans="1:18" s="146" customFormat="1" ht="12" customHeight="1" x14ac:dyDescent="0.2">
      <c r="A10" s="1130" t="str">
        <f t="shared" si="0"/>
        <v>01</v>
      </c>
    </row>
    <row r="11" spans="1:18" s="146" customFormat="1" ht="12.75" customHeight="1" x14ac:dyDescent="0.25">
      <c r="A11" s="1130" t="str">
        <f t="shared" si="0"/>
        <v>01</v>
      </c>
      <c r="C11" s="283"/>
      <c r="D11" s="283"/>
      <c r="E11" s="283"/>
      <c r="F11" s="283"/>
      <c r="G11" s="284"/>
      <c r="H11" s="283"/>
      <c r="I11" s="2909" t="s">
        <v>177</v>
      </c>
      <c r="J11" s="2909"/>
      <c r="K11" s="2909"/>
      <c r="L11" s="2909"/>
      <c r="M11" s="2909"/>
      <c r="N11" s="286"/>
      <c r="O11" s="286"/>
      <c r="P11" s="286"/>
      <c r="Q11" s="286"/>
    </row>
    <row r="12" spans="1:18" s="146" customFormat="1" ht="12.75" customHeight="1" x14ac:dyDescent="0.25">
      <c r="A12" s="1130" t="str">
        <f t="shared" si="0"/>
        <v>01</v>
      </c>
      <c r="C12" s="283"/>
      <c r="D12" s="283"/>
      <c r="E12" s="283"/>
      <c r="F12" s="283"/>
      <c r="G12" s="287"/>
      <c r="H12" s="283"/>
      <c r="I12" s="367"/>
      <c r="J12" s="294"/>
      <c r="K12" s="368"/>
      <c r="L12" s="370"/>
      <c r="M12" s="288" t="s">
        <v>175</v>
      </c>
      <c r="N12" s="294"/>
      <c r="O12" s="289"/>
      <c r="P12" s="283"/>
      <c r="Q12" s="283"/>
    </row>
    <row r="13" spans="1:18" s="146" customFormat="1" ht="12.75" customHeight="1" x14ac:dyDescent="0.25">
      <c r="A13" s="1130" t="str">
        <f t="shared" si="0"/>
        <v>01</v>
      </c>
      <c r="C13" s="283"/>
      <c r="D13" s="283"/>
      <c r="E13" s="283"/>
      <c r="F13" s="283"/>
      <c r="G13" s="288" t="s">
        <v>84</v>
      </c>
      <c r="H13" s="283"/>
      <c r="I13" s="288"/>
      <c r="J13" s="294"/>
      <c r="K13" s="369"/>
      <c r="L13" s="370"/>
      <c r="M13" s="288" t="s">
        <v>619</v>
      </c>
      <c r="N13" s="294"/>
      <c r="O13" s="289"/>
      <c r="P13" s="283"/>
      <c r="Q13" s="283"/>
    </row>
    <row r="14" spans="1:18" s="146" customFormat="1" ht="12.75" customHeight="1" x14ac:dyDescent="0.25">
      <c r="A14" s="1130" t="str">
        <f t="shared" si="0"/>
        <v>01</v>
      </c>
      <c r="C14" s="2910"/>
      <c r="D14" s="2638"/>
      <c r="E14" s="2638"/>
      <c r="F14" s="283"/>
      <c r="G14" s="288" t="s">
        <v>688</v>
      </c>
      <c r="H14" s="283"/>
      <c r="I14" s="288" t="s">
        <v>620</v>
      </c>
      <c r="J14" s="294"/>
      <c r="K14" s="288" t="s">
        <v>175</v>
      </c>
      <c r="L14" s="371"/>
      <c r="M14" s="288" t="s">
        <v>102</v>
      </c>
      <c r="N14" s="294"/>
      <c r="O14" s="288" t="s">
        <v>103</v>
      </c>
      <c r="P14" s="283"/>
      <c r="Q14" s="283"/>
    </row>
    <row r="15" spans="1:18" s="146" customFormat="1" ht="12.75" customHeight="1" x14ac:dyDescent="0.25">
      <c r="A15" s="1130" t="str">
        <f t="shared" si="0"/>
        <v>01</v>
      </c>
      <c r="C15" s="2909" t="s">
        <v>9</v>
      </c>
      <c r="D15" s="2563"/>
      <c r="E15" s="2563"/>
      <c r="F15" s="283"/>
      <c r="G15" s="285" t="s">
        <v>1159</v>
      </c>
      <c r="H15" s="283"/>
      <c r="I15" s="285" t="s">
        <v>10</v>
      </c>
      <c r="J15" s="294"/>
      <c r="K15" s="285" t="s">
        <v>11</v>
      </c>
      <c r="L15" s="370"/>
      <c r="M15" s="285" t="s">
        <v>596</v>
      </c>
      <c r="N15" s="294"/>
      <c r="O15" s="285" t="s">
        <v>12</v>
      </c>
      <c r="P15" s="283"/>
      <c r="Q15" s="366" t="s">
        <v>84</v>
      </c>
    </row>
    <row r="16" spans="1:18" s="147" customFormat="1" ht="12" customHeight="1" x14ac:dyDescent="0.2">
      <c r="A16" s="1130" t="str">
        <f t="shared" si="0"/>
        <v>01</v>
      </c>
      <c r="D16" s="291"/>
      <c r="E16" s="291"/>
      <c r="F16" s="291"/>
      <c r="G16" s="1131" t="s">
        <v>118</v>
      </c>
      <c r="H16" s="1132"/>
      <c r="I16" s="1131" t="s">
        <v>119</v>
      </c>
      <c r="J16" s="1132"/>
      <c r="K16" s="1131" t="s">
        <v>996</v>
      </c>
      <c r="L16" s="1132"/>
      <c r="M16" s="1131" t="s">
        <v>997</v>
      </c>
      <c r="N16" s="1132"/>
      <c r="O16" s="1131" t="s">
        <v>998</v>
      </c>
      <c r="P16" s="1132"/>
      <c r="Q16" s="1131" t="s">
        <v>999</v>
      </c>
    </row>
    <row r="17" spans="1:19" s="147" customFormat="1" ht="13.5" customHeight="1" x14ac:dyDescent="0.2">
      <c r="A17" s="1130" t="str">
        <f t="shared" si="0"/>
        <v>01</v>
      </c>
      <c r="C17" s="293" t="s">
        <v>1190</v>
      </c>
      <c r="D17" s="291"/>
      <c r="E17" s="291"/>
      <c r="F17" s="291"/>
      <c r="G17" s="292"/>
      <c r="H17" s="291"/>
      <c r="I17" s="292"/>
      <c r="J17" s="291"/>
      <c r="K17" s="292"/>
      <c r="L17" s="291"/>
      <c r="M17" s="292"/>
      <c r="N17" s="291"/>
      <c r="O17" s="292"/>
      <c r="P17" s="291"/>
      <c r="Q17" s="292"/>
    </row>
    <row r="18" spans="1:19" s="146" customFormat="1" ht="12" customHeight="1" x14ac:dyDescent="0.25">
      <c r="A18" s="1130" t="str">
        <f t="shared" si="0"/>
        <v>01</v>
      </c>
      <c r="C18" s="294" t="s">
        <v>3716</v>
      </c>
      <c r="D18" s="283"/>
      <c r="E18" s="283"/>
      <c r="F18" s="283"/>
      <c r="G18" s="283"/>
      <c r="H18" s="283"/>
      <c r="I18" s="283"/>
      <c r="J18" s="283"/>
      <c r="K18" s="283"/>
      <c r="L18" s="283"/>
      <c r="M18" s="283"/>
      <c r="N18" s="283"/>
      <c r="O18" s="283"/>
      <c r="P18" s="283"/>
      <c r="Q18" s="283"/>
      <c r="R18" s="283"/>
    </row>
    <row r="19" spans="1:19" s="146" customFormat="1" ht="12" customHeight="1" x14ac:dyDescent="0.2">
      <c r="A19" s="1130" t="str">
        <f t="shared" si="0"/>
        <v>01</v>
      </c>
      <c r="B19" s="146" t="s">
        <v>1568</v>
      </c>
      <c r="C19" s="2906"/>
      <c r="D19" s="2906"/>
      <c r="E19" s="2906"/>
      <c r="F19" s="283"/>
      <c r="G19" s="605"/>
      <c r="H19" s="373"/>
      <c r="I19" s="605"/>
      <c r="J19" s="373"/>
      <c r="K19" s="605"/>
      <c r="L19" s="373"/>
      <c r="M19" s="605"/>
      <c r="N19" s="373"/>
      <c r="O19" s="605"/>
      <c r="P19" s="373"/>
      <c r="Q19" s="372">
        <f>SUM(I19:P19)</f>
        <v>0</v>
      </c>
      <c r="R19" s="609" t="str">
        <f>IF(S19=FALSE,"*","")</f>
        <v/>
      </c>
      <c r="S19" s="610" t="b">
        <f t="shared" ref="S19:S29" si="1">+G19=Q19</f>
        <v>1</v>
      </c>
    </row>
    <row r="20" spans="1:19" s="146" customFormat="1" ht="12" customHeight="1" x14ac:dyDescent="0.2">
      <c r="A20" s="1130" t="str">
        <f t="shared" si="0"/>
        <v>01</v>
      </c>
      <c r="B20" s="146" t="s">
        <v>1569</v>
      </c>
      <c r="C20" s="2906"/>
      <c r="D20" s="2906"/>
      <c r="E20" s="2906"/>
      <c r="F20" s="283"/>
      <c r="G20" s="605"/>
      <c r="H20" s="373"/>
      <c r="I20" s="605"/>
      <c r="J20" s="373"/>
      <c r="K20" s="606"/>
      <c r="L20" s="373"/>
      <c r="M20" s="606"/>
      <c r="N20" s="373"/>
      <c r="O20" s="606"/>
      <c r="P20" s="373"/>
      <c r="Q20" s="372">
        <f t="shared" ref="Q20:Q34" si="2">SUM(I20:P20)</f>
        <v>0</v>
      </c>
      <c r="R20" s="609" t="str">
        <f t="shared" ref="R20:R34" si="3">IF(S20=FALSE,"*","")</f>
        <v/>
      </c>
      <c r="S20" s="610" t="b">
        <f t="shared" si="1"/>
        <v>1</v>
      </c>
    </row>
    <row r="21" spans="1:19" s="146" customFormat="1" ht="12" customHeight="1" x14ac:dyDescent="0.2">
      <c r="A21" s="1130" t="str">
        <f t="shared" si="0"/>
        <v>01</v>
      </c>
      <c r="B21" s="146" t="s">
        <v>1570</v>
      </c>
      <c r="C21" s="2906"/>
      <c r="D21" s="2906"/>
      <c r="E21" s="2906"/>
      <c r="F21" s="283"/>
      <c r="G21" s="606"/>
      <c r="H21" s="373"/>
      <c r="I21" s="606"/>
      <c r="J21" s="373"/>
      <c r="K21" s="606"/>
      <c r="L21" s="373"/>
      <c r="M21" s="606"/>
      <c r="N21" s="373"/>
      <c r="O21" s="606"/>
      <c r="P21" s="373"/>
      <c r="Q21" s="372">
        <f t="shared" si="2"/>
        <v>0</v>
      </c>
      <c r="R21" s="609" t="str">
        <f t="shared" si="3"/>
        <v/>
      </c>
      <c r="S21" s="610" t="b">
        <f t="shared" si="1"/>
        <v>1</v>
      </c>
    </row>
    <row r="22" spans="1:19" s="146" customFormat="1" ht="12" customHeight="1" x14ac:dyDescent="0.2">
      <c r="A22" s="1130" t="str">
        <f t="shared" si="0"/>
        <v>01</v>
      </c>
      <c r="B22" s="146" t="s">
        <v>1571</v>
      </c>
      <c r="C22" s="2907"/>
      <c r="D22" s="2907"/>
      <c r="E22" s="2907"/>
      <c r="F22" s="283"/>
      <c r="G22" s="605"/>
      <c r="H22" s="373"/>
      <c r="I22" s="606"/>
      <c r="J22" s="373"/>
      <c r="K22" s="606"/>
      <c r="L22" s="373"/>
      <c r="M22" s="606"/>
      <c r="N22" s="373"/>
      <c r="O22" s="606"/>
      <c r="P22" s="373"/>
      <c r="Q22" s="372">
        <f t="shared" si="2"/>
        <v>0</v>
      </c>
      <c r="R22" s="609" t="str">
        <f t="shared" si="3"/>
        <v/>
      </c>
      <c r="S22" s="610" t="b">
        <f t="shared" si="1"/>
        <v>1</v>
      </c>
    </row>
    <row r="23" spans="1:19" s="146" customFormat="1" ht="12" customHeight="1" x14ac:dyDescent="0.2">
      <c r="A23" s="1130" t="str">
        <f t="shared" si="0"/>
        <v>01</v>
      </c>
      <c r="B23" s="146" t="s">
        <v>1572</v>
      </c>
      <c r="C23" s="2906"/>
      <c r="D23" s="2906"/>
      <c r="E23" s="2906"/>
      <c r="F23" s="283"/>
      <c r="G23" s="605"/>
      <c r="H23" s="373"/>
      <c r="I23" s="605"/>
      <c r="J23" s="373"/>
      <c r="K23" s="606"/>
      <c r="L23" s="373"/>
      <c r="M23" s="606"/>
      <c r="N23" s="373"/>
      <c r="O23" s="606"/>
      <c r="P23" s="373"/>
      <c r="Q23" s="372">
        <f t="shared" si="2"/>
        <v>0</v>
      </c>
      <c r="R23" s="609" t="str">
        <f t="shared" si="3"/>
        <v/>
      </c>
      <c r="S23" s="610" t="b">
        <f t="shared" si="1"/>
        <v>1</v>
      </c>
    </row>
    <row r="24" spans="1:19" s="146" customFormat="1" ht="12" customHeight="1" x14ac:dyDescent="0.2">
      <c r="A24" s="1130" t="str">
        <f t="shared" si="0"/>
        <v>01</v>
      </c>
      <c r="B24" s="146" t="s">
        <v>1573</v>
      </c>
      <c r="C24" s="2906"/>
      <c r="D24" s="2906"/>
      <c r="E24" s="2906"/>
      <c r="F24" s="283"/>
      <c r="G24" s="606"/>
      <c r="H24" s="373"/>
      <c r="I24" s="605"/>
      <c r="J24" s="373"/>
      <c r="K24" s="606"/>
      <c r="L24" s="373"/>
      <c r="M24" s="606"/>
      <c r="N24" s="373"/>
      <c r="O24" s="606"/>
      <c r="P24" s="373"/>
      <c r="Q24" s="372">
        <f t="shared" ref="Q24:Q29" si="4">SUM(I24:P24)</f>
        <v>0</v>
      </c>
      <c r="R24" s="609" t="str">
        <f t="shared" si="3"/>
        <v/>
      </c>
      <c r="S24" s="610" t="b">
        <f t="shared" si="1"/>
        <v>1</v>
      </c>
    </row>
    <row r="25" spans="1:19" s="146" customFormat="1" ht="15" customHeight="1" x14ac:dyDescent="0.2">
      <c r="A25" s="1130" t="str">
        <f t="shared" si="0"/>
        <v>01</v>
      </c>
      <c r="B25" s="146" t="s">
        <v>1573</v>
      </c>
      <c r="C25" s="2906"/>
      <c r="D25" s="2906"/>
      <c r="E25" s="2906"/>
      <c r="F25" s="283"/>
      <c r="G25" s="606"/>
      <c r="H25" s="373"/>
      <c r="I25" s="605"/>
      <c r="J25" s="373"/>
      <c r="K25" s="606"/>
      <c r="L25" s="373"/>
      <c r="M25" s="606"/>
      <c r="N25" s="373"/>
      <c r="O25" s="606"/>
      <c r="P25" s="373"/>
      <c r="Q25" s="372">
        <f t="shared" si="4"/>
        <v>0</v>
      </c>
      <c r="R25" s="609" t="str">
        <f t="shared" si="3"/>
        <v/>
      </c>
      <c r="S25" s="610" t="b">
        <f t="shared" si="1"/>
        <v>1</v>
      </c>
    </row>
    <row r="26" spans="1:19" s="146" customFormat="1" ht="15" customHeight="1" x14ac:dyDescent="0.2">
      <c r="A26" s="1130" t="str">
        <f t="shared" si="0"/>
        <v>01</v>
      </c>
      <c r="C26" s="2906"/>
      <c r="D26" s="2906"/>
      <c r="E26" s="2906"/>
      <c r="F26" s="283"/>
      <c r="G26" s="605"/>
      <c r="H26" s="373"/>
      <c r="I26" s="605"/>
      <c r="J26" s="373"/>
      <c r="K26" s="605"/>
      <c r="L26" s="373"/>
      <c r="M26" s="605"/>
      <c r="N26" s="373"/>
      <c r="O26" s="605"/>
      <c r="P26" s="373"/>
      <c r="Q26" s="372">
        <f t="shared" si="4"/>
        <v>0</v>
      </c>
      <c r="R26" s="609" t="str">
        <f t="shared" si="3"/>
        <v/>
      </c>
      <c r="S26" s="610" t="b">
        <f t="shared" si="1"/>
        <v>1</v>
      </c>
    </row>
    <row r="27" spans="1:19" s="146" customFormat="1" ht="14.25" customHeight="1" x14ac:dyDescent="0.2">
      <c r="A27" s="1130" t="str">
        <f t="shared" si="0"/>
        <v>01</v>
      </c>
      <c r="C27" s="2906"/>
      <c r="D27" s="2906"/>
      <c r="E27" s="2906"/>
      <c r="F27" s="283"/>
      <c r="G27" s="605"/>
      <c r="H27" s="373"/>
      <c r="I27" s="606"/>
      <c r="J27" s="373"/>
      <c r="K27" s="606"/>
      <c r="L27" s="373"/>
      <c r="M27" s="606"/>
      <c r="N27" s="373"/>
      <c r="O27" s="606"/>
      <c r="P27" s="373"/>
      <c r="Q27" s="372">
        <f t="shared" si="4"/>
        <v>0</v>
      </c>
      <c r="R27" s="609" t="str">
        <f t="shared" si="3"/>
        <v/>
      </c>
      <c r="S27" s="610" t="b">
        <f t="shared" si="1"/>
        <v>1</v>
      </c>
    </row>
    <row r="28" spans="1:19" s="146" customFormat="1" ht="14.25" customHeight="1" x14ac:dyDescent="0.2">
      <c r="A28" s="1130" t="str">
        <f t="shared" si="0"/>
        <v>01</v>
      </c>
      <c r="C28" s="2906"/>
      <c r="D28" s="2906"/>
      <c r="E28" s="2906"/>
      <c r="F28" s="283"/>
      <c r="G28" s="605"/>
      <c r="H28" s="373"/>
      <c r="I28" s="606"/>
      <c r="J28" s="373"/>
      <c r="K28" s="606"/>
      <c r="L28" s="373"/>
      <c r="M28" s="606"/>
      <c r="N28" s="373"/>
      <c r="O28" s="606"/>
      <c r="P28" s="373"/>
      <c r="Q28" s="372">
        <f t="shared" si="4"/>
        <v>0</v>
      </c>
      <c r="R28" s="609" t="str">
        <f t="shared" si="3"/>
        <v/>
      </c>
      <c r="S28" s="610" t="b">
        <f t="shared" si="1"/>
        <v>1</v>
      </c>
    </row>
    <row r="29" spans="1:19" s="146" customFormat="1" ht="14.25" customHeight="1" x14ac:dyDescent="0.2">
      <c r="A29" s="1130" t="str">
        <f t="shared" si="0"/>
        <v>01</v>
      </c>
      <c r="C29" s="2906"/>
      <c r="D29" s="2906"/>
      <c r="E29" s="2906"/>
      <c r="F29" s="283"/>
      <c r="G29" s="605"/>
      <c r="H29" s="373"/>
      <c r="I29" s="606"/>
      <c r="J29" s="373"/>
      <c r="K29" s="606"/>
      <c r="L29" s="373"/>
      <c r="M29" s="606"/>
      <c r="N29" s="373"/>
      <c r="O29" s="606"/>
      <c r="P29" s="373"/>
      <c r="Q29" s="372">
        <f t="shared" si="4"/>
        <v>0</v>
      </c>
      <c r="R29" s="609" t="str">
        <f t="shared" si="3"/>
        <v/>
      </c>
      <c r="S29" s="610" t="b">
        <f t="shared" si="1"/>
        <v>1</v>
      </c>
    </row>
    <row r="30" spans="1:19" s="146" customFormat="1" ht="15" customHeight="1" x14ac:dyDescent="0.25">
      <c r="A30" s="1130" t="str">
        <f t="shared" si="0"/>
        <v>01</v>
      </c>
      <c r="B30" s="146" t="s">
        <v>1617</v>
      </c>
      <c r="C30" s="294" t="s">
        <v>511</v>
      </c>
      <c r="D30" s="283"/>
      <c r="E30" s="283"/>
      <c r="F30" s="283"/>
      <c r="G30" s="373"/>
      <c r="H30" s="373"/>
      <c r="I30" s="373"/>
      <c r="J30" s="373"/>
      <c r="K30" s="373"/>
      <c r="L30" s="373"/>
      <c r="M30" s="373"/>
      <c r="N30" s="373"/>
      <c r="O30" s="373"/>
      <c r="P30" s="373"/>
      <c r="Q30" s="373"/>
      <c r="R30" s="612"/>
      <c r="S30" s="610"/>
    </row>
    <row r="31" spans="1:19" s="146" customFormat="1" ht="12" customHeight="1" x14ac:dyDescent="0.2">
      <c r="A31" s="1130" t="str">
        <f t="shared" si="0"/>
        <v>01</v>
      </c>
      <c r="B31" s="146" t="s">
        <v>1618</v>
      </c>
      <c r="C31" s="2906"/>
      <c r="D31" s="2906"/>
      <c r="E31" s="2906"/>
      <c r="F31" s="283"/>
      <c r="G31" s="605"/>
      <c r="H31" s="373"/>
      <c r="I31" s="605"/>
      <c r="J31" s="373"/>
      <c r="K31" s="605"/>
      <c r="L31" s="373"/>
      <c r="M31" s="605"/>
      <c r="N31" s="373"/>
      <c r="O31" s="605"/>
      <c r="P31" s="373"/>
      <c r="Q31" s="372">
        <f t="shared" si="2"/>
        <v>0</v>
      </c>
      <c r="R31" s="609" t="str">
        <f t="shared" si="3"/>
        <v/>
      </c>
      <c r="S31" s="610" t="b">
        <f>+G31=Q31</f>
        <v>1</v>
      </c>
    </row>
    <row r="32" spans="1:19" s="146" customFormat="1" ht="12" customHeight="1" x14ac:dyDescent="0.2">
      <c r="A32" s="1130" t="str">
        <f t="shared" si="0"/>
        <v>01</v>
      </c>
      <c r="B32" s="146" t="s">
        <v>1619</v>
      </c>
      <c r="C32" s="2907"/>
      <c r="D32" s="2907"/>
      <c r="E32" s="2907"/>
      <c r="F32" s="283"/>
      <c r="G32" s="605"/>
      <c r="H32" s="373"/>
      <c r="I32" s="606"/>
      <c r="J32" s="373"/>
      <c r="K32" s="606"/>
      <c r="L32" s="373"/>
      <c r="M32" s="606"/>
      <c r="N32" s="373"/>
      <c r="O32" s="606"/>
      <c r="P32" s="373"/>
      <c r="Q32" s="372">
        <f t="shared" si="2"/>
        <v>0</v>
      </c>
      <c r="R32" s="609" t="str">
        <f t="shared" si="3"/>
        <v/>
      </c>
      <c r="S32" s="610" t="b">
        <f>+G32=Q32</f>
        <v>1</v>
      </c>
    </row>
    <row r="33" spans="1:19" s="146" customFormat="1" ht="12" customHeight="1" x14ac:dyDescent="0.2">
      <c r="A33" s="1130" t="str">
        <f t="shared" si="0"/>
        <v>01</v>
      </c>
      <c r="C33" s="2908"/>
      <c r="D33" s="2908"/>
      <c r="E33" s="2908"/>
      <c r="F33" s="283"/>
      <c r="G33" s="605"/>
      <c r="H33" s="373"/>
      <c r="I33" s="1428"/>
      <c r="J33" s="373"/>
      <c r="K33" s="1428"/>
      <c r="L33" s="373"/>
      <c r="M33" s="1428"/>
      <c r="N33" s="373"/>
      <c r="O33" s="1428"/>
      <c r="P33" s="373"/>
      <c r="Q33" s="372">
        <f t="shared" si="2"/>
        <v>0</v>
      </c>
      <c r="R33" s="609" t="str">
        <f t="shared" si="3"/>
        <v/>
      </c>
      <c r="S33" s="610" t="b">
        <f>+G33=Q33</f>
        <v>1</v>
      </c>
    </row>
    <row r="34" spans="1:19" s="146" customFormat="1" ht="12" customHeight="1" thickBot="1" x14ac:dyDescent="0.25">
      <c r="A34" s="1130" t="str">
        <f t="shared" si="0"/>
        <v>01</v>
      </c>
      <c r="B34" s="146" t="s">
        <v>1620</v>
      </c>
      <c r="C34" s="2906"/>
      <c r="D34" s="2906"/>
      <c r="E34" s="2906"/>
      <c r="F34" s="283"/>
      <c r="G34" s="607"/>
      <c r="H34" s="373"/>
      <c r="I34" s="608"/>
      <c r="J34" s="373"/>
      <c r="K34" s="608"/>
      <c r="L34" s="373"/>
      <c r="M34" s="608"/>
      <c r="N34" s="373"/>
      <c r="O34" s="608"/>
      <c r="P34" s="373"/>
      <c r="Q34" s="375">
        <f t="shared" si="2"/>
        <v>0</v>
      </c>
      <c r="R34" s="609" t="str">
        <f t="shared" si="3"/>
        <v/>
      </c>
      <c r="S34" s="610" t="b">
        <f>+G34=Q34</f>
        <v>1</v>
      </c>
    </row>
    <row r="35" spans="1:19" s="146" customFormat="1" ht="15" customHeight="1" thickBot="1" x14ac:dyDescent="0.25">
      <c r="A35" s="1130" t="str">
        <f t="shared" si="0"/>
        <v>01</v>
      </c>
      <c r="B35" s="146" t="s">
        <v>1574</v>
      </c>
      <c r="C35" s="295" t="s">
        <v>512</v>
      </c>
      <c r="D35" s="283"/>
      <c r="E35" s="283"/>
      <c r="F35" s="283"/>
      <c r="G35" s="376">
        <f>SUM(G19:G34)</f>
        <v>0</v>
      </c>
      <c r="H35" s="373"/>
      <c r="I35" s="376">
        <f>SUM(I19:I34)</f>
        <v>0</v>
      </c>
      <c r="J35" s="373"/>
      <c r="K35" s="376">
        <f>SUM(K19:K34)</f>
        <v>0</v>
      </c>
      <c r="L35" s="373"/>
      <c r="M35" s="376">
        <f>SUM(M19:M34)</f>
        <v>0</v>
      </c>
      <c r="N35" s="373"/>
      <c r="O35" s="376">
        <f>SUM(O19:O34)</f>
        <v>0</v>
      </c>
      <c r="P35" s="373"/>
      <c r="Q35" s="376">
        <f>SUM(Q19:Q34)</f>
        <v>0</v>
      </c>
      <c r="R35" s="612"/>
      <c r="S35" s="610"/>
    </row>
    <row r="36" spans="1:19" s="146" customFormat="1" ht="12" customHeight="1" thickTop="1" x14ac:dyDescent="0.2">
      <c r="A36" s="1130" t="str">
        <f t="shared" si="0"/>
        <v>01</v>
      </c>
      <c r="C36" s="283"/>
      <c r="D36" s="283"/>
      <c r="E36" s="283"/>
      <c r="F36" s="283"/>
      <c r="G36" s="378"/>
      <c r="H36" s="373"/>
      <c r="I36" s="373"/>
      <c r="J36" s="373"/>
      <c r="K36" s="373"/>
      <c r="L36" s="373"/>
      <c r="M36" s="373"/>
      <c r="N36" s="373"/>
      <c r="O36" s="373"/>
      <c r="P36" s="373"/>
      <c r="Q36" s="373"/>
      <c r="R36" s="612"/>
      <c r="S36" s="610"/>
    </row>
    <row r="37" spans="1:19" s="146" customFormat="1" ht="12.75" customHeight="1" x14ac:dyDescent="0.2">
      <c r="A37" s="1130" t="str">
        <f t="shared" ref="A37:A64" si="5">AgyIdx</f>
        <v>01</v>
      </c>
      <c r="C37" s="293" t="s">
        <v>686</v>
      </c>
      <c r="D37" s="283"/>
      <c r="E37" s="283"/>
      <c r="F37" s="283"/>
      <c r="G37" s="373"/>
      <c r="H37" s="373"/>
      <c r="I37" s="373"/>
      <c r="J37" s="373"/>
      <c r="K37" s="373"/>
      <c r="L37" s="373"/>
      <c r="M37" s="373"/>
      <c r="N37" s="373"/>
      <c r="O37" s="373"/>
      <c r="P37" s="373"/>
      <c r="Q37" s="373"/>
      <c r="R37" s="612"/>
      <c r="S37" s="610"/>
    </row>
    <row r="38" spans="1:19" s="146" customFormat="1" ht="12" customHeight="1" x14ac:dyDescent="0.25">
      <c r="A38" s="1130" t="str">
        <f t="shared" si="5"/>
        <v>01</v>
      </c>
      <c r="C38" s="294" t="s">
        <v>3626</v>
      </c>
      <c r="D38" s="283"/>
      <c r="E38" s="283"/>
      <c r="F38" s="283"/>
      <c r="G38" s="373"/>
      <c r="H38" s="373"/>
      <c r="I38" s="373"/>
      <c r="J38" s="373"/>
      <c r="K38" s="373"/>
      <c r="L38" s="373"/>
      <c r="M38" s="373"/>
      <c r="N38" s="373"/>
      <c r="O38" s="373"/>
      <c r="P38" s="373"/>
      <c r="Q38" s="373"/>
      <c r="R38" s="612"/>
      <c r="S38" s="610"/>
    </row>
    <row r="39" spans="1:19" s="146" customFormat="1" ht="12" customHeight="1" x14ac:dyDescent="0.2">
      <c r="A39" s="1130" t="str">
        <f t="shared" si="5"/>
        <v>01</v>
      </c>
      <c r="B39" s="146" t="s">
        <v>1575</v>
      </c>
      <c r="C39" s="2906"/>
      <c r="D39" s="2906"/>
      <c r="E39" s="2906"/>
      <c r="F39" s="283"/>
      <c r="G39" s="605"/>
      <c r="H39" s="373"/>
      <c r="I39" s="605"/>
      <c r="J39" s="373"/>
      <c r="K39" s="605"/>
      <c r="L39" s="373"/>
      <c r="M39" s="605"/>
      <c r="N39" s="373"/>
      <c r="O39" s="605"/>
      <c r="P39" s="373"/>
      <c r="Q39" s="372">
        <f t="shared" ref="Q39:Q44" si="6">SUM(I39:P39)</f>
        <v>0</v>
      </c>
      <c r="R39" s="609" t="str">
        <f t="shared" ref="R39:R44" si="7">IF(S39=FALSE,"*","")</f>
        <v/>
      </c>
      <c r="S39" s="610" t="b">
        <f t="shared" ref="S39:S44" si="8">+G39=Q39</f>
        <v>1</v>
      </c>
    </row>
    <row r="40" spans="1:19" s="146" customFormat="1" ht="12" customHeight="1" x14ac:dyDescent="0.2">
      <c r="A40" s="1130" t="str">
        <f t="shared" si="5"/>
        <v>01</v>
      </c>
      <c r="B40" s="146" t="s">
        <v>1576</v>
      </c>
      <c r="C40" s="2906"/>
      <c r="D40" s="2906"/>
      <c r="E40" s="2906"/>
      <c r="F40" s="283"/>
      <c r="G40" s="605"/>
      <c r="H40" s="373"/>
      <c r="I40" s="605"/>
      <c r="J40" s="373"/>
      <c r="K40" s="605"/>
      <c r="L40" s="373"/>
      <c r="M40" s="605"/>
      <c r="N40" s="373"/>
      <c r="O40" s="605"/>
      <c r="P40" s="373"/>
      <c r="Q40" s="372">
        <f t="shared" si="6"/>
        <v>0</v>
      </c>
      <c r="R40" s="609" t="str">
        <f t="shared" si="7"/>
        <v/>
      </c>
      <c r="S40" s="610" t="b">
        <f t="shared" si="8"/>
        <v>1</v>
      </c>
    </row>
    <row r="41" spans="1:19" s="146" customFormat="1" ht="12" customHeight="1" x14ac:dyDescent="0.2">
      <c r="A41" s="1130" t="str">
        <f t="shared" si="5"/>
        <v>01</v>
      </c>
      <c r="B41" s="146" t="s">
        <v>1577</v>
      </c>
      <c r="C41" s="2906"/>
      <c r="D41" s="2906"/>
      <c r="E41" s="2906"/>
      <c r="F41" s="283"/>
      <c r="G41" s="605"/>
      <c r="H41" s="373"/>
      <c r="I41" s="605"/>
      <c r="J41" s="373"/>
      <c r="K41" s="605"/>
      <c r="L41" s="373"/>
      <c r="M41" s="605"/>
      <c r="N41" s="373"/>
      <c r="O41" s="605"/>
      <c r="P41" s="373"/>
      <c r="Q41" s="372">
        <f t="shared" si="6"/>
        <v>0</v>
      </c>
      <c r="R41" s="609" t="str">
        <f t="shared" si="7"/>
        <v/>
      </c>
      <c r="S41" s="610" t="b">
        <f t="shared" si="8"/>
        <v>1</v>
      </c>
    </row>
    <row r="42" spans="1:19" s="146" customFormat="1" ht="12" customHeight="1" x14ac:dyDescent="0.2">
      <c r="A42" s="1130" t="str">
        <f t="shared" si="5"/>
        <v>01</v>
      </c>
      <c r="B42" s="146" t="s">
        <v>1621</v>
      </c>
      <c r="C42" s="2906"/>
      <c r="D42" s="2906"/>
      <c r="E42" s="2906"/>
      <c r="F42" s="283"/>
      <c r="G42" s="605"/>
      <c r="H42" s="373"/>
      <c r="I42" s="605"/>
      <c r="J42" s="373"/>
      <c r="K42" s="605"/>
      <c r="L42" s="373"/>
      <c r="M42" s="605"/>
      <c r="N42" s="373"/>
      <c r="O42" s="605"/>
      <c r="P42" s="373"/>
      <c r="Q42" s="372">
        <f t="shared" si="6"/>
        <v>0</v>
      </c>
      <c r="R42" s="609" t="str">
        <f t="shared" si="7"/>
        <v/>
      </c>
      <c r="S42" s="610" t="b">
        <f t="shared" si="8"/>
        <v>1</v>
      </c>
    </row>
    <row r="43" spans="1:19" s="146" customFormat="1" ht="12" customHeight="1" x14ac:dyDescent="0.2">
      <c r="A43" s="1130" t="str">
        <f t="shared" si="5"/>
        <v>01</v>
      </c>
      <c r="B43" s="146" t="s">
        <v>1622</v>
      </c>
      <c r="C43" s="2906"/>
      <c r="D43" s="2906"/>
      <c r="E43" s="2906"/>
      <c r="F43" s="283"/>
      <c r="G43" s="605"/>
      <c r="H43" s="373"/>
      <c r="I43" s="605"/>
      <c r="J43" s="373"/>
      <c r="K43" s="605"/>
      <c r="L43" s="373"/>
      <c r="M43" s="605"/>
      <c r="N43" s="373"/>
      <c r="O43" s="605"/>
      <c r="P43" s="373"/>
      <c r="Q43" s="372">
        <f t="shared" si="6"/>
        <v>0</v>
      </c>
      <c r="R43" s="609" t="str">
        <f t="shared" si="7"/>
        <v/>
      </c>
      <c r="S43" s="610" t="b">
        <f t="shared" si="8"/>
        <v>1</v>
      </c>
    </row>
    <row r="44" spans="1:19" s="146" customFormat="1" ht="12" customHeight="1" thickBot="1" x14ac:dyDescent="0.25">
      <c r="A44" s="1130" t="str">
        <f t="shared" si="5"/>
        <v>01</v>
      </c>
      <c r="B44" s="146" t="s">
        <v>1623</v>
      </c>
      <c r="C44" s="2906"/>
      <c r="D44" s="2906"/>
      <c r="E44" s="2906"/>
      <c r="F44" s="283"/>
      <c r="G44" s="607"/>
      <c r="H44" s="373"/>
      <c r="I44" s="608"/>
      <c r="J44" s="373"/>
      <c r="K44" s="608"/>
      <c r="L44" s="373"/>
      <c r="M44" s="608"/>
      <c r="N44" s="373"/>
      <c r="O44" s="608"/>
      <c r="P44" s="373"/>
      <c r="Q44" s="372">
        <f t="shared" si="6"/>
        <v>0</v>
      </c>
      <c r="R44" s="609" t="str">
        <f t="shared" si="7"/>
        <v/>
      </c>
      <c r="S44" s="610" t="b">
        <f t="shared" si="8"/>
        <v>1</v>
      </c>
    </row>
    <row r="45" spans="1:19" s="146" customFormat="1" ht="15" customHeight="1" thickBot="1" x14ac:dyDescent="0.25">
      <c r="A45" s="1130" t="str">
        <f t="shared" si="5"/>
        <v>01</v>
      </c>
      <c r="B45" s="146" t="s">
        <v>1578</v>
      </c>
      <c r="C45" s="295" t="s">
        <v>260</v>
      </c>
      <c r="D45" s="283"/>
      <c r="E45" s="283"/>
      <c r="F45" s="283"/>
      <c r="G45" s="377">
        <f>SUM(G39:G44)</f>
        <v>0</v>
      </c>
      <c r="H45" s="373"/>
      <c r="I45" s="377">
        <f>SUM(I39:I44)</f>
        <v>0</v>
      </c>
      <c r="J45" s="373"/>
      <c r="K45" s="377">
        <f>SUM(K39:K44)</f>
        <v>0</v>
      </c>
      <c r="L45" s="373"/>
      <c r="M45" s="377">
        <f>SUM(M39:M44)</f>
        <v>0</v>
      </c>
      <c r="N45" s="373"/>
      <c r="O45" s="377">
        <f>SUM(O39:O44)</f>
        <v>0</v>
      </c>
      <c r="P45" s="373"/>
      <c r="Q45" s="377">
        <f>SUM(Q39:Q44)</f>
        <v>0</v>
      </c>
      <c r="R45" s="612"/>
      <c r="S45" s="553">
        <f>COUNTIF(S19:S44,FALSE)</f>
        <v>0</v>
      </c>
    </row>
    <row r="46" spans="1:19" ht="15" customHeight="1" thickTop="1" x14ac:dyDescent="0.2">
      <c r="A46" s="1130" t="str">
        <f t="shared" si="5"/>
        <v>01</v>
      </c>
      <c r="G46" s="12"/>
      <c r="H46" s="12"/>
      <c r="I46" s="12"/>
      <c r="J46" s="12"/>
      <c r="K46" s="12"/>
      <c r="L46" s="12"/>
      <c r="M46" s="12"/>
      <c r="N46" s="12"/>
      <c r="O46" s="12"/>
      <c r="P46" s="12"/>
      <c r="Q46" s="12"/>
    </row>
    <row r="47" spans="1:19" ht="15" customHeight="1" x14ac:dyDescent="0.2">
      <c r="A47" s="1130" t="str">
        <f t="shared" si="5"/>
        <v>01</v>
      </c>
      <c r="G47" s="12"/>
      <c r="H47" s="12"/>
      <c r="I47" s="12"/>
      <c r="J47" s="12"/>
      <c r="K47" s="12"/>
      <c r="L47" s="12"/>
      <c r="M47" s="12"/>
      <c r="N47" s="12"/>
      <c r="O47" s="12"/>
      <c r="P47" s="12"/>
      <c r="Q47" s="12"/>
    </row>
    <row r="48" spans="1:19" ht="15" customHeight="1" x14ac:dyDescent="0.2">
      <c r="A48" s="1130" t="str">
        <f t="shared" si="5"/>
        <v>01</v>
      </c>
      <c r="G48" s="12"/>
      <c r="H48" s="12"/>
      <c r="I48" s="12"/>
      <c r="J48" s="12"/>
      <c r="K48" s="12"/>
      <c r="L48" s="12"/>
      <c r="M48" s="12"/>
      <c r="N48" s="12"/>
      <c r="O48" s="12"/>
      <c r="P48" s="12"/>
      <c r="Q48" s="12"/>
    </row>
    <row r="49" spans="1:17" ht="15" customHeight="1" x14ac:dyDescent="0.2">
      <c r="A49" s="1130" t="str">
        <f t="shared" si="5"/>
        <v>01</v>
      </c>
      <c r="B49" s="443" t="str">
        <f ca="1">MID(CELL("filename",B15),FIND("]",CELL("filename",B15))+1,256)</f>
        <v>705</v>
      </c>
      <c r="C49" s="443" t="s">
        <v>449</v>
      </c>
      <c r="G49" s="12"/>
      <c r="H49" s="12"/>
      <c r="I49" s="12"/>
      <c r="J49" s="12"/>
      <c r="K49" s="12"/>
      <c r="L49" s="12"/>
      <c r="M49" s="12"/>
      <c r="N49" s="12"/>
      <c r="O49" s="12"/>
      <c r="P49" s="12"/>
      <c r="Q49" s="12"/>
    </row>
    <row r="50" spans="1:17" ht="15" customHeight="1" x14ac:dyDescent="0.2">
      <c r="A50" s="1130" t="str">
        <f t="shared" si="5"/>
        <v>01</v>
      </c>
      <c r="B50" s="443" t="s">
        <v>446</v>
      </c>
      <c r="C50" s="443" t="str">
        <f t="shared" ref="C50:C59" ca="1" si="9">IF(ISNA(INDEX(ErrorTable,MATCH($B$49&amp;$B50&amp;FALSE,ErrorKey,0),6)),"",INDEX(ErrorTable,MATCH($B$49&amp;$B50&amp;FALSE,ErrorKey,0),6))</f>
        <v/>
      </c>
      <c r="G50" s="12"/>
      <c r="H50" s="12"/>
      <c r="I50" s="12"/>
      <c r="J50" s="12"/>
      <c r="K50" s="12"/>
      <c r="L50" s="12"/>
      <c r="M50" s="12"/>
      <c r="N50" s="12"/>
      <c r="O50" s="12"/>
      <c r="P50" s="12"/>
      <c r="Q50" s="12"/>
    </row>
    <row r="51" spans="1:17" ht="15" customHeight="1" x14ac:dyDescent="0.2">
      <c r="A51" s="1130" t="str">
        <f t="shared" si="5"/>
        <v>01</v>
      </c>
      <c r="B51" s="443" t="s">
        <v>447</v>
      </c>
      <c r="C51" s="443" t="str">
        <f t="shared" ca="1" si="9"/>
        <v/>
      </c>
      <c r="G51" s="12"/>
      <c r="H51" s="12"/>
      <c r="I51" s="12"/>
      <c r="J51" s="12"/>
      <c r="K51" s="12"/>
      <c r="L51" s="12"/>
      <c r="M51" s="12"/>
      <c r="N51" s="12"/>
      <c r="O51" s="12"/>
      <c r="P51" s="12"/>
      <c r="Q51" s="12"/>
    </row>
    <row r="52" spans="1:17" ht="15" customHeight="1" x14ac:dyDescent="0.2">
      <c r="A52" s="1130" t="str">
        <f t="shared" si="5"/>
        <v>01</v>
      </c>
      <c r="B52" s="443" t="s">
        <v>448</v>
      </c>
      <c r="C52" s="443" t="str">
        <f t="shared" ca="1" si="9"/>
        <v/>
      </c>
      <c r="G52" s="12"/>
      <c r="H52" s="12"/>
      <c r="I52" s="12"/>
      <c r="J52" s="12"/>
      <c r="K52" s="12"/>
      <c r="L52" s="12"/>
      <c r="M52" s="12"/>
      <c r="N52" s="12"/>
      <c r="O52" s="12"/>
      <c r="P52" s="12"/>
      <c r="Q52" s="12"/>
    </row>
    <row r="53" spans="1:17" ht="15" customHeight="1" x14ac:dyDescent="0.2">
      <c r="A53" s="1130" t="str">
        <f t="shared" si="5"/>
        <v>01</v>
      </c>
      <c r="B53" s="443" t="s">
        <v>450</v>
      </c>
      <c r="C53" s="443" t="str">
        <f t="shared" ca="1" si="9"/>
        <v/>
      </c>
      <c r="G53" s="12"/>
      <c r="H53" s="12"/>
      <c r="I53" s="12"/>
      <c r="J53" s="12"/>
      <c r="K53" s="12"/>
      <c r="L53" s="12"/>
      <c r="M53" s="12"/>
      <c r="N53" s="12"/>
      <c r="O53" s="12"/>
      <c r="P53" s="12"/>
      <c r="Q53" s="12"/>
    </row>
    <row r="54" spans="1:17" ht="15" customHeight="1" x14ac:dyDescent="0.2">
      <c r="A54" s="1130" t="str">
        <f t="shared" si="5"/>
        <v>01</v>
      </c>
      <c r="B54" s="443" t="s">
        <v>451</v>
      </c>
      <c r="C54" s="443" t="str">
        <f t="shared" ca="1" si="9"/>
        <v/>
      </c>
      <c r="G54" s="12"/>
      <c r="H54" s="12"/>
      <c r="I54" s="12"/>
      <c r="J54" s="12"/>
      <c r="K54" s="12"/>
      <c r="L54" s="12"/>
      <c r="M54" s="12"/>
      <c r="N54" s="12"/>
      <c r="O54" s="12"/>
      <c r="P54" s="12"/>
      <c r="Q54" s="12"/>
    </row>
    <row r="55" spans="1:17" ht="15" customHeight="1" x14ac:dyDescent="0.2">
      <c r="A55" s="1130" t="str">
        <f t="shared" si="5"/>
        <v>01</v>
      </c>
      <c r="B55" s="443" t="s">
        <v>452</v>
      </c>
      <c r="C55" s="443" t="str">
        <f t="shared" ca="1" si="9"/>
        <v/>
      </c>
      <c r="G55" s="12"/>
      <c r="H55" s="12"/>
      <c r="I55" s="12"/>
      <c r="J55" s="12"/>
      <c r="K55" s="12"/>
      <c r="L55" s="12"/>
      <c r="M55" s="12"/>
      <c r="N55" s="12"/>
      <c r="O55" s="12"/>
      <c r="P55" s="12"/>
      <c r="Q55" s="12"/>
    </row>
    <row r="56" spans="1:17" ht="15" customHeight="1" x14ac:dyDescent="0.2">
      <c r="A56" s="1130" t="str">
        <f t="shared" si="5"/>
        <v>01</v>
      </c>
      <c r="B56" s="443" t="s">
        <v>453</v>
      </c>
      <c r="C56" s="443" t="str">
        <f t="shared" ca="1" si="9"/>
        <v/>
      </c>
      <c r="G56" s="12"/>
      <c r="H56" s="12"/>
      <c r="I56" s="12"/>
      <c r="J56" s="12"/>
      <c r="K56" s="12"/>
      <c r="L56" s="12"/>
      <c r="M56" s="12"/>
      <c r="N56" s="12"/>
      <c r="O56" s="12"/>
      <c r="P56" s="12"/>
      <c r="Q56" s="12"/>
    </row>
    <row r="57" spans="1:17" ht="15" customHeight="1" x14ac:dyDescent="0.2">
      <c r="A57" s="1130" t="str">
        <f t="shared" si="5"/>
        <v>01</v>
      </c>
      <c r="B57" s="443" t="s">
        <v>454</v>
      </c>
      <c r="C57" s="443" t="str">
        <f t="shared" ca="1" si="9"/>
        <v/>
      </c>
      <c r="G57" s="12"/>
      <c r="H57" s="12"/>
      <c r="I57" s="12"/>
      <c r="J57" s="12"/>
      <c r="K57" s="12"/>
      <c r="L57" s="12"/>
      <c r="M57" s="12"/>
      <c r="N57" s="12"/>
      <c r="O57" s="12"/>
      <c r="P57" s="12"/>
      <c r="Q57" s="12"/>
    </row>
    <row r="58" spans="1:17" ht="15" customHeight="1" x14ac:dyDescent="0.2">
      <c r="A58" s="1130" t="str">
        <f t="shared" si="5"/>
        <v>01</v>
      </c>
      <c r="B58" s="443" t="s">
        <v>455</v>
      </c>
      <c r="C58" s="443" t="str">
        <f t="shared" ca="1" si="9"/>
        <v/>
      </c>
    </row>
    <row r="59" spans="1:17" ht="15" customHeight="1" x14ac:dyDescent="0.2">
      <c r="A59" s="1130" t="str">
        <f t="shared" si="5"/>
        <v>01</v>
      </c>
      <c r="B59" s="443" t="s">
        <v>456</v>
      </c>
      <c r="C59" s="443" t="str">
        <f t="shared" ca="1" si="9"/>
        <v/>
      </c>
    </row>
    <row r="60" spans="1:17" ht="15" customHeight="1" x14ac:dyDescent="0.2">
      <c r="A60" s="1130" t="str">
        <f t="shared" si="5"/>
        <v>01</v>
      </c>
    </row>
    <row r="61" spans="1:17" ht="15" customHeight="1" x14ac:dyDescent="0.2">
      <c r="A61" s="1130" t="str">
        <f t="shared" si="5"/>
        <v>01</v>
      </c>
    </row>
    <row r="62" spans="1:17" ht="15" customHeight="1" x14ac:dyDescent="0.2">
      <c r="A62" s="1130" t="str">
        <f t="shared" si="5"/>
        <v>01</v>
      </c>
    </row>
    <row r="63" spans="1:17" ht="15" customHeight="1" x14ac:dyDescent="0.2">
      <c r="A63" s="1130" t="str">
        <f t="shared" si="5"/>
        <v>01</v>
      </c>
    </row>
    <row r="64" spans="1:17" ht="15" customHeight="1" x14ac:dyDescent="0.2">
      <c r="A64" s="1130" t="str">
        <f t="shared" si="5"/>
        <v>01</v>
      </c>
    </row>
    <row r="65" ht="15" customHeight="1" x14ac:dyDescent="0.2"/>
    <row r="66" ht="15" customHeight="1" x14ac:dyDescent="0.2"/>
    <row r="67" ht="15" customHeight="1" x14ac:dyDescent="0.2"/>
    <row r="68" ht="15" customHeight="1" x14ac:dyDescent="0.2"/>
    <row r="69" ht="15" customHeight="1" x14ac:dyDescent="0.2"/>
    <row r="70" ht="15" customHeight="1" x14ac:dyDescent="0.2"/>
    <row r="71" ht="11.1" customHeight="1" x14ac:dyDescent="0.2"/>
  </sheetData>
  <sheetProtection algorithmName="SHA-512" hashValue="uhhSj67+0nD/wxw2lk56Nu70itwlYfuvzfDBc0OjyO1CLU5q7ALlYzazyz6hF0DFUQpnvfokag4ziRwpbxAUrg==" saltValue="LzlyYL4gaEfkNvrMFu270Q==" spinCount="100000" sheet="1" objects="1" scenarios="1" autoFilter="0"/>
  <customSheetViews>
    <customSheetView guid="{B08879A4-635B-4C39-9937-AC7883D562FC}" showGridLines="0" fitToPage="1" hiddenColumns="1" topLeftCell="C1">
      <selection activeCell="B12" sqref="B12"/>
      <pageMargins left="0.5" right="0.5" top="0.5" bottom="0.5" header="0.5" footer="0.25"/>
      <printOptions horizontalCentered="1"/>
      <pageSetup scale="96" orientation="landscape" horizontalDpi="1200" verticalDpi="1200" r:id="rId1"/>
      <headerFooter alignWithMargins="0">
        <oddFooter>&amp;R&amp;A</oddFooter>
      </headerFooter>
    </customSheetView>
    <customSheetView guid="{1250FD07-FF56-4A9D-AF9E-C27124A7EBE9}" showGridLines="0" fitToPage="1" showRuler="0">
      <selection activeCell="C8" sqref="C8:E8"/>
      <pageMargins left="0.5" right="0.5" top="0.5" bottom="0.5" header="0.5" footer="0.25"/>
      <printOptions horizontalCentered="1"/>
      <pageSetup orientation="landscape" horizontalDpi="4294967292" verticalDpi="300" r:id="rId2"/>
      <headerFooter alignWithMargins="0">
        <oddFooter>&amp;R&amp;A</oddFooter>
      </headerFooter>
    </customSheetView>
    <customSheetView guid="{BEA4BE86-04D1-4C96-9358-7A260B9D2B2D}" showGridLines="0" fitToPage="1" showRuler="0">
      <selection activeCell="C8" sqref="C8:E8"/>
      <pageMargins left="0.5" right="0.5" top="0.5" bottom="0.5" header="0.5" footer="0.25"/>
      <printOptions horizontalCentered="1"/>
      <pageSetup orientation="landscape" horizontalDpi="4294967292" verticalDpi="300" r:id="rId3"/>
      <headerFooter alignWithMargins="0">
        <oddFooter>&amp;R&amp;A</oddFooter>
      </headerFooter>
    </customSheetView>
    <customSheetView guid="{9FCFC836-1CA5-48BF-958D-24D2EA94B219}" showGridLines="0" fitToPage="1" hiddenColumns="1" topLeftCell="C1">
      <selection activeCell="B12" sqref="B12"/>
      <pageMargins left="0.5" right="0.5" top="0.5" bottom="0.5" header="0.5" footer="0.25"/>
      <printOptions horizontalCentered="1"/>
      <pageSetup scale="96" orientation="landscape" horizontalDpi="1200" verticalDpi="1200" r:id="rId4"/>
      <headerFooter alignWithMargins="0">
        <oddFooter>&amp;R&amp;A</oddFooter>
      </headerFooter>
    </customSheetView>
  </customSheetViews>
  <mergeCells count="34">
    <mergeCell ref="C27:E27"/>
    <mergeCell ref="C20:E20"/>
    <mergeCell ref="I11:M11"/>
    <mergeCell ref="C19:E19"/>
    <mergeCell ref="C14:E14"/>
    <mergeCell ref="C26:E26"/>
    <mergeCell ref="C25:E25"/>
    <mergeCell ref="C24:E24"/>
    <mergeCell ref="C21:E21"/>
    <mergeCell ref="C22:E22"/>
    <mergeCell ref="C23:E23"/>
    <mergeCell ref="C15:E15"/>
    <mergeCell ref="C44:E44"/>
    <mergeCell ref="C39:E39"/>
    <mergeCell ref="C40:E40"/>
    <mergeCell ref="C41:E41"/>
    <mergeCell ref="C42:E42"/>
    <mergeCell ref="C43:E43"/>
    <mergeCell ref="C34:E34"/>
    <mergeCell ref="C31:E31"/>
    <mergeCell ref="C32:E32"/>
    <mergeCell ref="C28:E28"/>
    <mergeCell ref="C29:E29"/>
    <mergeCell ref="C33:E33"/>
    <mergeCell ref="R1:R3"/>
    <mergeCell ref="C1:Q1"/>
    <mergeCell ref="C2:Q2"/>
    <mergeCell ref="C3:Q3"/>
    <mergeCell ref="C4:Q4"/>
    <mergeCell ref="L6:Q6"/>
    <mergeCell ref="L7:Q7"/>
    <mergeCell ref="L8:Q8"/>
    <mergeCell ref="E6:G6"/>
    <mergeCell ref="E8:G8"/>
  </mergeCells>
  <phoneticPr fontId="15" type="noConversion"/>
  <conditionalFormatting sqref="R1:R3">
    <cfRule type="cellIs" dxfId="36" priority="1" stopIfTrue="1" operator="equal">
      <formula>"na"</formula>
    </cfRule>
  </conditionalFormatting>
  <hyperlinks>
    <hyperlink ref="C1" location="Index!A1" display="Index!A1" xr:uid="{00000000-0004-0000-3D00-000000000000}"/>
  </hyperlinks>
  <printOptions horizontalCentered="1"/>
  <pageMargins left="0.5" right="0.5" top="0.5" bottom="0.5" header="0.5" footer="0.25"/>
  <pageSetup scale="86" orientation="landscape" r:id="rId5"/>
  <headerFooter alignWithMargins="0">
    <oddFooter>&amp;R&amp;A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fitToPage="1"/>
  </sheetPr>
  <dimension ref="A1:U85"/>
  <sheetViews>
    <sheetView showGridLines="0" topLeftCell="B1" zoomScaleNormal="100" workbookViewId="0">
      <selection activeCell="B3" sqref="B3:R3"/>
    </sheetView>
  </sheetViews>
  <sheetFormatPr defaultColWidth="9.42578125" defaultRowHeight="12.75" x14ac:dyDescent="0.2"/>
  <cols>
    <col min="1" max="1" width="9.42578125" style="8" hidden="1" customWidth="1"/>
    <col min="2" max="2" width="6.5703125" style="8" customWidth="1"/>
    <col min="3" max="3" width="1.5703125" style="8" customWidth="1"/>
    <col min="4" max="4" width="9.42578125" style="8" customWidth="1"/>
    <col min="5" max="5" width="10.85546875" style="8" customWidth="1"/>
    <col min="6" max="6" width="1.5703125" style="8" customWidth="1"/>
    <col min="7" max="7" width="10.42578125" style="8" customWidth="1"/>
    <col min="8" max="8" width="0.5703125" style="8" customWidth="1"/>
    <col min="9" max="9" width="4.5703125" style="8" customWidth="1"/>
    <col min="10" max="10" width="0.5703125" style="8" customWidth="1"/>
    <col min="11" max="11" width="13.42578125" style="8" customWidth="1"/>
    <col min="12" max="12" width="2.5703125" style="8" customWidth="1"/>
    <col min="13" max="13" width="15.42578125" style="8" customWidth="1"/>
    <col min="14" max="14" width="1.42578125" style="8" customWidth="1"/>
    <col min="15" max="15" width="13.42578125" style="8" customWidth="1"/>
    <col min="16" max="16" width="1.42578125" style="8" customWidth="1"/>
    <col min="17" max="17" width="13.42578125" style="8" bestFit="1" customWidth="1"/>
    <col min="18" max="18" width="0.5703125" style="8" customWidth="1"/>
    <col min="19" max="19" width="6.42578125" style="8" customWidth="1"/>
    <col min="20" max="20" width="8.42578125" style="8" customWidth="1"/>
    <col min="21" max="21" width="10.5703125" style="8" bestFit="1" customWidth="1"/>
    <col min="22" max="22" width="2.42578125" style="8" customWidth="1"/>
    <col min="23" max="23" width="9.42578125" style="8"/>
    <col min="24" max="24" width="2.42578125" style="8" customWidth="1"/>
    <col min="25" max="25" width="11.5703125" style="8" customWidth="1"/>
    <col min="26" max="26" width="0.42578125" style="8" customWidth="1"/>
    <col min="27" max="16384" width="9.42578125" style="8"/>
  </cols>
  <sheetData>
    <row r="1" spans="1:21" ht="25.15" customHeight="1" x14ac:dyDescent="0.25">
      <c r="A1" s="8" t="str">
        <f t="shared" ref="A1:A32" si="0">AgyIdx</f>
        <v>01</v>
      </c>
      <c r="B1" s="2449" t="str">
        <f>+Index!$A$1</f>
        <v xml:space="preserve">                                                               Office of the State Controller                                                                </v>
      </c>
      <c r="C1" s="2449"/>
      <c r="D1" s="2449"/>
      <c r="E1" s="2449"/>
      <c r="F1" s="2449"/>
      <c r="G1" s="2449"/>
      <c r="H1" s="2449"/>
      <c r="I1" s="2449"/>
      <c r="J1" s="2449"/>
      <c r="K1" s="2449"/>
      <c r="L1" s="2449"/>
      <c r="M1" s="2449"/>
      <c r="N1" s="2449"/>
      <c r="O1" s="2449"/>
      <c r="P1" s="2449"/>
      <c r="Q1" s="2449"/>
      <c r="R1" s="2449"/>
      <c r="S1" s="182" t="str">
        <f>IF(Index!$B$88="na","NA","")</f>
        <v/>
      </c>
      <c r="U1" s="2510"/>
    </row>
    <row r="2" spans="1:21" ht="15" customHeight="1" x14ac:dyDescent="0.25">
      <c r="A2" s="8" t="str">
        <f t="shared" si="0"/>
        <v>01</v>
      </c>
      <c r="B2" s="2913" t="str">
        <f>+Index!$A$2</f>
        <v>2022 ACFR Worksheets</v>
      </c>
      <c r="C2" s="2913"/>
      <c r="D2" s="2913"/>
      <c r="E2" s="2913"/>
      <c r="F2" s="2913"/>
      <c r="G2" s="2913"/>
      <c r="H2" s="2913"/>
      <c r="I2" s="2913"/>
      <c r="J2" s="2913"/>
      <c r="K2" s="2913"/>
      <c r="L2" s="2913"/>
      <c r="M2" s="2913"/>
      <c r="N2" s="2913"/>
      <c r="O2" s="2913"/>
      <c r="P2" s="2913"/>
      <c r="Q2" s="2913"/>
      <c r="R2" s="2913"/>
      <c r="S2" s="182"/>
      <c r="U2" s="2510"/>
    </row>
    <row r="3" spans="1:21" ht="15" customHeight="1" x14ac:dyDescent="0.25">
      <c r="A3" s="8" t="str">
        <f t="shared" si="0"/>
        <v>01</v>
      </c>
      <c r="B3" s="2913" t="s">
        <v>1075</v>
      </c>
      <c r="C3" s="2913"/>
      <c r="D3" s="2913"/>
      <c r="E3" s="2913"/>
      <c r="F3" s="2913"/>
      <c r="G3" s="2913"/>
      <c r="H3" s="2913"/>
      <c r="I3" s="2913"/>
      <c r="J3" s="2913"/>
      <c r="K3" s="2913"/>
      <c r="L3" s="2913"/>
      <c r="M3" s="2913"/>
      <c r="N3" s="2913"/>
      <c r="O3" s="2913"/>
      <c r="P3" s="2913"/>
      <c r="Q3" s="2913"/>
      <c r="R3" s="2913"/>
      <c r="S3" s="182"/>
      <c r="U3" s="2510"/>
    </row>
    <row r="4" spans="1:21" ht="15" customHeight="1" x14ac:dyDescent="0.25">
      <c r="A4" s="8" t="str">
        <f t="shared" si="0"/>
        <v>01</v>
      </c>
      <c r="B4" s="2913" t="s">
        <v>3597</v>
      </c>
      <c r="C4" s="2913"/>
      <c r="D4" s="2913"/>
      <c r="E4" s="2913"/>
      <c r="F4" s="2913"/>
      <c r="G4" s="2913"/>
      <c r="H4" s="2913"/>
      <c r="I4" s="2913"/>
      <c r="J4" s="2913"/>
      <c r="K4" s="2913"/>
      <c r="L4" s="2913"/>
      <c r="M4" s="2913"/>
      <c r="N4" s="2913"/>
      <c r="O4" s="2913"/>
      <c r="P4" s="2913"/>
      <c r="Q4" s="2913"/>
      <c r="R4" s="2913"/>
    </row>
    <row r="5" spans="1:21" ht="15" customHeight="1" x14ac:dyDescent="0.2">
      <c r="A5" s="8" t="str">
        <f t="shared" si="0"/>
        <v>01</v>
      </c>
      <c r="M5" s="430"/>
    </row>
    <row r="6" spans="1:21" ht="15" customHeight="1" x14ac:dyDescent="0.2">
      <c r="A6" s="8" t="str">
        <f t="shared" si="0"/>
        <v>01</v>
      </c>
      <c r="E6" s="151"/>
      <c r="L6" s="9" t="s">
        <v>327</v>
      </c>
      <c r="M6" s="2914" t="str">
        <f>+Index!$E$10</f>
        <v>01</v>
      </c>
      <c r="N6" s="2914"/>
      <c r="O6" s="2914"/>
      <c r="P6" s="2914"/>
      <c r="Q6" s="2914"/>
    </row>
    <row r="7" spans="1:21" ht="15" customHeight="1" x14ac:dyDescent="0.2">
      <c r="A7" s="8" t="str">
        <f t="shared" si="0"/>
        <v>01</v>
      </c>
      <c r="L7" s="9" t="s">
        <v>1154</v>
      </c>
      <c r="M7" s="2914" t="str">
        <f>+Index!$E$11</f>
        <v>North Carolina General Assembly</v>
      </c>
      <c r="N7" s="2914"/>
      <c r="O7" s="2914"/>
      <c r="P7" s="2914"/>
      <c r="Q7" s="2914"/>
    </row>
    <row r="8" spans="1:21" ht="15" customHeight="1" x14ac:dyDescent="0.2">
      <c r="A8" s="8" t="str">
        <f t="shared" si="0"/>
        <v>01</v>
      </c>
      <c r="B8" s="8" t="s">
        <v>477</v>
      </c>
      <c r="E8" s="2915" t="s">
        <v>971</v>
      </c>
      <c r="F8" s="2915"/>
      <c r="G8" s="2915"/>
      <c r="H8" s="296"/>
      <c r="I8" s="296"/>
      <c r="L8" s="9" t="s">
        <v>972</v>
      </c>
      <c r="M8" s="2918" t="str">
        <f>CONCATENATE(Index!$E$12," ",Index!$E$14)</f>
        <v xml:space="preserve"> </v>
      </c>
      <c r="N8" s="2918"/>
      <c r="O8" s="2918"/>
      <c r="P8" s="2918"/>
      <c r="Q8" s="2918"/>
    </row>
    <row r="9" spans="1:21" ht="15" customHeight="1" x14ac:dyDescent="0.2">
      <c r="A9" s="8" t="str">
        <f t="shared" si="0"/>
        <v>01</v>
      </c>
      <c r="E9" s="776"/>
      <c r="F9" s="776"/>
      <c r="G9" s="776"/>
      <c r="H9" s="296"/>
      <c r="I9" s="296"/>
      <c r="L9" s="9" t="s">
        <v>348</v>
      </c>
      <c r="M9" s="2919">
        <f>+Index!$E$13</f>
        <v>0</v>
      </c>
      <c r="N9" s="2919"/>
      <c r="O9" s="2919"/>
      <c r="P9" s="2919"/>
      <c r="Q9" s="2919"/>
    </row>
    <row r="10" spans="1:21" ht="5.25" customHeight="1" thickBot="1" x14ac:dyDescent="0.25">
      <c r="A10" s="8" t="str">
        <f t="shared" si="0"/>
        <v>01</v>
      </c>
      <c r="B10" s="148"/>
      <c r="C10" s="148"/>
      <c r="D10" s="148"/>
      <c r="E10" s="148"/>
      <c r="F10" s="148"/>
      <c r="G10" s="148"/>
      <c r="H10" s="148"/>
      <c r="I10" s="148"/>
      <c r="J10" s="148"/>
      <c r="K10" s="148"/>
      <c r="L10" s="148"/>
      <c r="M10" s="148"/>
      <c r="N10" s="148"/>
      <c r="O10" s="148"/>
      <c r="P10" s="148"/>
      <c r="Q10" s="148"/>
    </row>
    <row r="11" spans="1:21" ht="3" customHeight="1" x14ac:dyDescent="0.2">
      <c r="A11" s="8" t="str">
        <f t="shared" si="0"/>
        <v>01</v>
      </c>
    </row>
    <row r="12" spans="1:21" ht="10.5" customHeight="1" thickBot="1" x14ac:dyDescent="0.3">
      <c r="A12" s="8" t="str">
        <f t="shared" si="0"/>
        <v>01</v>
      </c>
      <c r="B12" s="297"/>
      <c r="C12" s="297"/>
      <c r="D12" s="297"/>
      <c r="E12" s="297"/>
      <c r="F12" s="297"/>
      <c r="G12" s="297"/>
      <c r="H12" s="297"/>
      <c r="I12" s="297"/>
      <c r="J12" s="297"/>
      <c r="K12" s="297"/>
      <c r="L12" s="298"/>
      <c r="M12" s="2917" t="s">
        <v>1158</v>
      </c>
      <c r="N12" s="2917"/>
      <c r="O12" s="2917"/>
      <c r="P12" s="2917"/>
      <c r="Q12" s="2917"/>
      <c r="R12" s="299"/>
      <c r="S12" s="299"/>
    </row>
    <row r="13" spans="1:21" ht="13.35" customHeight="1" x14ac:dyDescent="0.25">
      <c r="A13" s="8" t="str">
        <f t="shared" si="0"/>
        <v>01</v>
      </c>
      <c r="B13" s="297"/>
      <c r="C13" s="297"/>
      <c r="D13" s="297"/>
      <c r="E13" s="297"/>
      <c r="F13" s="297"/>
      <c r="G13" s="297"/>
      <c r="H13" s="297"/>
      <c r="I13" s="297"/>
      <c r="J13" s="297"/>
      <c r="K13" s="300"/>
      <c r="L13" s="301"/>
      <c r="M13" s="2916" t="s">
        <v>176</v>
      </c>
      <c r="N13" s="2916"/>
      <c r="O13" s="2916"/>
      <c r="P13" s="302"/>
      <c r="Q13" s="302"/>
      <c r="R13" s="299"/>
      <c r="S13" s="299"/>
    </row>
    <row r="14" spans="1:21" ht="13.35" customHeight="1" x14ac:dyDescent="0.25">
      <c r="B14" s="297"/>
      <c r="C14" s="297"/>
      <c r="D14" s="297"/>
      <c r="E14" s="297"/>
      <c r="F14" s="297"/>
      <c r="G14" s="297"/>
      <c r="H14" s="297"/>
      <c r="I14" s="297"/>
      <c r="J14" s="297"/>
      <c r="K14" s="300"/>
      <c r="L14" s="301"/>
      <c r="M14" s="2165" t="s">
        <v>5067</v>
      </c>
      <c r="N14" s="2165"/>
      <c r="O14" s="2165" t="s">
        <v>5068</v>
      </c>
      <c r="P14" s="2166"/>
      <c r="Q14" s="2166" t="s">
        <v>5069</v>
      </c>
      <c r="R14" s="149"/>
      <c r="S14" s="149"/>
    </row>
    <row r="15" spans="1:21" ht="12" customHeight="1" x14ac:dyDescent="0.25">
      <c r="A15" s="8" t="str">
        <f t="shared" si="0"/>
        <v>01</v>
      </c>
      <c r="B15" s="297"/>
      <c r="C15" s="297"/>
      <c r="D15" s="297"/>
      <c r="E15" s="297"/>
      <c r="F15" s="297"/>
      <c r="G15" s="297"/>
      <c r="H15" s="297"/>
      <c r="I15" s="297"/>
      <c r="J15" s="297"/>
      <c r="K15" s="300"/>
      <c r="L15" s="301"/>
      <c r="M15" s="303"/>
      <c r="N15" s="303"/>
      <c r="O15" s="303" t="s">
        <v>1203</v>
      </c>
      <c r="P15" s="302"/>
      <c r="Q15" s="302"/>
      <c r="R15" s="299"/>
      <c r="S15" s="299"/>
    </row>
    <row r="16" spans="1:21" ht="12" customHeight="1" x14ac:dyDescent="0.25">
      <c r="A16" s="8" t="str">
        <f t="shared" si="0"/>
        <v>01</v>
      </c>
      <c r="B16" s="297"/>
      <c r="C16" s="297"/>
      <c r="D16" s="297"/>
      <c r="E16" s="297"/>
      <c r="F16" s="297"/>
      <c r="G16" s="297"/>
      <c r="H16" s="297"/>
      <c r="I16" s="297"/>
      <c r="J16" s="297"/>
      <c r="K16" s="303"/>
      <c r="L16" s="301"/>
      <c r="M16" s="303"/>
      <c r="N16" s="302"/>
      <c r="O16" s="303" t="s">
        <v>1204</v>
      </c>
      <c r="P16" s="302"/>
      <c r="Q16" s="303"/>
      <c r="R16" s="299"/>
      <c r="S16" s="299"/>
    </row>
    <row r="17" spans="1:21" ht="12" customHeight="1" x14ac:dyDescent="0.25">
      <c r="A17" s="8" t="str">
        <f t="shared" si="0"/>
        <v>01</v>
      </c>
      <c r="B17" s="297"/>
      <c r="C17" s="303"/>
      <c r="D17" s="297"/>
      <c r="E17" s="298" t="s">
        <v>973</v>
      </c>
      <c r="F17" s="298"/>
      <c r="G17" s="297"/>
      <c r="H17" s="297"/>
      <c r="I17" s="297"/>
      <c r="J17" s="297"/>
      <c r="K17" s="303" t="s">
        <v>1158</v>
      </c>
      <c r="L17" s="297"/>
      <c r="M17" s="303" t="s">
        <v>1203</v>
      </c>
      <c r="N17" s="302"/>
      <c r="O17" s="303" t="s">
        <v>1205</v>
      </c>
      <c r="P17" s="302"/>
      <c r="Q17" s="303" t="s">
        <v>103</v>
      </c>
      <c r="R17" s="299"/>
      <c r="S17" s="299"/>
      <c r="U17" s="1138" t="s">
        <v>1673</v>
      </c>
    </row>
    <row r="18" spans="1:21" ht="12" customHeight="1" x14ac:dyDescent="0.25">
      <c r="A18" s="8" t="str">
        <f t="shared" si="0"/>
        <v>01</v>
      </c>
      <c r="B18" s="304" t="s">
        <v>653</v>
      </c>
      <c r="C18" s="305"/>
      <c r="D18" s="305"/>
      <c r="E18" s="305"/>
      <c r="F18" s="304"/>
      <c r="G18" s="305"/>
      <c r="H18" s="297"/>
      <c r="I18" s="297"/>
      <c r="J18" s="297"/>
      <c r="K18" s="306" t="s">
        <v>740</v>
      </c>
      <c r="L18" s="297"/>
      <c r="M18" s="306" t="s">
        <v>1206</v>
      </c>
      <c r="N18" s="307"/>
      <c r="O18" s="306" t="s">
        <v>1207</v>
      </c>
      <c r="P18" s="307"/>
      <c r="Q18" s="306" t="s">
        <v>548</v>
      </c>
      <c r="R18" s="299"/>
      <c r="S18" s="299"/>
      <c r="U18" s="1139" t="s">
        <v>1160</v>
      </c>
    </row>
    <row r="19" spans="1:21" ht="12" customHeight="1" x14ac:dyDescent="0.2">
      <c r="A19" s="8" t="str">
        <f t="shared" si="0"/>
        <v>01</v>
      </c>
      <c r="B19" s="299"/>
      <c r="C19" s="299"/>
      <c r="D19" s="299"/>
      <c r="E19" s="299"/>
      <c r="F19" s="299"/>
      <c r="G19" s="299"/>
      <c r="H19" s="299"/>
      <c r="I19" s="308"/>
      <c r="J19" s="308"/>
      <c r="K19" s="310" t="s">
        <v>118</v>
      </c>
      <c r="L19" s="310"/>
      <c r="M19" s="310" t="s">
        <v>119</v>
      </c>
      <c r="N19" s="310"/>
      <c r="O19" s="310" t="s">
        <v>996</v>
      </c>
      <c r="P19" s="299"/>
      <c r="Q19" s="310" t="s">
        <v>997</v>
      </c>
      <c r="R19" s="310"/>
      <c r="S19" s="299"/>
    </row>
    <row r="20" spans="1:21" ht="12" customHeight="1" x14ac:dyDescent="0.2">
      <c r="A20" s="8" t="str">
        <f t="shared" si="0"/>
        <v>01</v>
      </c>
      <c r="B20" s="309" t="s">
        <v>654</v>
      </c>
      <c r="C20" s="311"/>
      <c r="D20" s="299"/>
      <c r="E20" s="299"/>
      <c r="F20" s="299"/>
      <c r="G20" s="299"/>
      <c r="H20" s="299"/>
      <c r="I20" s="308"/>
      <c r="J20" s="308"/>
      <c r="K20" s="312"/>
      <c r="L20" s="312"/>
      <c r="M20" s="312"/>
      <c r="N20" s="312"/>
      <c r="O20" s="312"/>
      <c r="P20" s="312"/>
      <c r="Q20" s="312"/>
      <c r="R20" s="312"/>
      <c r="S20" s="299"/>
    </row>
    <row r="21" spans="1:21" ht="12" customHeight="1" x14ac:dyDescent="0.25">
      <c r="A21" s="8" t="str">
        <f t="shared" si="0"/>
        <v>01</v>
      </c>
      <c r="B21" s="313" t="s">
        <v>1208</v>
      </c>
      <c r="C21" s="314"/>
      <c r="D21" s="299"/>
      <c r="E21" s="299"/>
      <c r="F21" s="299"/>
      <c r="G21" s="299"/>
      <c r="H21" s="299"/>
      <c r="I21" s="150" t="s">
        <v>1579</v>
      </c>
      <c r="J21" s="315"/>
      <c r="K21" s="1308">
        <f>M21+O21+Q21</f>
        <v>0</v>
      </c>
      <c r="L21" s="316"/>
      <c r="M21" s="613"/>
      <c r="N21" s="316"/>
      <c r="O21" s="613"/>
      <c r="P21" s="316"/>
      <c r="Q21" s="613"/>
      <c r="R21" s="312"/>
      <c r="S21" s="609" t="str">
        <f>IF(T21=FALSE,"*","")</f>
        <v/>
      </c>
      <c r="T21" s="610" t="b">
        <f>+K21=SUM(M21,O21,Q21)</f>
        <v>1</v>
      </c>
      <c r="U21" s="1137">
        <f>K21-SUM(M21,O21,Q21)</f>
        <v>0</v>
      </c>
    </row>
    <row r="22" spans="1:21" ht="12" customHeight="1" x14ac:dyDescent="0.25">
      <c r="A22" s="8" t="str">
        <f t="shared" si="0"/>
        <v>01</v>
      </c>
      <c r="B22" s="313" t="s">
        <v>921</v>
      </c>
      <c r="C22" s="314"/>
      <c r="D22" s="299"/>
      <c r="E22" s="299"/>
      <c r="F22" s="299"/>
      <c r="G22" s="299"/>
      <c r="H22" s="299"/>
      <c r="I22" s="150" t="s">
        <v>1580</v>
      </c>
      <c r="J22" s="315"/>
      <c r="K22" s="1308">
        <f t="shared" ref="K22:K37" si="1">M22+O22+Q22</f>
        <v>0</v>
      </c>
      <c r="L22" s="316"/>
      <c r="M22" s="613"/>
      <c r="N22" s="316"/>
      <c r="O22" s="613"/>
      <c r="P22" s="316"/>
      <c r="Q22" s="613"/>
      <c r="R22" s="312"/>
      <c r="S22" s="609" t="str">
        <f t="shared" ref="S22:S35" si="2">IF(T22=FALSE,"*","")</f>
        <v/>
      </c>
      <c r="T22" s="610" t="b">
        <f t="shared" ref="T22:T35" si="3">+K22=SUM(M22,O22,Q22)</f>
        <v>1</v>
      </c>
      <c r="U22" s="1137">
        <f t="shared" ref="U22:U35" si="4">K22-SUM(M22,O22,Q22)</f>
        <v>0</v>
      </c>
    </row>
    <row r="23" spans="1:21" ht="12" customHeight="1" x14ac:dyDescent="0.25">
      <c r="A23" s="8" t="str">
        <f t="shared" si="0"/>
        <v>01</v>
      </c>
      <c r="B23" s="313" t="s">
        <v>1851</v>
      </c>
      <c r="C23" s="314"/>
      <c r="D23" s="299"/>
      <c r="E23" s="299"/>
      <c r="F23" s="299"/>
      <c r="G23" s="299"/>
      <c r="H23" s="299"/>
      <c r="I23" s="150" t="s">
        <v>1581</v>
      </c>
      <c r="J23" s="315"/>
      <c r="K23" s="1308">
        <f t="shared" si="1"/>
        <v>0</v>
      </c>
      <c r="L23" s="316"/>
      <c r="M23" s="613"/>
      <c r="N23" s="316"/>
      <c r="O23" s="613"/>
      <c r="P23" s="316"/>
      <c r="Q23" s="613"/>
      <c r="R23" s="312"/>
      <c r="S23" s="609" t="str">
        <f t="shared" si="2"/>
        <v/>
      </c>
      <c r="T23" s="610" t="b">
        <f t="shared" si="3"/>
        <v>1</v>
      </c>
      <c r="U23" s="1137">
        <f t="shared" si="4"/>
        <v>0</v>
      </c>
    </row>
    <row r="24" spans="1:21" ht="12" customHeight="1" x14ac:dyDescent="0.25">
      <c r="A24" s="8" t="str">
        <f t="shared" si="0"/>
        <v>01</v>
      </c>
      <c r="B24" s="313" t="s">
        <v>1852</v>
      </c>
      <c r="C24" s="314"/>
      <c r="D24" s="299"/>
      <c r="E24" s="299"/>
      <c r="F24" s="299"/>
      <c r="G24" s="299"/>
      <c r="H24" s="299"/>
      <c r="I24" s="150" t="s">
        <v>1582</v>
      </c>
      <c r="J24" s="315"/>
      <c r="K24" s="1308">
        <f t="shared" si="1"/>
        <v>0</v>
      </c>
      <c r="L24" s="316"/>
      <c r="M24" s="613"/>
      <c r="N24" s="316"/>
      <c r="O24" s="613"/>
      <c r="P24" s="316"/>
      <c r="Q24" s="613"/>
      <c r="R24" s="312"/>
      <c r="S24" s="609" t="str">
        <f t="shared" si="2"/>
        <v/>
      </c>
      <c r="T24" s="610" t="b">
        <f t="shared" si="3"/>
        <v>1</v>
      </c>
      <c r="U24" s="1137">
        <f t="shared" si="4"/>
        <v>0</v>
      </c>
    </row>
    <row r="25" spans="1:21" ht="12" customHeight="1" x14ac:dyDescent="0.25">
      <c r="A25" s="8" t="str">
        <f t="shared" si="0"/>
        <v>01</v>
      </c>
      <c r="B25" s="313" t="s">
        <v>1853</v>
      </c>
      <c r="C25" s="314"/>
      <c r="D25" s="299"/>
      <c r="E25" s="299"/>
      <c r="F25" s="299"/>
      <c r="G25" s="299"/>
      <c r="H25" s="299"/>
      <c r="I25" s="150" t="s">
        <v>1583</v>
      </c>
      <c r="J25" s="315"/>
      <c r="K25" s="1308">
        <f t="shared" si="1"/>
        <v>0</v>
      </c>
      <c r="L25" s="316"/>
      <c r="M25" s="613"/>
      <c r="N25" s="316"/>
      <c r="O25" s="613"/>
      <c r="P25" s="316"/>
      <c r="Q25" s="613"/>
      <c r="R25" s="312"/>
      <c r="S25" s="609" t="str">
        <f t="shared" si="2"/>
        <v/>
      </c>
      <c r="T25" s="610" t="b">
        <f t="shared" si="3"/>
        <v>1</v>
      </c>
      <c r="U25" s="1137">
        <f t="shared" si="4"/>
        <v>0</v>
      </c>
    </row>
    <row r="26" spans="1:21" ht="12" customHeight="1" x14ac:dyDescent="0.25">
      <c r="A26" s="8" t="str">
        <f t="shared" si="0"/>
        <v>01</v>
      </c>
      <c r="B26" s="313" t="s">
        <v>1854</v>
      </c>
      <c r="C26" s="314"/>
      <c r="D26" s="299"/>
      <c r="E26" s="299"/>
      <c r="F26" s="299"/>
      <c r="G26" s="299"/>
      <c r="H26" s="299"/>
      <c r="I26" s="150" t="s">
        <v>1584</v>
      </c>
      <c r="J26" s="315"/>
      <c r="K26" s="1308">
        <f t="shared" si="1"/>
        <v>0</v>
      </c>
      <c r="L26" s="316"/>
      <c r="M26" s="613"/>
      <c r="N26" s="316"/>
      <c r="O26" s="613"/>
      <c r="P26" s="316"/>
      <c r="Q26" s="613"/>
      <c r="R26" s="312"/>
      <c r="S26" s="609" t="str">
        <f t="shared" si="2"/>
        <v/>
      </c>
      <c r="T26" s="610" t="b">
        <f t="shared" si="3"/>
        <v>1</v>
      </c>
      <c r="U26" s="1137">
        <f t="shared" si="4"/>
        <v>0</v>
      </c>
    </row>
    <row r="27" spans="1:21" ht="12" customHeight="1" x14ac:dyDescent="0.25">
      <c r="A27" s="8" t="str">
        <f t="shared" si="0"/>
        <v>01</v>
      </c>
      <c r="B27" s="313" t="s">
        <v>1855</v>
      </c>
      <c r="C27" s="314"/>
      <c r="D27" s="299"/>
      <c r="E27" s="299"/>
      <c r="F27" s="299"/>
      <c r="G27" s="299"/>
      <c r="H27" s="299"/>
      <c r="I27" s="150" t="s">
        <v>1585</v>
      </c>
      <c r="J27" s="315"/>
      <c r="K27" s="1308">
        <f t="shared" si="1"/>
        <v>0</v>
      </c>
      <c r="L27" s="316"/>
      <c r="M27" s="613"/>
      <c r="N27" s="316"/>
      <c r="O27" s="613"/>
      <c r="P27" s="316"/>
      <c r="Q27" s="613"/>
      <c r="R27" s="312"/>
      <c r="S27" s="609" t="str">
        <f t="shared" si="2"/>
        <v/>
      </c>
      <c r="T27" s="610" t="b">
        <f t="shared" si="3"/>
        <v>1</v>
      </c>
      <c r="U27" s="1137">
        <f t="shared" si="4"/>
        <v>0</v>
      </c>
    </row>
    <row r="28" spans="1:21" ht="12" customHeight="1" x14ac:dyDescent="0.25">
      <c r="A28" s="8" t="str">
        <f t="shared" si="0"/>
        <v>01</v>
      </c>
      <c r="B28" s="313" t="s">
        <v>1856</v>
      </c>
      <c r="C28" s="314"/>
      <c r="D28" s="299"/>
      <c r="E28" s="299"/>
      <c r="F28" s="299"/>
      <c r="G28" s="299"/>
      <c r="H28" s="299"/>
      <c r="I28" s="150" t="s">
        <v>1586</v>
      </c>
      <c r="J28" s="315"/>
      <c r="K28" s="1308">
        <f t="shared" si="1"/>
        <v>0</v>
      </c>
      <c r="L28" s="316"/>
      <c r="M28" s="613"/>
      <c r="N28" s="316"/>
      <c r="O28" s="613"/>
      <c r="P28" s="316"/>
      <c r="Q28" s="613"/>
      <c r="R28" s="312"/>
      <c r="S28" s="609" t="str">
        <f>IF(T28=FALSE,"*","")</f>
        <v/>
      </c>
      <c r="T28" s="610" t="b">
        <f>+K28=SUM(M28,O28,Q28)</f>
        <v>1</v>
      </c>
      <c r="U28" s="1137">
        <f t="shared" si="4"/>
        <v>0</v>
      </c>
    </row>
    <row r="29" spans="1:21" ht="12" customHeight="1" x14ac:dyDescent="0.25">
      <c r="A29" s="8" t="str">
        <f t="shared" si="0"/>
        <v>01</v>
      </c>
      <c r="B29" s="313" t="s">
        <v>1857</v>
      </c>
      <c r="C29" s="314"/>
      <c r="D29" s="299"/>
      <c r="E29" s="299"/>
      <c r="F29" s="299"/>
      <c r="G29" s="299"/>
      <c r="H29" s="299"/>
      <c r="I29" s="150" t="s">
        <v>1587</v>
      </c>
      <c r="J29" s="315"/>
      <c r="K29" s="1308">
        <f t="shared" si="1"/>
        <v>0</v>
      </c>
      <c r="L29" s="316"/>
      <c r="M29" s="613"/>
      <c r="N29" s="316"/>
      <c r="O29" s="613"/>
      <c r="P29" s="316"/>
      <c r="Q29" s="613"/>
      <c r="R29" s="312"/>
      <c r="S29" s="609" t="str">
        <f t="shared" si="2"/>
        <v/>
      </c>
      <c r="T29" s="610" t="b">
        <f t="shared" si="3"/>
        <v>1</v>
      </c>
      <c r="U29" s="1137">
        <f t="shared" si="4"/>
        <v>0</v>
      </c>
    </row>
    <row r="30" spans="1:21" ht="12" customHeight="1" x14ac:dyDescent="0.25">
      <c r="A30" s="8" t="str">
        <f t="shared" si="0"/>
        <v>01</v>
      </c>
      <c r="B30" s="313" t="s">
        <v>655</v>
      </c>
      <c r="C30" s="314"/>
      <c r="D30" s="299"/>
      <c r="E30" s="299"/>
      <c r="F30" s="299"/>
      <c r="G30" s="299"/>
      <c r="H30" s="299"/>
      <c r="I30" s="150" t="s">
        <v>1588</v>
      </c>
      <c r="J30" s="315"/>
      <c r="K30" s="1308">
        <f t="shared" si="1"/>
        <v>0</v>
      </c>
      <c r="L30" s="316"/>
      <c r="M30" s="613"/>
      <c r="N30" s="316"/>
      <c r="O30" s="613"/>
      <c r="P30" s="316"/>
      <c r="Q30" s="613"/>
      <c r="R30" s="312"/>
      <c r="S30" s="609" t="str">
        <f t="shared" si="2"/>
        <v/>
      </c>
      <c r="T30" s="610" t="b">
        <f t="shared" si="3"/>
        <v>1</v>
      </c>
      <c r="U30" s="1137">
        <f t="shared" si="4"/>
        <v>0</v>
      </c>
    </row>
    <row r="31" spans="1:21" ht="12" customHeight="1" x14ac:dyDescent="0.25">
      <c r="A31" s="8" t="str">
        <f t="shared" si="0"/>
        <v>01</v>
      </c>
      <c r="B31" s="313" t="s">
        <v>1858</v>
      </c>
      <c r="C31" s="314"/>
      <c r="D31" s="299"/>
      <c r="E31" s="299"/>
      <c r="F31" s="299"/>
      <c r="G31" s="299"/>
      <c r="H31" s="299"/>
      <c r="I31" s="150" t="s">
        <v>1589</v>
      </c>
      <c r="J31" s="315"/>
      <c r="K31" s="1308">
        <f t="shared" si="1"/>
        <v>0</v>
      </c>
      <c r="L31" s="316"/>
      <c r="M31" s="613"/>
      <c r="N31" s="316"/>
      <c r="O31" s="613"/>
      <c r="P31" s="316"/>
      <c r="Q31" s="613"/>
      <c r="R31" s="312"/>
      <c r="S31" s="609" t="str">
        <f t="shared" si="2"/>
        <v/>
      </c>
      <c r="T31" s="610" t="b">
        <f t="shared" si="3"/>
        <v>1</v>
      </c>
      <c r="U31" s="1137">
        <f t="shared" si="4"/>
        <v>0</v>
      </c>
    </row>
    <row r="32" spans="1:21" ht="12" customHeight="1" x14ac:dyDescent="0.25">
      <c r="A32" s="8" t="str">
        <f t="shared" si="0"/>
        <v>01</v>
      </c>
      <c r="B32" s="313" t="s">
        <v>1859</v>
      </c>
      <c r="C32" s="314"/>
      <c r="D32" s="299"/>
      <c r="E32" s="299"/>
      <c r="F32" s="299"/>
      <c r="G32" s="299"/>
      <c r="H32" s="299"/>
      <c r="I32" s="150" t="s">
        <v>1590</v>
      </c>
      <c r="J32" s="315"/>
      <c r="K32" s="1308">
        <f t="shared" si="1"/>
        <v>0</v>
      </c>
      <c r="L32" s="316"/>
      <c r="M32" s="613"/>
      <c r="N32" s="316"/>
      <c r="O32" s="613"/>
      <c r="P32" s="316"/>
      <c r="Q32" s="613"/>
      <c r="R32" s="312"/>
      <c r="S32" s="609" t="str">
        <f t="shared" si="2"/>
        <v/>
      </c>
      <c r="T32" s="610" t="b">
        <f t="shared" si="3"/>
        <v>1</v>
      </c>
      <c r="U32" s="1137">
        <f t="shared" si="4"/>
        <v>0</v>
      </c>
    </row>
    <row r="33" spans="1:21" ht="12" customHeight="1" x14ac:dyDescent="0.25">
      <c r="A33" s="8" t="str">
        <f t="shared" ref="A33:A64" si="5">AgyIdx</f>
        <v>01</v>
      </c>
      <c r="B33" s="313" t="s">
        <v>1860</v>
      </c>
      <c r="C33" s="314"/>
      <c r="D33" s="299"/>
      <c r="E33" s="299"/>
      <c r="F33" s="299"/>
      <c r="G33" s="299"/>
      <c r="H33" s="299"/>
      <c r="I33" s="150" t="s">
        <v>1591</v>
      </c>
      <c r="J33" s="315"/>
      <c r="K33" s="1308">
        <f t="shared" si="1"/>
        <v>0</v>
      </c>
      <c r="L33" s="316"/>
      <c r="M33" s="613"/>
      <c r="N33" s="316"/>
      <c r="O33" s="613"/>
      <c r="P33" s="316"/>
      <c r="Q33" s="613"/>
      <c r="R33" s="312"/>
      <c r="S33" s="609" t="str">
        <f t="shared" si="2"/>
        <v/>
      </c>
      <c r="T33" s="610" t="b">
        <f t="shared" si="3"/>
        <v>1</v>
      </c>
      <c r="U33" s="1137">
        <f t="shared" si="4"/>
        <v>0</v>
      </c>
    </row>
    <row r="34" spans="1:21" ht="12" customHeight="1" x14ac:dyDescent="0.25">
      <c r="A34" s="8" t="str">
        <f t="shared" si="5"/>
        <v>01</v>
      </c>
      <c r="B34" s="149" t="s">
        <v>1861</v>
      </c>
      <c r="C34" s="314"/>
      <c r="D34" s="299"/>
      <c r="E34" s="299"/>
      <c r="F34" s="299"/>
      <c r="G34" s="299"/>
      <c r="H34" s="299"/>
      <c r="I34" s="150" t="s">
        <v>1592</v>
      </c>
      <c r="J34" s="315"/>
      <c r="K34" s="1308">
        <f t="shared" si="1"/>
        <v>0</v>
      </c>
      <c r="L34" s="316"/>
      <c r="M34" s="614"/>
      <c r="N34" s="316"/>
      <c r="O34" s="614"/>
      <c r="P34" s="316"/>
      <c r="Q34" s="613"/>
      <c r="R34" s="312"/>
      <c r="S34" s="609" t="str">
        <f t="shared" si="2"/>
        <v/>
      </c>
      <c r="T34" s="610" t="b">
        <f t="shared" si="3"/>
        <v>1</v>
      </c>
      <c r="U34" s="1137">
        <f t="shared" si="4"/>
        <v>0</v>
      </c>
    </row>
    <row r="35" spans="1:21" ht="12" customHeight="1" x14ac:dyDescent="0.25">
      <c r="A35" s="8" t="str">
        <f t="shared" si="5"/>
        <v>01</v>
      </c>
      <c r="B35" s="149" t="s">
        <v>1862</v>
      </c>
      <c r="C35" s="314"/>
      <c r="D35" s="299"/>
      <c r="E35" s="299"/>
      <c r="F35" s="299"/>
      <c r="G35" s="299"/>
      <c r="H35" s="299"/>
      <c r="I35" s="150" t="s">
        <v>1593</v>
      </c>
      <c r="J35" s="315"/>
      <c r="K35" s="1308">
        <f t="shared" si="1"/>
        <v>0</v>
      </c>
      <c r="L35" s="316"/>
      <c r="M35" s="614"/>
      <c r="N35" s="316"/>
      <c r="O35" s="614"/>
      <c r="P35" s="316"/>
      <c r="Q35" s="613"/>
      <c r="R35" s="312"/>
      <c r="S35" s="609" t="str">
        <f t="shared" si="2"/>
        <v/>
      </c>
      <c r="T35" s="610" t="b">
        <f t="shared" si="3"/>
        <v>1</v>
      </c>
      <c r="U35" s="1137">
        <f t="shared" si="4"/>
        <v>0</v>
      </c>
    </row>
    <row r="36" spans="1:21" ht="12" customHeight="1" x14ac:dyDescent="0.25">
      <c r="A36" s="8" t="str">
        <f t="shared" si="5"/>
        <v>01</v>
      </c>
      <c r="B36" s="299" t="s">
        <v>1674</v>
      </c>
      <c r="C36" s="2911" t="s">
        <v>5090</v>
      </c>
      <c r="D36" s="2911"/>
      <c r="E36" s="2911"/>
      <c r="F36" s="2911"/>
      <c r="G36" s="2911"/>
      <c r="H36" s="299"/>
      <c r="I36" s="1273" t="s">
        <v>1594</v>
      </c>
      <c r="J36" s="315"/>
      <c r="K36" s="1308">
        <f t="shared" si="1"/>
        <v>0</v>
      </c>
      <c r="L36" s="316"/>
      <c r="M36" s="614"/>
      <c r="N36" s="316"/>
      <c r="O36" s="614"/>
      <c r="P36" s="316"/>
      <c r="Q36" s="613"/>
      <c r="R36" s="312"/>
      <c r="S36" s="609"/>
      <c r="T36" s="610" t="b">
        <f>+K36=SUM(M36,O36,Q36)</f>
        <v>1</v>
      </c>
      <c r="U36" s="1137">
        <f>K36-SUM(M36,O36,Q36)</f>
        <v>0</v>
      </c>
    </row>
    <row r="37" spans="1:21" ht="14.25" customHeight="1" thickBot="1" x14ac:dyDescent="0.3">
      <c r="A37" s="8" t="str">
        <f t="shared" si="5"/>
        <v>01</v>
      </c>
      <c r="B37" s="149" t="s">
        <v>1675</v>
      </c>
      <c r="C37" s="2911" t="s">
        <v>5090</v>
      </c>
      <c r="D37" s="2911"/>
      <c r="E37" s="2911"/>
      <c r="F37" s="2911"/>
      <c r="G37" s="2911"/>
      <c r="H37" s="299"/>
      <c r="I37" s="1273" t="s">
        <v>1863</v>
      </c>
      <c r="J37" s="315"/>
      <c r="K37" s="1308">
        <f t="shared" si="1"/>
        <v>0</v>
      </c>
      <c r="L37" s="316"/>
      <c r="M37" s="1272"/>
      <c r="N37" s="316"/>
      <c r="O37" s="1272"/>
      <c r="P37" s="316"/>
      <c r="Q37" s="1272"/>
      <c r="R37" s="312"/>
      <c r="S37" s="609"/>
      <c r="T37" s="610" t="b">
        <f>+K37=SUM(M37,O37,Q37)</f>
        <v>1</v>
      </c>
      <c r="U37" s="1137">
        <f>K37-SUM(M37,O37,Q37)</f>
        <v>0</v>
      </c>
    </row>
    <row r="38" spans="1:21" ht="14.1" customHeight="1" thickBot="1" x14ac:dyDescent="0.3">
      <c r="A38" s="8" t="str">
        <f t="shared" si="5"/>
        <v>01</v>
      </c>
      <c r="B38" s="311" t="s">
        <v>1683</v>
      </c>
      <c r="C38" s="299"/>
      <c r="D38" s="299"/>
      <c r="E38" s="299"/>
      <c r="F38" s="299"/>
      <c r="G38" s="299"/>
      <c r="H38" s="299"/>
      <c r="I38" s="1273" t="s">
        <v>1864</v>
      </c>
      <c r="J38" s="315"/>
      <c r="K38" s="317">
        <f>SUM(K21:K37)</f>
        <v>0</v>
      </c>
      <c r="L38" s="316"/>
      <c r="M38" s="317">
        <f>SUM(M21:M37)</f>
        <v>0</v>
      </c>
      <c r="N38" s="316"/>
      <c r="O38" s="317">
        <f>SUM(O21:O37)</f>
        <v>0</v>
      </c>
      <c r="P38" s="316"/>
      <c r="Q38" s="317">
        <f>SUM(Q21:Q37)</f>
        <v>0</v>
      </c>
      <c r="R38" s="312"/>
      <c r="S38" s="611"/>
    </row>
    <row r="39" spans="1:21" ht="4.3499999999999996" customHeight="1" x14ac:dyDescent="0.25">
      <c r="A39" s="8" t="str">
        <f t="shared" si="5"/>
        <v>01</v>
      </c>
      <c r="B39" s="299"/>
      <c r="C39" s="299"/>
      <c r="D39" s="299"/>
      <c r="E39" s="299"/>
      <c r="F39" s="299"/>
      <c r="G39" s="299"/>
      <c r="H39" s="299"/>
      <c r="I39" s="150"/>
      <c r="J39" s="315"/>
      <c r="K39" s="316"/>
      <c r="L39" s="318"/>
      <c r="M39" s="318"/>
      <c r="N39" s="318"/>
      <c r="O39" s="318"/>
      <c r="P39" s="318"/>
      <c r="Q39" s="318"/>
      <c r="R39" s="299"/>
      <c r="S39" s="299"/>
    </row>
    <row r="40" spans="1:21" ht="15" customHeight="1" x14ac:dyDescent="0.25">
      <c r="A40" s="8" t="str">
        <f t="shared" si="5"/>
        <v>01</v>
      </c>
      <c r="B40" s="309" t="s">
        <v>984</v>
      </c>
      <c r="C40" s="311"/>
      <c r="D40" s="299"/>
      <c r="E40" s="299"/>
      <c r="F40" s="299"/>
      <c r="G40" s="299"/>
      <c r="H40" s="299"/>
      <c r="I40" s="150"/>
      <c r="J40" s="315"/>
      <c r="K40" s="316"/>
      <c r="L40" s="318"/>
      <c r="M40" s="319"/>
      <c r="N40" s="318"/>
      <c r="O40" s="318"/>
      <c r="P40" s="318"/>
      <c r="Q40" s="318"/>
      <c r="R40" s="299"/>
      <c r="S40" s="299"/>
    </row>
    <row r="41" spans="1:21" ht="12" customHeight="1" x14ac:dyDescent="0.25">
      <c r="A41" s="8" t="str">
        <f t="shared" si="5"/>
        <v>01</v>
      </c>
      <c r="B41" s="149" t="s">
        <v>1865</v>
      </c>
      <c r="C41" s="314"/>
      <c r="D41" s="299"/>
      <c r="E41" s="299"/>
      <c r="F41" s="299"/>
      <c r="G41" s="299"/>
      <c r="H41" s="299"/>
      <c r="I41" s="150" t="s">
        <v>1595</v>
      </c>
      <c r="J41" s="315"/>
      <c r="K41" s="613"/>
      <c r="L41" s="316"/>
      <c r="M41" s="316"/>
      <c r="N41" s="318"/>
      <c r="O41" s="318"/>
      <c r="P41" s="318"/>
      <c r="Q41" s="318"/>
      <c r="R41" s="299"/>
      <c r="S41" s="299"/>
    </row>
    <row r="42" spans="1:21" ht="12" customHeight="1" x14ac:dyDescent="0.25">
      <c r="A42" s="8" t="str">
        <f t="shared" si="5"/>
        <v>01</v>
      </c>
      <c r="B42" s="149" t="s">
        <v>1877</v>
      </c>
      <c r="C42" s="314"/>
      <c r="D42" s="299"/>
      <c r="E42" s="299"/>
      <c r="F42" s="299"/>
      <c r="G42" s="299"/>
      <c r="H42" s="299"/>
      <c r="I42" s="150" t="s">
        <v>1596</v>
      </c>
      <c r="J42" s="315"/>
      <c r="K42" s="613"/>
      <c r="L42" s="316"/>
      <c r="M42" s="316"/>
      <c r="N42" s="318"/>
      <c r="O42" s="318"/>
      <c r="P42" s="318"/>
      <c r="Q42" s="318"/>
      <c r="R42" s="299"/>
      <c r="S42" s="299"/>
    </row>
    <row r="43" spans="1:21" ht="12" customHeight="1" x14ac:dyDescent="0.25">
      <c r="A43" s="8" t="str">
        <f t="shared" si="5"/>
        <v>01</v>
      </c>
      <c r="B43" s="299" t="s">
        <v>924</v>
      </c>
      <c r="C43" s="314"/>
      <c r="D43" s="299"/>
      <c r="E43" s="299"/>
      <c r="F43" s="299"/>
      <c r="G43" s="299"/>
      <c r="H43" s="299"/>
      <c r="I43" s="150" t="s">
        <v>1597</v>
      </c>
      <c r="J43" s="315"/>
      <c r="K43" s="613"/>
      <c r="L43" s="316"/>
      <c r="M43" s="316"/>
      <c r="N43" s="318"/>
      <c r="O43" s="318"/>
      <c r="P43" s="318"/>
      <c r="Q43" s="318"/>
      <c r="R43" s="299"/>
      <c r="S43" s="299"/>
    </row>
    <row r="44" spans="1:21" ht="12" customHeight="1" x14ac:dyDescent="0.25">
      <c r="A44" s="8" t="str">
        <f t="shared" si="5"/>
        <v>01</v>
      </c>
      <c r="B44" s="313" t="s">
        <v>1866</v>
      </c>
      <c r="C44" s="314"/>
      <c r="D44" s="299"/>
      <c r="E44" s="299"/>
      <c r="F44" s="299"/>
      <c r="G44" s="299"/>
      <c r="H44" s="299"/>
      <c r="I44" s="150" t="s">
        <v>1598</v>
      </c>
      <c r="J44" s="315"/>
      <c r="K44" s="613"/>
      <c r="L44" s="316"/>
      <c r="M44" s="316"/>
      <c r="N44" s="318"/>
      <c r="O44" s="318"/>
      <c r="P44" s="318"/>
      <c r="Q44" s="318"/>
      <c r="R44" s="299"/>
      <c r="S44" s="299"/>
    </row>
    <row r="45" spans="1:21" ht="12" customHeight="1" x14ac:dyDescent="0.25">
      <c r="A45" s="8" t="str">
        <f t="shared" si="5"/>
        <v>01</v>
      </c>
      <c r="B45" s="313" t="s">
        <v>1867</v>
      </c>
      <c r="C45" s="314"/>
      <c r="D45" s="299"/>
      <c r="E45" s="299"/>
      <c r="F45" s="299"/>
      <c r="G45" s="299"/>
      <c r="H45" s="299"/>
      <c r="I45" s="150" t="s">
        <v>1599</v>
      </c>
      <c r="J45" s="315"/>
      <c r="K45" s="613"/>
      <c r="L45" s="316"/>
      <c r="M45" s="316"/>
      <c r="N45" s="318"/>
      <c r="O45" s="318"/>
      <c r="P45" s="318"/>
      <c r="Q45" s="318"/>
      <c r="R45" s="299"/>
      <c r="S45" s="299"/>
    </row>
    <row r="46" spans="1:21" ht="12" customHeight="1" x14ac:dyDescent="0.25">
      <c r="A46" s="8" t="str">
        <f t="shared" si="5"/>
        <v>01</v>
      </c>
      <c r="B46" s="149" t="s">
        <v>1868</v>
      </c>
      <c r="C46" s="314"/>
      <c r="D46" s="299"/>
      <c r="E46" s="299"/>
      <c r="F46" s="299"/>
      <c r="G46" s="299"/>
      <c r="H46" s="299"/>
      <c r="I46" s="150" t="s">
        <v>1600</v>
      </c>
      <c r="J46" s="315"/>
      <c r="K46" s="613"/>
      <c r="L46" s="316"/>
      <c r="M46" s="316"/>
      <c r="N46" s="318"/>
      <c r="O46" s="318"/>
      <c r="P46" s="318"/>
      <c r="Q46" s="318"/>
      <c r="R46" s="299"/>
      <c r="S46" s="299"/>
    </row>
    <row r="47" spans="1:21" ht="12" customHeight="1" x14ac:dyDescent="0.25">
      <c r="A47" s="8" t="str">
        <f t="shared" si="5"/>
        <v>01</v>
      </c>
      <c r="B47" s="149" t="s">
        <v>1869</v>
      </c>
      <c r="C47" s="314"/>
      <c r="D47" s="299"/>
      <c r="E47" s="299"/>
      <c r="F47" s="299"/>
      <c r="G47" s="299"/>
      <c r="H47" s="299"/>
      <c r="I47" s="150" t="s">
        <v>1601</v>
      </c>
      <c r="J47" s="315"/>
      <c r="K47" s="613"/>
      <c r="L47" s="316"/>
      <c r="M47" s="316"/>
      <c r="N47" s="318"/>
      <c r="O47" s="318"/>
      <c r="P47" s="318"/>
      <c r="Q47" s="318"/>
      <c r="R47" s="299"/>
      <c r="S47" s="299"/>
    </row>
    <row r="48" spans="1:21" ht="12" customHeight="1" x14ac:dyDescent="0.25">
      <c r="A48" s="8" t="str">
        <f t="shared" si="5"/>
        <v>01</v>
      </c>
      <c r="B48" s="149" t="s">
        <v>1870</v>
      </c>
      <c r="C48" s="314"/>
      <c r="D48" s="299"/>
      <c r="E48" s="299"/>
      <c r="F48" s="299"/>
      <c r="G48" s="299"/>
      <c r="H48" s="299"/>
      <c r="I48" s="150" t="s">
        <v>1602</v>
      </c>
      <c r="J48" s="315"/>
      <c r="K48" s="613"/>
      <c r="L48" s="316"/>
      <c r="M48" s="316"/>
      <c r="N48" s="318"/>
      <c r="O48" s="318"/>
      <c r="P48" s="318"/>
      <c r="Q48" s="318"/>
      <c r="R48" s="299"/>
      <c r="S48" s="299"/>
    </row>
    <row r="49" spans="1:19" ht="12" customHeight="1" x14ac:dyDescent="0.25">
      <c r="A49" s="8" t="str">
        <f t="shared" si="5"/>
        <v>01</v>
      </c>
      <c r="B49" s="149" t="s">
        <v>1871</v>
      </c>
      <c r="C49" s="314"/>
      <c r="D49" s="299"/>
      <c r="E49" s="299"/>
      <c r="F49" s="299"/>
      <c r="G49" s="299"/>
      <c r="H49" s="299"/>
      <c r="I49" s="150" t="s">
        <v>1603</v>
      </c>
      <c r="J49" s="315"/>
      <c r="K49" s="613"/>
      <c r="L49" s="316"/>
      <c r="M49" s="316"/>
      <c r="N49" s="318"/>
      <c r="O49" s="318"/>
      <c r="P49" s="318"/>
      <c r="Q49" s="318"/>
      <c r="R49" s="299"/>
      <c r="S49" s="299"/>
    </row>
    <row r="50" spans="1:19" ht="12" customHeight="1" x14ac:dyDescent="0.25">
      <c r="A50" s="8" t="str">
        <f t="shared" si="5"/>
        <v>01</v>
      </c>
      <c r="B50" s="149" t="s">
        <v>1872</v>
      </c>
      <c r="C50" s="314"/>
      <c r="D50" s="299"/>
      <c r="E50" s="299"/>
      <c r="F50" s="299"/>
      <c r="G50" s="299"/>
      <c r="H50" s="299"/>
      <c r="I50" s="150" t="s">
        <v>1604</v>
      </c>
      <c r="J50" s="315"/>
      <c r="K50" s="613"/>
      <c r="L50" s="316"/>
      <c r="M50" s="316"/>
      <c r="N50" s="318"/>
      <c r="O50" s="318"/>
      <c r="P50" s="318"/>
      <c r="Q50" s="318"/>
      <c r="R50" s="299"/>
      <c r="S50" s="299"/>
    </row>
    <row r="51" spans="1:19" ht="12" customHeight="1" x14ac:dyDescent="0.25">
      <c r="A51" s="8" t="str">
        <f t="shared" si="5"/>
        <v>01</v>
      </c>
      <c r="B51" s="149" t="s">
        <v>1873</v>
      </c>
      <c r="C51" s="314"/>
      <c r="D51" s="299"/>
      <c r="E51" s="299"/>
      <c r="F51" s="299"/>
      <c r="G51" s="299"/>
      <c r="H51" s="299"/>
      <c r="I51" s="150" t="s">
        <v>1605</v>
      </c>
      <c r="J51" s="315"/>
      <c r="K51" s="613"/>
      <c r="L51" s="320"/>
      <c r="M51" s="316"/>
      <c r="N51" s="318"/>
      <c r="O51" s="318"/>
      <c r="P51" s="318"/>
      <c r="Q51" s="318"/>
      <c r="R51" s="299"/>
      <c r="S51" s="299"/>
    </row>
    <row r="52" spans="1:19" ht="12" customHeight="1" x14ac:dyDescent="0.25">
      <c r="A52" s="8" t="str">
        <f t="shared" si="5"/>
        <v>01</v>
      </c>
      <c r="B52" s="149" t="s">
        <v>1874</v>
      </c>
      <c r="C52" s="314"/>
      <c r="D52" s="299"/>
      <c r="E52" s="299"/>
      <c r="F52" s="299"/>
      <c r="G52" s="299"/>
      <c r="H52" s="299"/>
      <c r="I52" s="150" t="s">
        <v>1606</v>
      </c>
      <c r="J52" s="315"/>
      <c r="K52" s="613"/>
      <c r="L52" s="320"/>
      <c r="M52" s="316"/>
      <c r="N52" s="318"/>
      <c r="O52" s="318"/>
      <c r="P52" s="318"/>
      <c r="Q52" s="318"/>
      <c r="R52" s="299"/>
      <c r="S52" s="299"/>
    </row>
    <row r="53" spans="1:19" ht="12" customHeight="1" x14ac:dyDescent="0.25">
      <c r="A53" s="8" t="str">
        <f t="shared" si="5"/>
        <v>01</v>
      </c>
      <c r="B53" s="149" t="s">
        <v>1875</v>
      </c>
      <c r="C53" s="314"/>
      <c r="D53" s="299"/>
      <c r="E53" s="299"/>
      <c r="F53" s="299"/>
      <c r="G53" s="299"/>
      <c r="H53" s="299"/>
      <c r="I53" s="150" t="s">
        <v>1607</v>
      </c>
      <c r="J53" s="315"/>
      <c r="K53" s="614"/>
      <c r="L53" s="320"/>
      <c r="M53" s="316"/>
      <c r="N53" s="318"/>
      <c r="O53" s="318"/>
      <c r="P53" s="318"/>
      <c r="Q53" s="318"/>
      <c r="R53" s="299"/>
      <c r="S53" s="299"/>
    </row>
    <row r="54" spans="1:19" ht="12" customHeight="1" x14ac:dyDescent="0.25">
      <c r="A54" s="8" t="str">
        <f t="shared" si="5"/>
        <v>01</v>
      </c>
      <c r="B54" s="149" t="s">
        <v>1876</v>
      </c>
      <c r="C54" s="314"/>
      <c r="D54" s="299"/>
      <c r="E54" s="299"/>
      <c r="F54" s="299"/>
      <c r="G54" s="299"/>
      <c r="H54" s="299"/>
      <c r="I54" s="150" t="s">
        <v>1608</v>
      </c>
      <c r="J54" s="315"/>
      <c r="K54" s="614"/>
      <c r="L54" s="320"/>
      <c r="M54" s="316"/>
      <c r="N54" s="318"/>
      <c r="O54" s="318"/>
      <c r="P54" s="318"/>
      <c r="Q54" s="318"/>
      <c r="R54" s="299"/>
      <c r="S54" s="299"/>
    </row>
    <row r="55" spans="1:19" ht="12" customHeight="1" x14ac:dyDescent="0.25">
      <c r="A55" s="8" t="str">
        <f t="shared" si="5"/>
        <v>01</v>
      </c>
      <c r="B55" s="149" t="s">
        <v>3915</v>
      </c>
      <c r="C55" s="314"/>
      <c r="D55" s="299"/>
      <c r="E55" s="299"/>
      <c r="F55" s="299"/>
      <c r="G55" s="299"/>
      <c r="H55" s="299"/>
      <c r="I55" s="1273" t="s">
        <v>3916</v>
      </c>
      <c r="J55" s="315"/>
      <c r="K55" s="614"/>
      <c r="L55" s="320"/>
      <c r="M55" s="316"/>
      <c r="N55" s="318"/>
      <c r="O55" s="318"/>
      <c r="P55" s="318"/>
      <c r="Q55" s="318"/>
      <c r="R55" s="299"/>
      <c r="S55" s="299"/>
    </row>
    <row r="56" spans="1:19" ht="12" customHeight="1" x14ac:dyDescent="0.25">
      <c r="A56" s="8" t="str">
        <f t="shared" si="5"/>
        <v>01</v>
      </c>
      <c r="B56" s="149" t="s">
        <v>1297</v>
      </c>
      <c r="C56" s="314"/>
      <c r="D56" s="299"/>
      <c r="E56" s="299"/>
      <c r="F56" s="299"/>
      <c r="G56" s="299"/>
      <c r="H56" s="299"/>
      <c r="I56" s="150" t="s">
        <v>1609</v>
      </c>
      <c r="J56" s="315"/>
      <c r="K56" s="613"/>
      <c r="L56" s="320"/>
      <c r="M56" s="316"/>
      <c r="N56" s="318"/>
      <c r="O56" s="318"/>
      <c r="P56" s="318"/>
      <c r="Q56" s="318"/>
      <c r="R56" s="299"/>
      <c r="S56" s="299"/>
    </row>
    <row r="57" spans="1:19" ht="12" customHeight="1" x14ac:dyDescent="0.25">
      <c r="A57" s="8" t="str">
        <f t="shared" si="5"/>
        <v>01</v>
      </c>
      <c r="B57" s="149" t="s">
        <v>1878</v>
      </c>
      <c r="C57" s="1274"/>
      <c r="D57" s="149"/>
      <c r="E57" s="149"/>
      <c r="F57" s="149"/>
      <c r="G57" s="149"/>
      <c r="H57" s="149"/>
      <c r="I57" s="1273" t="s">
        <v>1694</v>
      </c>
      <c r="J57" s="1275"/>
      <c r="K57" s="613"/>
      <c r="L57" s="320"/>
      <c r="M57" s="316"/>
      <c r="N57" s="318"/>
      <c r="O57" s="318"/>
      <c r="P57" s="318"/>
      <c r="Q57" s="318"/>
      <c r="R57" s="299"/>
      <c r="S57" s="299"/>
    </row>
    <row r="58" spans="1:19" ht="12" customHeight="1" x14ac:dyDescent="0.25">
      <c r="A58" s="8" t="str">
        <f t="shared" si="5"/>
        <v>01</v>
      </c>
      <c r="B58" s="149" t="s">
        <v>1676</v>
      </c>
      <c r="C58" s="2912" t="s">
        <v>5090</v>
      </c>
      <c r="D58" s="2911"/>
      <c r="E58" s="2911"/>
      <c r="F58" s="2911"/>
      <c r="G58" s="2911"/>
      <c r="H58" s="299"/>
      <c r="I58" s="150" t="s">
        <v>1610</v>
      </c>
      <c r="J58" s="315"/>
      <c r="K58" s="613"/>
      <c r="L58" s="320"/>
      <c r="M58" s="316"/>
      <c r="N58" s="318"/>
      <c r="O58" s="318"/>
      <c r="P58" s="318"/>
      <c r="Q58" s="318"/>
      <c r="R58" s="299"/>
      <c r="S58" s="299"/>
    </row>
    <row r="59" spans="1:19" ht="12" customHeight="1" x14ac:dyDescent="0.25">
      <c r="A59" s="8" t="str">
        <f t="shared" si="5"/>
        <v>01</v>
      </c>
      <c r="B59" s="149" t="s">
        <v>1677</v>
      </c>
      <c r="C59" s="2912" t="s">
        <v>5090</v>
      </c>
      <c r="D59" s="2911"/>
      <c r="E59" s="2911"/>
      <c r="F59" s="2911"/>
      <c r="G59" s="2911"/>
      <c r="H59" s="299"/>
      <c r="I59" s="150" t="s">
        <v>1611</v>
      </c>
      <c r="J59" s="315"/>
      <c r="K59" s="1409"/>
      <c r="L59" s="320"/>
      <c r="M59" s="316"/>
      <c r="N59" s="318"/>
      <c r="O59" s="318"/>
      <c r="P59" s="318"/>
      <c r="Q59" s="318"/>
      <c r="R59" s="299"/>
      <c r="S59" s="299"/>
    </row>
    <row r="60" spans="1:19" ht="12" customHeight="1" x14ac:dyDescent="0.25">
      <c r="A60" s="8" t="str">
        <f t="shared" si="5"/>
        <v>01</v>
      </c>
      <c r="B60" s="149" t="s">
        <v>1960</v>
      </c>
      <c r="C60" s="2912" t="s">
        <v>5090</v>
      </c>
      <c r="D60" s="2911"/>
      <c r="E60" s="2911"/>
      <c r="F60" s="2911"/>
      <c r="G60" s="2911"/>
      <c r="H60" s="299"/>
      <c r="I60" s="150" t="s">
        <v>1612</v>
      </c>
      <c r="J60" s="315"/>
      <c r="K60" s="613"/>
      <c r="L60" s="320"/>
      <c r="M60" s="316"/>
      <c r="N60" s="318"/>
      <c r="O60" s="318"/>
      <c r="P60" s="318"/>
      <c r="Q60" s="318"/>
      <c r="R60" s="299"/>
      <c r="S60" s="299"/>
    </row>
    <row r="61" spans="1:19" ht="12" customHeight="1" x14ac:dyDescent="0.25">
      <c r="A61" s="8" t="str">
        <f t="shared" si="5"/>
        <v>01</v>
      </c>
      <c r="B61" s="149" t="s">
        <v>1961</v>
      </c>
      <c r="C61" s="2912" t="s">
        <v>5090</v>
      </c>
      <c r="D61" s="2911"/>
      <c r="E61" s="2911"/>
      <c r="F61" s="2911"/>
      <c r="G61" s="2911"/>
      <c r="H61" s="299"/>
      <c r="I61" s="150" t="s">
        <v>1613</v>
      </c>
      <c r="J61" s="315"/>
      <c r="K61" s="613"/>
      <c r="L61" s="320"/>
      <c r="M61" s="316"/>
      <c r="N61" s="318"/>
      <c r="O61" s="318"/>
      <c r="P61" s="318"/>
      <c r="Q61" s="318"/>
      <c r="R61" s="299"/>
      <c r="S61" s="299"/>
    </row>
    <row r="62" spans="1:19" ht="4.3499999999999996" customHeight="1" x14ac:dyDescent="0.25">
      <c r="A62" s="8" t="str">
        <f t="shared" si="5"/>
        <v>01</v>
      </c>
      <c r="B62" s="299"/>
      <c r="C62" s="299"/>
      <c r="D62" s="299"/>
      <c r="E62" s="299"/>
      <c r="F62" s="299"/>
      <c r="G62" s="299"/>
      <c r="H62" s="299"/>
      <c r="I62" s="150"/>
      <c r="J62" s="315"/>
      <c r="K62" s="316"/>
      <c r="L62" s="321"/>
      <c r="M62" s="318"/>
      <c r="N62" s="318"/>
      <c r="O62" s="318"/>
      <c r="P62" s="318"/>
      <c r="Q62" s="318"/>
      <c r="R62" s="299"/>
      <c r="S62" s="299"/>
    </row>
    <row r="63" spans="1:19" ht="15" customHeight="1" x14ac:dyDescent="0.25">
      <c r="A63" s="8" t="str">
        <f t="shared" si="5"/>
        <v>01</v>
      </c>
      <c r="B63" s="299"/>
      <c r="C63" s="299"/>
      <c r="D63" s="299"/>
      <c r="E63" s="299"/>
      <c r="F63" s="299"/>
      <c r="G63" s="299"/>
      <c r="H63" s="299"/>
      <c r="I63" s="297"/>
      <c r="J63" s="315"/>
      <c r="K63" s="316"/>
      <c r="L63" s="321"/>
      <c r="M63" s="322" t="s">
        <v>4919</v>
      </c>
      <c r="N63" s="318"/>
      <c r="O63" s="316"/>
      <c r="P63" s="299"/>
      <c r="Q63" s="299"/>
      <c r="R63" s="299"/>
      <c r="S63" s="299"/>
    </row>
    <row r="64" spans="1:19" ht="12.6" customHeight="1" x14ac:dyDescent="0.25">
      <c r="A64" s="8" t="str">
        <f t="shared" si="5"/>
        <v>01</v>
      </c>
      <c r="B64" s="299"/>
      <c r="C64" s="299"/>
      <c r="D64" s="299"/>
      <c r="E64" s="299"/>
      <c r="F64" s="299"/>
      <c r="G64" s="299"/>
      <c r="H64" s="299"/>
      <c r="I64" s="150"/>
      <c r="J64" s="308"/>
      <c r="K64" s="316"/>
      <c r="L64" s="318"/>
      <c r="M64" s="613"/>
      <c r="N64" s="318"/>
      <c r="O64" s="318" t="s">
        <v>234</v>
      </c>
      <c r="P64" s="299"/>
      <c r="Q64" s="299"/>
      <c r="R64" s="299"/>
      <c r="S64" s="299"/>
    </row>
    <row r="65" spans="1:19" ht="12.6" customHeight="1" x14ac:dyDescent="0.25">
      <c r="A65" s="8" t="str">
        <f t="shared" ref="A65:A74" si="6">AgyIdx</f>
        <v>01</v>
      </c>
      <c r="B65" s="299"/>
      <c r="C65" s="299"/>
      <c r="D65" s="299"/>
      <c r="E65" s="299"/>
      <c r="F65" s="299"/>
      <c r="G65" s="299"/>
      <c r="H65" s="299"/>
      <c r="I65" s="150"/>
      <c r="J65" s="308"/>
      <c r="K65" s="316"/>
      <c r="L65" s="318"/>
      <c r="M65" s="613"/>
      <c r="N65" s="318"/>
      <c r="O65" s="318" t="s">
        <v>138</v>
      </c>
      <c r="P65" s="299"/>
      <c r="Q65" s="299"/>
      <c r="R65" s="299"/>
      <c r="S65" s="299"/>
    </row>
    <row r="66" spans="1:19" ht="12.6" customHeight="1" x14ac:dyDescent="0.25">
      <c r="A66" s="8" t="str">
        <f t="shared" si="6"/>
        <v>01</v>
      </c>
      <c r="B66" s="311"/>
      <c r="C66" s="299"/>
      <c r="D66" s="299"/>
      <c r="E66" s="299"/>
      <c r="F66" s="299"/>
      <c r="G66" s="299"/>
      <c r="H66" s="299"/>
      <c r="I66" s="150"/>
      <c r="J66" s="308"/>
      <c r="K66" s="316"/>
      <c r="L66" s="318"/>
      <c r="M66" s="613"/>
      <c r="N66" s="318"/>
      <c r="O66" s="318" t="s">
        <v>139</v>
      </c>
      <c r="P66" s="299"/>
      <c r="Q66" s="299"/>
      <c r="R66" s="299"/>
      <c r="S66" s="299"/>
    </row>
    <row r="67" spans="1:19" ht="12.6" customHeight="1" x14ac:dyDescent="0.25">
      <c r="A67" s="8" t="str">
        <f t="shared" si="6"/>
        <v>01</v>
      </c>
      <c r="B67" s="311"/>
      <c r="C67" s="311"/>
      <c r="D67" s="299"/>
      <c r="E67" s="299"/>
      <c r="F67" s="299"/>
      <c r="G67" s="299"/>
      <c r="H67" s="299"/>
      <c r="I67" s="150"/>
      <c r="J67" s="308"/>
      <c r="K67" s="316"/>
      <c r="L67" s="318"/>
      <c r="M67" s="613"/>
      <c r="N67" s="318"/>
      <c r="O67" s="318" t="s">
        <v>1294</v>
      </c>
      <c r="P67" s="299"/>
      <c r="Q67" s="299"/>
      <c r="R67" s="299"/>
      <c r="S67" s="299"/>
    </row>
    <row r="68" spans="1:19" ht="12.6" customHeight="1" x14ac:dyDescent="0.25">
      <c r="B68" s="311"/>
      <c r="C68" s="311"/>
      <c r="D68" s="299"/>
      <c r="E68" s="299"/>
      <c r="F68" s="299"/>
      <c r="G68" s="299"/>
      <c r="H68" s="299"/>
      <c r="I68" s="150"/>
      <c r="J68" s="308"/>
      <c r="K68" s="316"/>
      <c r="L68" s="318"/>
      <c r="M68" s="613"/>
      <c r="N68" s="318"/>
      <c r="O68" s="1134" t="s">
        <v>4148</v>
      </c>
      <c r="P68" s="299"/>
      <c r="Q68" s="299"/>
      <c r="R68" s="299"/>
      <c r="S68" s="299"/>
    </row>
    <row r="69" spans="1:19" ht="12.6" customHeight="1" x14ac:dyDescent="0.25">
      <c r="A69" s="8" t="str">
        <f t="shared" si="6"/>
        <v>01</v>
      </c>
      <c r="B69" s="323" t="s">
        <v>1023</v>
      </c>
      <c r="C69" s="311"/>
      <c r="D69" s="299"/>
      <c r="E69" s="299"/>
      <c r="F69" s="299"/>
      <c r="G69" s="299"/>
      <c r="H69" s="299"/>
      <c r="I69" s="150"/>
      <c r="J69" s="308"/>
      <c r="K69" s="316"/>
      <c r="L69" s="318"/>
      <c r="M69" s="316"/>
      <c r="N69" s="318"/>
      <c r="O69" s="318"/>
      <c r="P69" s="299"/>
      <c r="Q69" s="299"/>
      <c r="R69" s="299"/>
      <c r="S69" s="299"/>
    </row>
    <row r="70" spans="1:19" ht="12" customHeight="1" thickBot="1" x14ac:dyDescent="0.3">
      <c r="A70" s="8" t="str">
        <f t="shared" si="6"/>
        <v>01</v>
      </c>
      <c r="B70" s="323" t="s">
        <v>1684</v>
      </c>
      <c r="C70" s="311"/>
      <c r="D70" s="311"/>
      <c r="E70" s="311"/>
      <c r="F70" s="311"/>
      <c r="G70" s="311"/>
      <c r="H70" s="299"/>
      <c r="I70" s="1135" t="s">
        <v>1614</v>
      </c>
      <c r="J70" s="315"/>
      <c r="K70" s="358">
        <f>K38+SUM(K41:K62)</f>
        <v>0</v>
      </c>
      <c r="L70" s="150"/>
      <c r="M70" s="358">
        <f>SUM(M64:M68)</f>
        <v>0</v>
      </c>
      <c r="N70" s="299"/>
      <c r="O70" s="1437" t="s">
        <v>4920</v>
      </c>
      <c r="P70" s="299"/>
      <c r="Q70" s="299"/>
      <c r="R70" s="299"/>
      <c r="S70" s="299"/>
    </row>
    <row r="71" spans="1:19" ht="6" customHeight="1" thickTop="1" x14ac:dyDescent="0.2">
      <c r="A71" s="8" t="str">
        <f t="shared" si="6"/>
        <v>01</v>
      </c>
      <c r="B71" s="299"/>
      <c r="C71" s="299"/>
      <c r="D71" s="299"/>
      <c r="E71" s="299"/>
      <c r="F71" s="299"/>
      <c r="G71" s="299"/>
      <c r="H71" s="299"/>
      <c r="I71" s="1136"/>
      <c r="J71" s="299"/>
      <c r="K71" s="318"/>
      <c r="L71" s="299"/>
      <c r="M71" s="318"/>
      <c r="N71" s="318"/>
      <c r="O71" s="10"/>
      <c r="P71" s="318"/>
      <c r="Q71" s="318"/>
      <c r="R71" s="299"/>
      <c r="S71" s="299"/>
    </row>
    <row r="72" spans="1:19" ht="15" customHeight="1" thickBot="1" x14ac:dyDescent="0.3">
      <c r="A72" s="8" t="str">
        <f t="shared" si="6"/>
        <v>01</v>
      </c>
      <c r="B72" s="324"/>
      <c r="C72" s="324"/>
      <c r="D72" s="324"/>
      <c r="E72" s="324"/>
      <c r="F72" s="324"/>
      <c r="G72" s="324"/>
      <c r="H72" s="324"/>
      <c r="I72" s="1642" t="s">
        <v>4921</v>
      </c>
      <c r="K72" s="358">
        <f>M70</f>
        <v>0</v>
      </c>
      <c r="L72" s="1437" t="s">
        <v>4920</v>
      </c>
      <c r="M72" s="299"/>
      <c r="N72" s="299"/>
      <c r="O72" s="325"/>
      <c r="P72" s="325"/>
      <c r="Q72" s="325"/>
    </row>
    <row r="73" spans="1:19" ht="13.5" thickTop="1" x14ac:dyDescent="0.2">
      <c r="A73" s="8" t="str">
        <f t="shared" si="6"/>
        <v>01</v>
      </c>
      <c r="I73" s="1133" t="s">
        <v>478</v>
      </c>
      <c r="K73" s="1134">
        <f>K70-K72</f>
        <v>0</v>
      </c>
      <c r="L73" s="10"/>
      <c r="M73" s="10"/>
      <c r="N73" s="10"/>
      <c r="P73" s="10"/>
      <c r="Q73" s="10"/>
    </row>
    <row r="74" spans="1:19" x14ac:dyDescent="0.2">
      <c r="A74" s="8" t="str">
        <f t="shared" si="6"/>
        <v>01</v>
      </c>
    </row>
    <row r="75" spans="1:19" ht="15" x14ac:dyDescent="0.2">
      <c r="A75" s="443" t="str">
        <f ca="1">MID(CELL("filename",A41),FIND("]",CELL("filename",A41))+1,256)</f>
        <v>710</v>
      </c>
      <c r="B75" s="794" t="s">
        <v>449</v>
      </c>
      <c r="K75" s="443"/>
    </row>
    <row r="76" spans="1:19" ht="15" x14ac:dyDescent="0.2">
      <c r="A76" s="443" t="s">
        <v>446</v>
      </c>
      <c r="B76" s="443" t="str">
        <f t="shared" ref="B76:B85" ca="1" si="7">IF(ISNA(INDEX(ErrorTable,MATCH($A$75&amp;$A76&amp;FALSE,ErrorKey,0),6)),"",INDEX(ErrorTable,MATCH($A$75&amp;$A76&amp;FALSE,ErrorKey,0),6))</f>
        <v/>
      </c>
    </row>
    <row r="77" spans="1:19" ht="15" x14ac:dyDescent="0.2">
      <c r="A77" s="443" t="s">
        <v>447</v>
      </c>
      <c r="B77" s="443" t="str">
        <f t="shared" ca="1" si="7"/>
        <v/>
      </c>
    </row>
    <row r="78" spans="1:19" ht="15" x14ac:dyDescent="0.2">
      <c r="A78" s="443" t="s">
        <v>448</v>
      </c>
      <c r="B78" s="443" t="str">
        <f t="shared" ca="1" si="7"/>
        <v/>
      </c>
    </row>
    <row r="79" spans="1:19" ht="15" x14ac:dyDescent="0.2">
      <c r="A79" s="443" t="s">
        <v>450</v>
      </c>
      <c r="B79" s="443" t="str">
        <f t="shared" ca="1" si="7"/>
        <v/>
      </c>
    </row>
    <row r="80" spans="1:19" ht="15" x14ac:dyDescent="0.2">
      <c r="A80" s="443" t="s">
        <v>451</v>
      </c>
      <c r="B80" s="443" t="str">
        <f t="shared" ca="1" si="7"/>
        <v/>
      </c>
    </row>
    <row r="81" spans="1:2" ht="15" x14ac:dyDescent="0.2">
      <c r="A81" s="443" t="s">
        <v>452</v>
      </c>
      <c r="B81" s="443" t="str">
        <f t="shared" ca="1" si="7"/>
        <v/>
      </c>
    </row>
    <row r="82" spans="1:2" ht="15" x14ac:dyDescent="0.2">
      <c r="A82" s="443" t="s">
        <v>453</v>
      </c>
      <c r="B82" s="443" t="str">
        <f t="shared" ca="1" si="7"/>
        <v/>
      </c>
    </row>
    <row r="83" spans="1:2" ht="15" x14ac:dyDescent="0.2">
      <c r="A83" s="443" t="s">
        <v>454</v>
      </c>
      <c r="B83" s="443" t="str">
        <f t="shared" ca="1" si="7"/>
        <v/>
      </c>
    </row>
    <row r="84" spans="1:2" ht="15" x14ac:dyDescent="0.2">
      <c r="A84" s="443" t="s">
        <v>455</v>
      </c>
      <c r="B84" s="443" t="str">
        <f t="shared" ca="1" si="7"/>
        <v/>
      </c>
    </row>
    <row r="85" spans="1:2" ht="15" x14ac:dyDescent="0.2">
      <c r="A85" s="443" t="s">
        <v>456</v>
      </c>
      <c r="B85" s="443" t="str">
        <f t="shared" ca="1" si="7"/>
        <v/>
      </c>
    </row>
  </sheetData>
  <sheetProtection algorithmName="SHA-512" hashValue="TGAHZz32Q/rKFHYFVgL4xxfXTmJWK1uG+Tjx2M4nTBwlLb1CVsZh6fQxaa7u+E8lY9jrfO2AzfGYUaZnX6+GlQ==" saltValue="2TQNpeTv36Mw1sAwzB6uwg==" spinCount="100000" sheet="1" objects="1" scenarios="1" autoFilter="0"/>
  <customSheetViews>
    <customSheetView guid="{B08879A4-635B-4C39-9937-AC7883D562FC}" showGridLines="0" fitToPage="1">
      <pageMargins left="0.5" right="0.5" top="0.5" bottom="0.5" header="0.5" footer="0.25"/>
      <printOptions horizontalCentered="1"/>
      <pageSetup scale="89" orientation="portrait" horizontalDpi="1200" verticalDpi="1200" r:id="rId1"/>
      <headerFooter alignWithMargins="0">
        <oddHeader xml:space="preserve"> </oddHeader>
        <oddFooter>&amp;R&amp;A</oddFooter>
      </headerFooter>
    </customSheetView>
    <customSheetView guid="{1250FD07-FF56-4A9D-AF9E-C27124A7EBE9}" showGridLines="0" showRuler="0">
      <selection activeCell="D8" sqref="D8:F8"/>
      <pageMargins left="0.5" right="0.5" top="0.5" bottom="0.5" header="0.5" footer="0.25"/>
      <printOptions horizontalCentered="1"/>
      <pageSetup scale="98" orientation="portrait" horizontalDpi="4294967292" verticalDpi="4294967292" r:id="rId2"/>
      <headerFooter alignWithMargins="0">
        <oddHeader xml:space="preserve"> </oddHeader>
        <oddFooter>&amp;R&amp;A</oddFooter>
      </headerFooter>
    </customSheetView>
    <customSheetView guid="{BEA4BE86-04D1-4C96-9358-7A260B9D2B2D}" showGridLines="0" showRuler="0">
      <selection activeCell="D8" sqref="D8:F8"/>
      <pageMargins left="0.5" right="0.5" top="0.5" bottom="0.5" header="0.5" footer="0.25"/>
      <printOptions horizontalCentered="1"/>
      <pageSetup scale="98" orientation="portrait" horizontalDpi="4294967292" verticalDpi="4294967292" r:id="rId3"/>
      <headerFooter alignWithMargins="0">
        <oddHeader xml:space="preserve"> </oddHeader>
        <oddFooter>&amp;R&amp;A</oddFooter>
      </headerFooter>
    </customSheetView>
    <customSheetView guid="{9FCFC836-1CA5-48BF-958D-24D2EA94B219}" showGridLines="0" fitToPage="1">
      <pageMargins left="0.5" right="0.5" top="0.5" bottom="0.5" header="0.5" footer="0.25"/>
      <printOptions horizontalCentered="1"/>
      <pageSetup scale="89" orientation="portrait" horizontalDpi="1200" verticalDpi="1200" r:id="rId4"/>
      <headerFooter alignWithMargins="0">
        <oddHeader xml:space="preserve"> </oddHeader>
        <oddFooter>&amp;R&amp;A</oddFooter>
      </headerFooter>
    </customSheetView>
  </customSheetViews>
  <mergeCells count="18">
    <mergeCell ref="E8:G8"/>
    <mergeCell ref="C58:G58"/>
    <mergeCell ref="M13:O13"/>
    <mergeCell ref="M12:Q12"/>
    <mergeCell ref="M8:Q8"/>
    <mergeCell ref="M9:Q9"/>
    <mergeCell ref="U1:U3"/>
    <mergeCell ref="B4:R4"/>
    <mergeCell ref="M6:Q6"/>
    <mergeCell ref="M7:Q7"/>
    <mergeCell ref="B1:R1"/>
    <mergeCell ref="B2:R2"/>
    <mergeCell ref="B3:R3"/>
    <mergeCell ref="C36:G36"/>
    <mergeCell ref="C37:G37"/>
    <mergeCell ref="C59:G59"/>
    <mergeCell ref="C60:G60"/>
    <mergeCell ref="C61:G61"/>
  </mergeCells>
  <phoneticPr fontId="15" type="noConversion"/>
  <conditionalFormatting sqref="S1:S3">
    <cfRule type="cellIs" dxfId="35" priority="2" stopIfTrue="1" operator="equal">
      <formula>"na"</formula>
    </cfRule>
  </conditionalFormatting>
  <conditionalFormatting sqref="U1:U3">
    <cfRule type="cellIs" dxfId="34" priority="1" stopIfTrue="1" operator="equal">
      <formula>"na"</formula>
    </cfRule>
  </conditionalFormatting>
  <hyperlinks>
    <hyperlink ref="B1:R1" location="Index!A1" display="Index!A1" xr:uid="{00000000-0004-0000-3E00-000000000000}"/>
  </hyperlinks>
  <printOptions horizontalCentered="1"/>
  <pageMargins left="0.5" right="0.5" top="0.5" bottom="0.5" header="0.5" footer="0.25"/>
  <pageSetup scale="83" orientation="portrait" r:id="rId5"/>
  <headerFooter alignWithMargins="0">
    <oddHeader xml:space="preserve"> </oddHeader>
    <oddFooter>&amp;R&amp;A</oddFooter>
  </headerFooter>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3855898D-A5AC-4455-A3B1-CAA902980274}">
          <x14:formula1>
            <xm:f>Notes!$X$3:$X$6</xm:f>
          </x14:formula1>
          <xm:sqref>C36:G37</xm:sqref>
        </x14:dataValidation>
        <x14:dataValidation type="list" allowBlank="1" showInputMessage="1" showErrorMessage="1" xr:uid="{BB5CE6BE-4254-4ABB-B879-FA15508C0E4D}">
          <x14:formula1>
            <xm:f>Notes!$X$10:$X$20</xm:f>
          </x14:formula1>
          <xm:sqref>C58:G61</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pageSetUpPr fitToPage="1"/>
  </sheetPr>
  <dimension ref="A1:W62"/>
  <sheetViews>
    <sheetView showGridLines="0" topLeftCell="C1" zoomScaleNormal="100" workbookViewId="0">
      <selection activeCell="W29" sqref="W29"/>
    </sheetView>
  </sheetViews>
  <sheetFormatPr defaultColWidth="9.42578125" defaultRowHeight="12.75" x14ac:dyDescent="0.2"/>
  <cols>
    <col min="1" max="1" width="0" style="11" hidden="1" customWidth="1"/>
    <col min="2" max="2" width="9.42578125" style="11" hidden="1" customWidth="1"/>
    <col min="3" max="3" width="12.5703125" style="11" customWidth="1"/>
    <col min="4" max="4" width="4.5703125" style="11" customWidth="1"/>
    <col min="5" max="5" width="8.42578125" style="11" customWidth="1"/>
    <col min="6" max="6" width="1.5703125" style="11" customWidth="1"/>
    <col min="7" max="7" width="14" style="11" customWidth="1"/>
    <col min="8" max="8" width="1.5703125" style="11" customWidth="1"/>
    <col min="9" max="9" width="14" style="11" customWidth="1"/>
    <col min="10" max="10" width="1.5703125" style="11" customWidth="1"/>
    <col min="11" max="11" width="14" style="11" customWidth="1"/>
    <col min="12" max="12" width="1.5703125" style="11" customWidth="1"/>
    <col min="13" max="13" width="14" style="11" customWidth="1"/>
    <col min="14" max="14" width="1.5703125" style="11" customWidth="1"/>
    <col min="15" max="15" width="14" style="11" customWidth="1"/>
    <col min="16" max="16" width="1.5703125" style="11" customWidth="1"/>
    <col min="17" max="17" width="14" style="11" customWidth="1"/>
    <col min="18" max="18" width="4.5703125" style="11" customWidth="1"/>
    <col min="19" max="19" width="9.42578125" style="11" hidden="1" customWidth="1"/>
    <col min="20" max="20" width="17.5703125" style="11" customWidth="1"/>
    <col min="21" max="16384" width="9.42578125" style="11"/>
  </cols>
  <sheetData>
    <row r="1" spans="1:20" s="145" customFormat="1" ht="15" customHeight="1" x14ac:dyDescent="0.25">
      <c r="A1" s="371" t="str">
        <f t="shared" ref="A1:A41" si="0">AgyIdx</f>
        <v>01</v>
      </c>
      <c r="C1" s="2449" t="str">
        <f>+Index!$A$1</f>
        <v xml:space="preserve">                                                               Office of the State Controller                                                                </v>
      </c>
      <c r="D1" s="2449"/>
      <c r="E1" s="2449"/>
      <c r="F1" s="2449"/>
      <c r="G1" s="2449"/>
      <c r="H1" s="2449"/>
      <c r="I1" s="2449"/>
      <c r="J1" s="2449"/>
      <c r="K1" s="2449"/>
      <c r="L1" s="2449"/>
      <c r="M1" s="2449"/>
      <c r="N1" s="2449"/>
      <c r="O1" s="2449"/>
      <c r="P1" s="2449"/>
      <c r="Q1" s="2449"/>
      <c r="R1" s="2510" t="str">
        <f>IF(Index!$B$89="na","NA","")</f>
        <v/>
      </c>
    </row>
    <row r="2" spans="1:20" s="145" customFormat="1" ht="15" customHeight="1" x14ac:dyDescent="0.25">
      <c r="A2" s="371" t="str">
        <f t="shared" si="0"/>
        <v>01</v>
      </c>
      <c r="C2" s="2905" t="str">
        <f>+Index!$A$2</f>
        <v>2022 ACFR Worksheets</v>
      </c>
      <c r="D2" s="2905"/>
      <c r="E2" s="2905"/>
      <c r="F2" s="2905"/>
      <c r="G2" s="2905"/>
      <c r="H2" s="2905"/>
      <c r="I2" s="2905"/>
      <c r="J2" s="2905"/>
      <c r="K2" s="2905"/>
      <c r="L2" s="2905"/>
      <c r="M2" s="2905"/>
      <c r="N2" s="2905"/>
      <c r="O2" s="2905"/>
      <c r="P2" s="2905"/>
      <c r="Q2" s="2905"/>
      <c r="R2" s="2510"/>
    </row>
    <row r="3" spans="1:20" s="145" customFormat="1" ht="15" customHeight="1" x14ac:dyDescent="0.25">
      <c r="A3" s="371" t="str">
        <f t="shared" si="0"/>
        <v>01</v>
      </c>
      <c r="C3" s="2905" t="s">
        <v>1075</v>
      </c>
      <c r="D3" s="2905"/>
      <c r="E3" s="2905"/>
      <c r="F3" s="2905"/>
      <c r="G3" s="2905"/>
      <c r="H3" s="2905"/>
      <c r="I3" s="2905"/>
      <c r="J3" s="2905"/>
      <c r="K3" s="2905"/>
      <c r="L3" s="2905"/>
      <c r="M3" s="2905"/>
      <c r="N3" s="2905"/>
      <c r="O3" s="2905"/>
      <c r="P3" s="2905"/>
      <c r="Q3" s="2905"/>
      <c r="R3" s="2510"/>
    </row>
    <row r="4" spans="1:20" s="145" customFormat="1" ht="15" customHeight="1" x14ac:dyDescent="0.25">
      <c r="A4" s="371" t="str">
        <f t="shared" si="0"/>
        <v>01</v>
      </c>
      <c r="C4" s="2905" t="s">
        <v>3598</v>
      </c>
      <c r="D4" s="2905"/>
      <c r="E4" s="2905"/>
      <c r="F4" s="2905"/>
      <c r="G4" s="2905"/>
      <c r="H4" s="2905"/>
      <c r="I4" s="2905"/>
      <c r="J4" s="2905"/>
      <c r="K4" s="2905"/>
      <c r="L4" s="2905"/>
      <c r="M4" s="2905"/>
      <c r="N4" s="2905"/>
      <c r="O4" s="2905"/>
      <c r="P4" s="2905"/>
      <c r="Q4" s="2905"/>
    </row>
    <row r="5" spans="1:20" s="146" customFormat="1" ht="15" customHeight="1" x14ac:dyDescent="0.2">
      <c r="A5" s="371" t="str">
        <f t="shared" si="0"/>
        <v>01</v>
      </c>
      <c r="M5" s="430"/>
    </row>
    <row r="6" spans="1:20" s="146" customFormat="1" ht="15" customHeight="1" x14ac:dyDescent="0.2">
      <c r="A6" s="371" t="str">
        <f t="shared" si="0"/>
        <v>01</v>
      </c>
      <c r="C6" s="365" t="s">
        <v>327</v>
      </c>
      <c r="E6" s="2904" t="str">
        <f>+Index!$E$10</f>
        <v>01</v>
      </c>
      <c r="F6" s="2904"/>
      <c r="G6" s="2904"/>
      <c r="I6" s="365"/>
      <c r="J6" s="365"/>
      <c r="K6" s="365" t="s">
        <v>687</v>
      </c>
      <c r="L6" s="2901" t="str">
        <f>+Index!$E$11</f>
        <v>North Carolina General Assembly</v>
      </c>
      <c r="M6" s="2901"/>
      <c r="N6" s="2901"/>
      <c r="O6" s="2901"/>
      <c r="P6" s="2901"/>
      <c r="Q6" s="2901"/>
    </row>
    <row r="7" spans="1:20" s="146" customFormat="1" ht="15" customHeight="1" x14ac:dyDescent="0.2">
      <c r="A7" s="371" t="str">
        <f t="shared" si="0"/>
        <v>01</v>
      </c>
      <c r="E7" s="258"/>
      <c r="F7" s="258"/>
      <c r="G7" s="258"/>
      <c r="I7" s="365"/>
      <c r="J7" s="365"/>
      <c r="K7" s="365" t="s">
        <v>972</v>
      </c>
      <c r="L7" s="2902" t="str">
        <f>CONCATENATE(Index!$E$12," ",Index!$E$14)</f>
        <v xml:space="preserve"> </v>
      </c>
      <c r="M7" s="2902"/>
      <c r="N7" s="2902"/>
      <c r="O7" s="2902"/>
      <c r="P7" s="2902"/>
      <c r="Q7" s="2902"/>
    </row>
    <row r="8" spans="1:20" s="146" customFormat="1" ht="15" customHeight="1" x14ac:dyDescent="0.2">
      <c r="A8" s="371" t="str">
        <f t="shared" si="0"/>
        <v>01</v>
      </c>
      <c r="C8" s="146" t="s">
        <v>477</v>
      </c>
      <c r="E8" s="2904" t="s">
        <v>971</v>
      </c>
      <c r="F8" s="2904"/>
      <c r="G8" s="2904"/>
      <c r="I8" s="365"/>
      <c r="J8" s="365"/>
      <c r="K8" s="365" t="s">
        <v>348</v>
      </c>
      <c r="L8" s="2902">
        <f>+Index!$E$13</f>
        <v>0</v>
      </c>
      <c r="M8" s="2902"/>
      <c r="N8" s="2902"/>
      <c r="O8" s="2902"/>
      <c r="P8" s="2902"/>
      <c r="Q8" s="2902"/>
    </row>
    <row r="9" spans="1:20" s="146" customFormat="1" ht="12" customHeight="1" thickBot="1" x14ac:dyDescent="0.25">
      <c r="A9" s="371" t="str">
        <f t="shared" si="0"/>
        <v>01</v>
      </c>
      <c r="C9" s="282"/>
      <c r="D9" s="282"/>
      <c r="E9" s="282"/>
      <c r="F9" s="282"/>
      <c r="G9" s="282"/>
      <c r="H9" s="282"/>
      <c r="I9" s="282"/>
      <c r="J9" s="282"/>
      <c r="K9" s="282"/>
      <c r="L9" s="282"/>
      <c r="M9" s="282"/>
      <c r="N9" s="282"/>
      <c r="O9" s="282"/>
      <c r="P9" s="282"/>
      <c r="Q9" s="282"/>
    </row>
    <row r="10" spans="1:20" s="146" customFormat="1" ht="12" customHeight="1" x14ac:dyDescent="0.2">
      <c r="A10" s="371" t="str">
        <f t="shared" si="0"/>
        <v>01</v>
      </c>
    </row>
    <row r="11" spans="1:20" s="146" customFormat="1" ht="12.75" customHeight="1" x14ac:dyDescent="0.25">
      <c r="A11" s="371" t="str">
        <f t="shared" si="0"/>
        <v>01</v>
      </c>
      <c r="C11" s="283"/>
      <c r="D11" s="283"/>
      <c r="E11" s="283"/>
      <c r="F11" s="283"/>
      <c r="G11" s="284"/>
      <c r="H11" s="283"/>
      <c r="I11" s="2909" t="s">
        <v>177</v>
      </c>
      <c r="J11" s="2909"/>
      <c r="K11" s="2909"/>
      <c r="L11" s="2909"/>
      <c r="M11" s="2909"/>
      <c r="N11" s="286"/>
      <c r="O11" s="286"/>
      <c r="P11" s="286"/>
      <c r="Q11" s="286"/>
    </row>
    <row r="12" spans="1:20" s="146" customFormat="1" ht="12.75" customHeight="1" x14ac:dyDescent="0.25">
      <c r="A12" s="371"/>
      <c r="C12" s="283"/>
      <c r="D12" s="283"/>
      <c r="E12" s="283"/>
      <c r="F12" s="283"/>
      <c r="G12" s="284"/>
      <c r="H12" s="283"/>
      <c r="I12" s="2131" t="s">
        <v>5091</v>
      </c>
      <c r="J12" s="2131"/>
      <c r="K12" s="2131" t="s">
        <v>5092</v>
      </c>
      <c r="L12" s="2131"/>
      <c r="M12" s="2131" t="s">
        <v>5093</v>
      </c>
      <c r="N12" s="2131"/>
      <c r="O12" s="2131" t="s">
        <v>5094</v>
      </c>
      <c r="P12" s="2167"/>
      <c r="Q12" s="2167"/>
    </row>
    <row r="13" spans="1:20" s="146" customFormat="1" ht="12.75" customHeight="1" x14ac:dyDescent="0.25">
      <c r="A13" s="371" t="str">
        <f t="shared" si="0"/>
        <v>01</v>
      </c>
      <c r="C13" s="283"/>
      <c r="D13" s="283"/>
      <c r="E13" s="283"/>
      <c r="F13" s="283"/>
      <c r="G13" s="287"/>
      <c r="H13" s="283"/>
      <c r="I13" s="367"/>
      <c r="J13" s="294"/>
      <c r="K13" s="368"/>
      <c r="L13" s="370"/>
      <c r="M13" s="288" t="s">
        <v>175</v>
      </c>
      <c r="N13" s="294"/>
      <c r="O13" s="289"/>
      <c r="P13" s="283"/>
      <c r="Q13" s="283"/>
    </row>
    <row r="14" spans="1:20" s="146" customFormat="1" ht="12" customHeight="1" x14ac:dyDescent="0.25">
      <c r="A14" s="371" t="str">
        <f t="shared" si="0"/>
        <v>01</v>
      </c>
      <c r="C14" s="283"/>
      <c r="D14" s="283"/>
      <c r="E14" s="283"/>
      <c r="F14" s="283"/>
      <c r="G14" s="288" t="s">
        <v>84</v>
      </c>
      <c r="H14" s="283"/>
      <c r="I14" s="288"/>
      <c r="J14" s="294"/>
      <c r="K14" s="369"/>
      <c r="L14" s="370"/>
      <c r="M14" s="288" t="s">
        <v>619</v>
      </c>
      <c r="N14" s="294"/>
      <c r="O14" s="289"/>
      <c r="P14" s="283"/>
      <c r="Q14" s="283"/>
      <c r="T14" s="283"/>
    </row>
    <row r="15" spans="1:20" s="146" customFormat="1" ht="12" customHeight="1" x14ac:dyDescent="0.25">
      <c r="A15" s="371" t="str">
        <f t="shared" si="0"/>
        <v>01</v>
      </c>
      <c r="C15" s="2910"/>
      <c r="D15" s="2638"/>
      <c r="E15" s="2638"/>
      <c r="F15" s="283"/>
      <c r="G15" s="288" t="s">
        <v>688</v>
      </c>
      <c r="H15" s="283"/>
      <c r="I15" s="288" t="s">
        <v>620</v>
      </c>
      <c r="J15" s="294"/>
      <c r="K15" s="288" t="s">
        <v>175</v>
      </c>
      <c r="L15" s="371"/>
      <c r="M15" s="288" t="s">
        <v>102</v>
      </c>
      <c r="N15" s="294"/>
      <c r="O15" s="288" t="s">
        <v>103</v>
      </c>
      <c r="P15" s="283"/>
      <c r="Q15" s="283"/>
      <c r="T15" s="1140" t="s">
        <v>1673</v>
      </c>
    </row>
    <row r="16" spans="1:20" s="146" customFormat="1" ht="12" customHeight="1" x14ac:dyDescent="0.25">
      <c r="A16" s="371" t="str">
        <f t="shared" si="0"/>
        <v>01</v>
      </c>
      <c r="C16" s="2909" t="s">
        <v>9</v>
      </c>
      <c r="D16" s="2563"/>
      <c r="E16" s="2563"/>
      <c r="F16" s="283"/>
      <c r="G16" s="285" t="s">
        <v>1159</v>
      </c>
      <c r="H16" s="283"/>
      <c r="I16" s="285" t="s">
        <v>10</v>
      </c>
      <c r="J16" s="294"/>
      <c r="K16" s="285" t="s">
        <v>11</v>
      </c>
      <c r="L16" s="370"/>
      <c r="M16" s="285" t="s">
        <v>596</v>
      </c>
      <c r="N16" s="294"/>
      <c r="O16" s="285" t="s">
        <v>12</v>
      </c>
      <c r="P16" s="283"/>
      <c r="Q16" s="366" t="s">
        <v>84</v>
      </c>
      <c r="T16" s="1141" t="s">
        <v>1160</v>
      </c>
    </row>
    <row r="17" spans="1:23" s="147" customFormat="1" ht="12" customHeight="1" x14ac:dyDescent="0.2">
      <c r="A17" s="371" t="str">
        <f t="shared" si="0"/>
        <v>01</v>
      </c>
      <c r="B17" s="147" t="s">
        <v>1615</v>
      </c>
      <c r="D17" s="291"/>
      <c r="E17" s="291"/>
      <c r="F17" s="291"/>
      <c r="G17" s="1131" t="s">
        <v>118</v>
      </c>
      <c r="H17" s="1132"/>
      <c r="I17" s="1131" t="s">
        <v>119</v>
      </c>
      <c r="J17" s="1132"/>
      <c r="K17" s="1131" t="s">
        <v>996</v>
      </c>
      <c r="L17" s="1132"/>
      <c r="M17" s="1131" t="s">
        <v>997</v>
      </c>
      <c r="N17" s="1132"/>
      <c r="O17" s="1131" t="s">
        <v>998</v>
      </c>
      <c r="P17" s="1132"/>
      <c r="Q17" s="1131" t="s">
        <v>999</v>
      </c>
      <c r="T17" s="1142"/>
      <c r="W17" s="2168"/>
    </row>
    <row r="18" spans="1:23" s="147" customFormat="1" ht="12" customHeight="1" x14ac:dyDescent="0.25">
      <c r="A18" s="371" t="str">
        <f t="shared" si="0"/>
        <v>01</v>
      </c>
      <c r="B18" s="147" t="s">
        <v>1616</v>
      </c>
      <c r="C18" s="326" t="s">
        <v>1024</v>
      </c>
      <c r="D18" s="291"/>
      <c r="E18" s="291"/>
      <c r="F18" s="291"/>
      <c r="G18" s="292"/>
      <c r="H18" s="291"/>
      <c r="I18" s="292"/>
      <c r="J18" s="291"/>
      <c r="K18" s="292"/>
      <c r="L18" s="291"/>
      <c r="M18" s="292"/>
      <c r="N18" s="291"/>
      <c r="O18" s="292"/>
      <c r="P18" s="291"/>
      <c r="Q18" s="292"/>
      <c r="T18" s="1142"/>
      <c r="W18" s="2168"/>
    </row>
    <row r="19" spans="1:23" s="146" customFormat="1" ht="12" customHeight="1" x14ac:dyDescent="0.2">
      <c r="A19" s="371" t="str">
        <f t="shared" si="0"/>
        <v>01</v>
      </c>
      <c r="B19" s="147" t="s">
        <v>1624</v>
      </c>
      <c r="C19" s="2906"/>
      <c r="D19" s="2906"/>
      <c r="E19" s="2906"/>
      <c r="F19" s="283"/>
      <c r="G19" s="605"/>
      <c r="H19" s="373"/>
      <c r="I19" s="605"/>
      <c r="J19" s="373"/>
      <c r="K19" s="605"/>
      <c r="L19" s="373"/>
      <c r="M19" s="605"/>
      <c r="N19" s="373"/>
      <c r="O19" s="605"/>
      <c r="P19" s="373"/>
      <c r="Q19" s="372">
        <f>SUM(I19:P19)</f>
        <v>0</v>
      </c>
      <c r="R19" s="609" t="str">
        <f>IF(S19=FALSE,"*","")</f>
        <v/>
      </c>
      <c r="S19" s="610" t="b">
        <f>+G19=Q19</f>
        <v>1</v>
      </c>
      <c r="T19" s="1143" t="str">
        <f>IF(G19=Q19,"",G19-Q19)</f>
        <v/>
      </c>
    </row>
    <row r="20" spans="1:23" s="146" customFormat="1" ht="12" customHeight="1" x14ac:dyDescent="0.2">
      <c r="A20" s="371" t="str">
        <f t="shared" si="0"/>
        <v>01</v>
      </c>
      <c r="B20" s="147" t="s">
        <v>1625</v>
      </c>
      <c r="C20" s="2906"/>
      <c r="D20" s="2906"/>
      <c r="E20" s="2906"/>
      <c r="F20" s="283"/>
      <c r="G20" s="605"/>
      <c r="H20" s="373"/>
      <c r="I20" s="606"/>
      <c r="J20" s="373"/>
      <c r="K20" s="606"/>
      <c r="L20" s="373"/>
      <c r="M20" s="606"/>
      <c r="N20" s="373"/>
      <c r="O20" s="606"/>
      <c r="P20" s="373"/>
      <c r="Q20" s="372">
        <f t="shared" ref="Q20:Q27" si="1">SUM(I20:P20)</f>
        <v>0</v>
      </c>
      <c r="R20" s="609" t="str">
        <f t="shared" ref="R20:R27" si="2">IF(S20=FALSE,"*","")</f>
        <v/>
      </c>
      <c r="S20" s="610" t="b">
        <f t="shared" ref="S20:S27" si="3">+G20=Q20</f>
        <v>1</v>
      </c>
      <c r="T20" s="1143" t="str">
        <f t="shared" ref="T20:T28" si="4">IF(G20=Q20,"",G20-Q20)</f>
        <v/>
      </c>
    </row>
    <row r="21" spans="1:23" s="146" customFormat="1" ht="12" customHeight="1" x14ac:dyDescent="0.2">
      <c r="A21" s="371" t="str">
        <f t="shared" si="0"/>
        <v>01</v>
      </c>
      <c r="B21" s="147" t="s">
        <v>1626</v>
      </c>
      <c r="C21" s="2906"/>
      <c r="D21" s="2906"/>
      <c r="E21" s="2906"/>
      <c r="F21" s="283"/>
      <c r="G21" s="605"/>
      <c r="H21" s="373"/>
      <c r="I21" s="606"/>
      <c r="J21" s="373"/>
      <c r="K21" s="606"/>
      <c r="L21" s="373"/>
      <c r="M21" s="606"/>
      <c r="N21" s="373"/>
      <c r="O21" s="606"/>
      <c r="P21" s="373"/>
      <c r="Q21" s="372">
        <f t="shared" si="1"/>
        <v>0</v>
      </c>
      <c r="R21" s="609" t="str">
        <f t="shared" si="2"/>
        <v/>
      </c>
      <c r="S21" s="610" t="b">
        <f t="shared" si="3"/>
        <v>1</v>
      </c>
      <c r="T21" s="1143" t="str">
        <f t="shared" si="4"/>
        <v/>
      </c>
    </row>
    <row r="22" spans="1:23" s="146" customFormat="1" ht="12" customHeight="1" x14ac:dyDescent="0.2">
      <c r="A22" s="371" t="str">
        <f t="shared" si="0"/>
        <v>01</v>
      </c>
      <c r="B22" s="147" t="s">
        <v>1627</v>
      </c>
      <c r="C22" s="2906"/>
      <c r="D22" s="2906"/>
      <c r="E22" s="2906"/>
      <c r="F22" s="283"/>
      <c r="G22" s="605"/>
      <c r="H22" s="373"/>
      <c r="I22" s="606"/>
      <c r="J22" s="373"/>
      <c r="K22" s="606"/>
      <c r="L22" s="373"/>
      <c r="M22" s="606"/>
      <c r="N22" s="373"/>
      <c r="O22" s="606"/>
      <c r="P22" s="373"/>
      <c r="Q22" s="372">
        <f t="shared" si="1"/>
        <v>0</v>
      </c>
      <c r="R22" s="609" t="str">
        <f t="shared" si="2"/>
        <v/>
      </c>
      <c r="S22" s="610" t="b">
        <f t="shared" si="3"/>
        <v>1</v>
      </c>
      <c r="T22" s="1143" t="str">
        <f t="shared" si="4"/>
        <v/>
      </c>
    </row>
    <row r="23" spans="1:23" s="146" customFormat="1" ht="12" customHeight="1" x14ac:dyDescent="0.2">
      <c r="A23" s="371" t="str">
        <f t="shared" si="0"/>
        <v>01</v>
      </c>
      <c r="B23" s="147" t="s">
        <v>1628</v>
      </c>
      <c r="C23" s="2906"/>
      <c r="D23" s="2906"/>
      <c r="E23" s="2906"/>
      <c r="F23" s="283"/>
      <c r="G23" s="605"/>
      <c r="H23" s="373"/>
      <c r="I23" s="605"/>
      <c r="J23" s="373"/>
      <c r="K23" s="605"/>
      <c r="L23" s="373"/>
      <c r="M23" s="605"/>
      <c r="N23" s="373"/>
      <c r="O23" s="605"/>
      <c r="P23" s="373"/>
      <c r="Q23" s="372">
        <f t="shared" si="1"/>
        <v>0</v>
      </c>
      <c r="R23" s="609" t="str">
        <f t="shared" si="2"/>
        <v/>
      </c>
      <c r="S23" s="610" t="b">
        <f t="shared" si="3"/>
        <v>1</v>
      </c>
      <c r="T23" s="1143" t="str">
        <f t="shared" si="4"/>
        <v/>
      </c>
    </row>
    <row r="24" spans="1:23" s="146" customFormat="1" ht="12" customHeight="1" x14ac:dyDescent="0.2">
      <c r="A24" s="371" t="str">
        <f t="shared" si="0"/>
        <v>01</v>
      </c>
      <c r="B24" s="147" t="s">
        <v>1629</v>
      </c>
      <c r="C24" s="2920"/>
      <c r="D24" s="2906"/>
      <c r="E24" s="2906"/>
      <c r="F24" s="283"/>
      <c r="G24" s="606"/>
      <c r="H24" s="373"/>
      <c r="I24" s="606"/>
      <c r="J24" s="373"/>
      <c r="K24" s="606"/>
      <c r="L24" s="373"/>
      <c r="M24" s="606"/>
      <c r="N24" s="373"/>
      <c r="O24" s="606"/>
      <c r="P24" s="373"/>
      <c r="Q24" s="372">
        <f t="shared" si="1"/>
        <v>0</v>
      </c>
      <c r="R24" s="609" t="str">
        <f t="shared" si="2"/>
        <v/>
      </c>
      <c r="S24" s="610" t="b">
        <f t="shared" si="3"/>
        <v>1</v>
      </c>
      <c r="T24" s="1143" t="str">
        <f t="shared" si="4"/>
        <v/>
      </c>
    </row>
    <row r="25" spans="1:23" s="146" customFormat="1" ht="12" customHeight="1" x14ac:dyDescent="0.2">
      <c r="A25" s="371" t="str">
        <f t="shared" si="0"/>
        <v>01</v>
      </c>
      <c r="B25" s="147" t="s">
        <v>1630</v>
      </c>
      <c r="C25" s="2906"/>
      <c r="D25" s="2906"/>
      <c r="E25" s="2906"/>
      <c r="F25" s="283"/>
      <c r="G25" s="606"/>
      <c r="H25" s="373"/>
      <c r="I25" s="606"/>
      <c r="J25" s="373"/>
      <c r="K25" s="606"/>
      <c r="L25" s="373"/>
      <c r="M25" s="606"/>
      <c r="N25" s="373"/>
      <c r="O25" s="606"/>
      <c r="P25" s="373"/>
      <c r="Q25" s="372">
        <f t="shared" si="1"/>
        <v>0</v>
      </c>
      <c r="R25" s="609" t="str">
        <f t="shared" si="2"/>
        <v/>
      </c>
      <c r="S25" s="610" t="b">
        <f t="shared" si="3"/>
        <v>1</v>
      </c>
      <c r="T25" s="1143" t="str">
        <f t="shared" si="4"/>
        <v/>
      </c>
    </row>
    <row r="26" spans="1:23" s="146" customFormat="1" ht="12" customHeight="1" x14ac:dyDescent="0.2">
      <c r="A26" s="371" t="str">
        <f t="shared" si="0"/>
        <v>01</v>
      </c>
      <c r="B26" s="147" t="s">
        <v>1631</v>
      </c>
      <c r="C26" s="2906"/>
      <c r="D26" s="2906"/>
      <c r="E26" s="2906"/>
      <c r="F26" s="283"/>
      <c r="G26" s="606"/>
      <c r="H26" s="373"/>
      <c r="I26" s="606"/>
      <c r="J26" s="373"/>
      <c r="K26" s="606"/>
      <c r="L26" s="373"/>
      <c r="M26" s="606"/>
      <c r="N26" s="373"/>
      <c r="O26" s="606"/>
      <c r="P26" s="373"/>
      <c r="Q26" s="372">
        <f t="shared" si="1"/>
        <v>0</v>
      </c>
      <c r="R26" s="609" t="str">
        <f t="shared" si="2"/>
        <v/>
      </c>
      <c r="S26" s="610" t="b">
        <f t="shared" si="3"/>
        <v>1</v>
      </c>
      <c r="T26" s="1143" t="str">
        <f t="shared" si="4"/>
        <v/>
      </c>
    </row>
    <row r="27" spans="1:23" s="146" customFormat="1" ht="12" customHeight="1" thickBot="1" x14ac:dyDescent="0.25">
      <c r="A27" s="371" t="str">
        <f t="shared" si="0"/>
        <v>01</v>
      </c>
      <c r="B27" s="147" t="s">
        <v>1632</v>
      </c>
      <c r="C27" s="2906"/>
      <c r="D27" s="2906"/>
      <c r="E27" s="2906"/>
      <c r="F27" s="283"/>
      <c r="G27" s="607"/>
      <c r="H27" s="373"/>
      <c r="I27" s="607"/>
      <c r="J27" s="373"/>
      <c r="K27" s="607"/>
      <c r="L27" s="373"/>
      <c r="M27" s="607"/>
      <c r="N27" s="373"/>
      <c r="O27" s="607"/>
      <c r="P27" s="373"/>
      <c r="Q27" s="374">
        <f t="shared" si="1"/>
        <v>0</v>
      </c>
      <c r="R27" s="609" t="str">
        <f t="shared" si="2"/>
        <v/>
      </c>
      <c r="S27" s="610" t="b">
        <f t="shared" si="3"/>
        <v>1</v>
      </c>
      <c r="T27" s="1143" t="str">
        <f t="shared" si="4"/>
        <v/>
      </c>
    </row>
    <row r="28" spans="1:23" s="146" customFormat="1" ht="14.1" customHeight="1" thickBot="1" x14ac:dyDescent="0.25">
      <c r="A28" s="371" t="str">
        <f t="shared" si="0"/>
        <v>01</v>
      </c>
      <c r="B28" s="147" t="s">
        <v>1633</v>
      </c>
      <c r="C28" s="327" t="s">
        <v>359</v>
      </c>
      <c r="D28" s="283"/>
      <c r="E28" s="283"/>
      <c r="F28" s="283"/>
      <c r="G28" s="376">
        <f>SUM(G19:G27)</f>
        <v>0</v>
      </c>
      <c r="H28" s="373"/>
      <c r="I28" s="376">
        <f>SUM(I19:I27)</f>
        <v>0</v>
      </c>
      <c r="J28" s="373"/>
      <c r="K28" s="376">
        <f>SUM(K19:K27)</f>
        <v>0</v>
      </c>
      <c r="L28" s="373"/>
      <c r="M28" s="376">
        <f>SUM(M19:M27)</f>
        <v>0</v>
      </c>
      <c r="N28" s="373"/>
      <c r="O28" s="376">
        <f>SUM(O19:O27)</f>
        <v>0</v>
      </c>
      <c r="P28" s="373"/>
      <c r="Q28" s="376">
        <f>SUM(Q19:Q27)</f>
        <v>0</v>
      </c>
      <c r="R28" s="283"/>
      <c r="T28" s="1143" t="str">
        <f t="shared" si="4"/>
        <v/>
      </c>
    </row>
    <row r="29" spans="1:23" s="146" customFormat="1" ht="13.35" customHeight="1" thickTop="1" x14ac:dyDescent="0.25">
      <c r="A29" s="371" t="str">
        <f t="shared" si="0"/>
        <v>01</v>
      </c>
      <c r="C29" s="327"/>
      <c r="D29" s="283"/>
      <c r="E29" s="283"/>
      <c r="F29" s="283"/>
      <c r="G29" s="380"/>
      <c r="H29" s="373"/>
      <c r="I29" s="373"/>
      <c r="J29" s="373"/>
      <c r="K29" s="373"/>
      <c r="L29" s="373"/>
      <c r="M29" s="373"/>
      <c r="N29" s="373"/>
      <c r="O29" s="373"/>
      <c r="P29" s="373"/>
      <c r="Q29" s="373"/>
      <c r="R29" s="283"/>
      <c r="T29" s="1143"/>
    </row>
    <row r="30" spans="1:23" s="146" customFormat="1" ht="11.1" customHeight="1" x14ac:dyDescent="0.25">
      <c r="A30" s="371" t="str">
        <f t="shared" si="0"/>
        <v>01</v>
      </c>
      <c r="C30" s="327"/>
      <c r="D30" s="283"/>
      <c r="E30" s="283"/>
      <c r="F30" s="283"/>
      <c r="G30" s="380"/>
      <c r="H30" s="373"/>
      <c r="I30" s="373"/>
      <c r="J30" s="373"/>
      <c r="K30" s="373"/>
      <c r="L30" s="373"/>
      <c r="M30" s="373"/>
      <c r="N30" s="373"/>
      <c r="O30" s="373"/>
      <c r="P30" s="373"/>
      <c r="Q30" s="373"/>
      <c r="R30" s="283"/>
      <c r="T30" s="1143"/>
    </row>
    <row r="31" spans="1:23" s="146" customFormat="1" ht="12" customHeight="1" x14ac:dyDescent="0.25">
      <c r="A31" s="371" t="str">
        <f t="shared" si="0"/>
        <v>01</v>
      </c>
      <c r="C31" s="326" t="s">
        <v>371</v>
      </c>
      <c r="D31" s="283"/>
      <c r="E31" s="283"/>
      <c r="F31" s="283"/>
      <c r="G31" s="373"/>
      <c r="H31" s="373"/>
      <c r="I31" s="373"/>
      <c r="J31" s="373"/>
      <c r="K31" s="373"/>
      <c r="L31" s="373"/>
      <c r="M31" s="373"/>
      <c r="N31" s="373"/>
      <c r="O31" s="373"/>
      <c r="P31" s="373"/>
      <c r="Q31" s="373"/>
      <c r="R31" s="283"/>
      <c r="T31" s="1143"/>
    </row>
    <row r="32" spans="1:23" s="146" customFormat="1" ht="12" customHeight="1" x14ac:dyDescent="0.2">
      <c r="A32" s="371" t="str">
        <f t="shared" si="0"/>
        <v>01</v>
      </c>
      <c r="B32" s="146" t="s">
        <v>1634</v>
      </c>
      <c r="C32" s="2906"/>
      <c r="D32" s="2906"/>
      <c r="E32" s="2906"/>
      <c r="F32" s="283"/>
      <c r="G32" s="605"/>
      <c r="H32" s="373"/>
      <c r="I32" s="605"/>
      <c r="J32" s="373"/>
      <c r="K32" s="605"/>
      <c r="L32" s="373"/>
      <c r="M32" s="605"/>
      <c r="N32" s="373"/>
      <c r="O32" s="605"/>
      <c r="P32" s="373"/>
      <c r="Q32" s="372">
        <f>SUM(I32:P32)</f>
        <v>0</v>
      </c>
      <c r="R32" s="609" t="str">
        <f>IF(S32=FALSE,"*","")</f>
        <v/>
      </c>
      <c r="S32" s="610" t="b">
        <f>+G32=Q32</f>
        <v>1</v>
      </c>
      <c r="T32" s="1143" t="str">
        <f>IF(G32=Q32,"",G32-Q32)</f>
        <v/>
      </c>
    </row>
    <row r="33" spans="1:23" s="146" customFormat="1" ht="12" customHeight="1" x14ac:dyDescent="0.2">
      <c r="A33" s="371" t="str">
        <f t="shared" si="0"/>
        <v>01</v>
      </c>
      <c r="B33" s="146" t="s">
        <v>1635</v>
      </c>
      <c r="C33" s="2906"/>
      <c r="D33" s="2906"/>
      <c r="E33" s="2906"/>
      <c r="F33" s="283"/>
      <c r="G33" s="605"/>
      <c r="H33" s="373"/>
      <c r="I33" s="606"/>
      <c r="J33" s="373"/>
      <c r="K33" s="605"/>
      <c r="L33" s="373"/>
      <c r="M33" s="606"/>
      <c r="N33" s="373"/>
      <c r="O33" s="606"/>
      <c r="P33" s="373"/>
      <c r="Q33" s="372">
        <f>SUM(I33:P33)</f>
        <v>0</v>
      </c>
      <c r="R33" s="609" t="str">
        <f>IF(S33=FALSE,"*","")</f>
        <v/>
      </c>
      <c r="S33" s="610" t="b">
        <f>+G33=Q33</f>
        <v>1</v>
      </c>
      <c r="T33" s="1143" t="str">
        <f>IF(G33=Q33,"",G33-Q33)</f>
        <v/>
      </c>
    </row>
    <row r="34" spans="1:23" s="146" customFormat="1" ht="12" customHeight="1" thickBot="1" x14ac:dyDescent="0.25">
      <c r="A34" s="371" t="str">
        <f t="shared" si="0"/>
        <v>01</v>
      </c>
      <c r="B34" s="146" t="s">
        <v>1636</v>
      </c>
      <c r="C34" s="2906"/>
      <c r="D34" s="2906"/>
      <c r="E34" s="2906"/>
      <c r="F34" s="283"/>
      <c r="G34" s="607"/>
      <c r="H34" s="373"/>
      <c r="I34" s="608"/>
      <c r="J34" s="373"/>
      <c r="K34" s="608"/>
      <c r="L34" s="373"/>
      <c r="M34" s="608"/>
      <c r="N34" s="373"/>
      <c r="O34" s="608"/>
      <c r="P34" s="373"/>
      <c r="Q34" s="374">
        <f>SUM(I34:P34)</f>
        <v>0</v>
      </c>
      <c r="R34" s="609" t="str">
        <f>IF(S34=FALSE,"*","")</f>
        <v/>
      </c>
      <c r="S34" s="610" t="b">
        <f>+G34=Q34</f>
        <v>1</v>
      </c>
      <c r="T34" s="1143" t="str">
        <f>IF(G34=Q34,"",G34-Q34)</f>
        <v/>
      </c>
    </row>
    <row r="35" spans="1:23" s="146" customFormat="1" ht="14.1" customHeight="1" thickBot="1" x14ac:dyDescent="0.25">
      <c r="A35" s="371" t="str">
        <f t="shared" si="0"/>
        <v>01</v>
      </c>
      <c r="B35" s="146" t="s">
        <v>1637</v>
      </c>
      <c r="C35" s="329" t="s">
        <v>652</v>
      </c>
      <c r="D35" s="283"/>
      <c r="E35" s="283"/>
      <c r="F35" s="283"/>
      <c r="G35" s="376">
        <f>SUM(G32:G34)</f>
        <v>0</v>
      </c>
      <c r="H35" s="373"/>
      <c r="I35" s="376">
        <f>SUM(I32:I34)</f>
        <v>0</v>
      </c>
      <c r="J35" s="373"/>
      <c r="K35" s="376">
        <f>SUM(K32:K34)</f>
        <v>0</v>
      </c>
      <c r="L35" s="373"/>
      <c r="M35" s="376">
        <f>SUM(M32:M34)</f>
        <v>0</v>
      </c>
      <c r="N35" s="373"/>
      <c r="O35" s="376">
        <f>SUM(O32:O34)</f>
        <v>0</v>
      </c>
      <c r="P35" s="373"/>
      <c r="Q35" s="376">
        <f>SUM(Q32:Q34)</f>
        <v>0</v>
      </c>
      <c r="R35" s="283"/>
      <c r="T35" s="1143" t="str">
        <f>IF(G35=Q35,"",G35-Q35)</f>
        <v/>
      </c>
    </row>
    <row r="36" spans="1:23" ht="13.35" customHeight="1" thickTop="1" x14ac:dyDescent="0.25">
      <c r="A36" s="371" t="str">
        <f t="shared" si="0"/>
        <v>01</v>
      </c>
      <c r="G36" s="380"/>
      <c r="H36" s="379"/>
      <c r="I36" s="379"/>
      <c r="J36" s="379"/>
      <c r="K36" s="379"/>
      <c r="L36" s="379"/>
      <c r="M36" s="379"/>
      <c r="N36" s="379"/>
      <c r="O36" s="379"/>
      <c r="P36" s="379"/>
      <c r="Q36" s="379"/>
      <c r="T36" s="1143"/>
    </row>
    <row r="37" spans="1:23" ht="15" customHeight="1" thickBot="1" x14ac:dyDescent="0.25">
      <c r="A37" s="371" t="str">
        <f t="shared" si="0"/>
        <v>01</v>
      </c>
      <c r="B37" s="11" t="s">
        <v>1638</v>
      </c>
      <c r="C37" s="11" t="s">
        <v>962</v>
      </c>
      <c r="G37" s="376">
        <f>'705'!G35+'705'!G45+'715'!G28+'715'!G35</f>
        <v>0</v>
      </c>
      <c r="H37" s="373"/>
      <c r="I37" s="376">
        <f>'705'!I35+'705'!I45+'715'!I28+'715'!I35</f>
        <v>0</v>
      </c>
      <c r="J37" s="373"/>
      <c r="K37" s="376">
        <f>'705'!K35+'705'!K45+'715'!K28+'715'!K35</f>
        <v>0</v>
      </c>
      <c r="L37" s="373"/>
      <c r="M37" s="376">
        <f>'705'!M35+'705'!M45+'715'!M28+'715'!M35</f>
        <v>0</v>
      </c>
      <c r="N37" s="373"/>
      <c r="O37" s="376">
        <f>'705'!O35+'705'!O45+'715'!O28+'715'!O35</f>
        <v>0</v>
      </c>
      <c r="P37" s="373"/>
      <c r="Q37" s="376">
        <f>'705'!Q35+'705'!Q45+'715'!Q28+'715'!Q35</f>
        <v>0</v>
      </c>
      <c r="S37" s="553">
        <f>COUNTIF(S19:S36,FALSE)</f>
        <v>0</v>
      </c>
      <c r="T37" s="1143" t="str">
        <f>IF(G37=Q37,"",G37-Q37)</f>
        <v/>
      </c>
      <c r="W37" s="2169" t="s">
        <v>5095</v>
      </c>
    </row>
    <row r="38" spans="1:23" ht="15" customHeight="1" thickTop="1" x14ac:dyDescent="0.2">
      <c r="A38" s="371" t="str">
        <f t="shared" si="0"/>
        <v>01</v>
      </c>
      <c r="G38" s="379"/>
      <c r="H38" s="379"/>
      <c r="I38" s="379"/>
      <c r="J38" s="379"/>
      <c r="K38" s="379"/>
      <c r="L38" s="379"/>
      <c r="M38" s="379"/>
      <c r="N38" s="379"/>
      <c r="O38" s="379"/>
      <c r="P38" s="379"/>
      <c r="Q38" s="379"/>
      <c r="T38" s="283"/>
    </row>
    <row r="39" spans="1:23" ht="15" customHeight="1" x14ac:dyDescent="0.2">
      <c r="A39" s="371" t="str">
        <f t="shared" si="0"/>
        <v>01</v>
      </c>
      <c r="G39" s="379"/>
      <c r="H39" s="379"/>
      <c r="I39" s="379"/>
      <c r="J39" s="379"/>
      <c r="K39" s="379"/>
      <c r="L39" s="379"/>
      <c r="M39" s="379"/>
      <c r="N39" s="379"/>
      <c r="O39" s="379"/>
      <c r="P39" s="379"/>
      <c r="Q39" s="379"/>
      <c r="T39" s="283"/>
    </row>
    <row r="40" spans="1:23" ht="15" customHeight="1" x14ac:dyDescent="0.2">
      <c r="A40" s="371" t="str">
        <f t="shared" si="0"/>
        <v>01</v>
      </c>
      <c r="G40" s="379"/>
      <c r="H40" s="379"/>
      <c r="I40" s="379"/>
      <c r="J40" s="379"/>
      <c r="K40" s="379"/>
      <c r="L40" s="379"/>
      <c r="M40" s="379"/>
      <c r="N40" s="379"/>
      <c r="O40" s="379"/>
      <c r="P40" s="379"/>
      <c r="Q40" s="379"/>
      <c r="T40" s="283"/>
    </row>
    <row r="41" spans="1:23" ht="15" customHeight="1" x14ac:dyDescent="0.2">
      <c r="A41" s="371" t="str">
        <f t="shared" si="0"/>
        <v>01</v>
      </c>
      <c r="B41" s="443" t="str">
        <f ca="1">MID(CELL("filename",B18),FIND("]",CELL("filename",B18))+1,256)</f>
        <v>715</v>
      </c>
      <c r="C41" s="443" t="s">
        <v>449</v>
      </c>
      <c r="G41" s="379"/>
      <c r="H41" s="379"/>
      <c r="I41" s="379"/>
      <c r="J41" s="379"/>
      <c r="K41" s="379"/>
      <c r="L41" s="379"/>
      <c r="M41" s="379"/>
      <c r="N41" s="379"/>
      <c r="O41" s="379"/>
      <c r="P41" s="379"/>
      <c r="Q41" s="379"/>
      <c r="T41" s="283"/>
    </row>
    <row r="42" spans="1:23" ht="15" customHeight="1" x14ac:dyDescent="0.2">
      <c r="B42" s="443" t="s">
        <v>446</v>
      </c>
      <c r="C42" s="443" t="str">
        <f t="shared" ref="C42:C51" ca="1" si="5">IF(ISNA(INDEX(ErrorTable,MATCH($B$41&amp;$B42&amp;FALSE,ErrorKey,0),6)),"",INDEX(ErrorTable,MATCH($B$41&amp;$B42&amp;FALSE,ErrorKey,0),6))</f>
        <v/>
      </c>
      <c r="G42" s="379"/>
      <c r="H42" s="379"/>
      <c r="I42" s="379"/>
      <c r="J42" s="379"/>
      <c r="K42" s="379"/>
      <c r="L42" s="379"/>
      <c r="M42" s="379"/>
      <c r="N42" s="379"/>
      <c r="O42" s="379"/>
      <c r="P42" s="379"/>
      <c r="Q42" s="379"/>
      <c r="T42" s="283"/>
    </row>
    <row r="43" spans="1:23" ht="15" customHeight="1" x14ac:dyDescent="0.2">
      <c r="B43" s="443" t="s">
        <v>447</v>
      </c>
      <c r="C43" s="443" t="str">
        <f t="shared" ca="1" si="5"/>
        <v/>
      </c>
      <c r="G43" s="379"/>
      <c r="H43" s="379"/>
      <c r="I43" s="379"/>
      <c r="J43" s="379"/>
      <c r="K43" s="379"/>
      <c r="L43" s="379"/>
      <c r="M43" s="379"/>
      <c r="N43" s="379"/>
      <c r="O43" s="379"/>
      <c r="P43" s="379"/>
      <c r="Q43" s="379"/>
      <c r="T43" s="283"/>
    </row>
    <row r="44" spans="1:23" ht="15" customHeight="1" x14ac:dyDescent="0.2">
      <c r="B44" s="443" t="s">
        <v>448</v>
      </c>
      <c r="C44" s="443" t="str">
        <f t="shared" ca="1" si="5"/>
        <v/>
      </c>
      <c r="G44" s="379"/>
      <c r="H44" s="379"/>
      <c r="I44" s="379"/>
      <c r="J44" s="379"/>
      <c r="K44" s="379"/>
      <c r="L44" s="379"/>
      <c r="M44" s="379"/>
      <c r="N44" s="379"/>
      <c r="O44" s="379"/>
      <c r="P44" s="379"/>
      <c r="Q44" s="379"/>
      <c r="T44" s="283"/>
    </row>
    <row r="45" spans="1:23" ht="15" customHeight="1" x14ac:dyDescent="0.2">
      <c r="B45" s="443" t="s">
        <v>450</v>
      </c>
      <c r="C45" s="443" t="str">
        <f t="shared" ca="1" si="5"/>
        <v/>
      </c>
      <c r="G45" s="12"/>
      <c r="H45" s="12"/>
      <c r="I45" s="12"/>
      <c r="J45" s="12"/>
      <c r="K45" s="12"/>
      <c r="L45" s="12"/>
      <c r="M45" s="12"/>
      <c r="N45" s="12"/>
      <c r="O45" s="12"/>
      <c r="P45" s="12"/>
      <c r="Q45" s="12"/>
      <c r="T45" s="283"/>
    </row>
    <row r="46" spans="1:23" ht="15" customHeight="1" x14ac:dyDescent="0.2">
      <c r="B46" s="443" t="s">
        <v>451</v>
      </c>
      <c r="C46" s="443" t="str">
        <f t="shared" ca="1" si="5"/>
        <v/>
      </c>
      <c r="G46" s="12"/>
      <c r="H46" s="12"/>
      <c r="I46" s="12"/>
      <c r="J46" s="12"/>
      <c r="K46" s="12"/>
      <c r="L46" s="12"/>
      <c r="M46" s="12"/>
      <c r="N46" s="12"/>
      <c r="O46" s="12"/>
      <c r="P46" s="12"/>
      <c r="Q46" s="12"/>
      <c r="T46" s="283"/>
    </row>
    <row r="47" spans="1:23" ht="15" customHeight="1" x14ac:dyDescent="0.2">
      <c r="B47" s="443" t="s">
        <v>452</v>
      </c>
      <c r="C47" s="443" t="str">
        <f t="shared" ca="1" si="5"/>
        <v/>
      </c>
      <c r="G47" s="12"/>
      <c r="H47" s="12"/>
      <c r="I47" s="12"/>
      <c r="J47" s="12"/>
      <c r="K47" s="12"/>
      <c r="L47" s="12"/>
      <c r="M47" s="12"/>
      <c r="N47" s="12"/>
      <c r="O47" s="12"/>
      <c r="P47" s="12"/>
      <c r="Q47" s="12"/>
      <c r="T47" s="283"/>
    </row>
    <row r="48" spans="1:23" ht="15" customHeight="1" x14ac:dyDescent="0.2">
      <c r="B48" s="443" t="s">
        <v>453</v>
      </c>
      <c r="C48" s="443" t="str">
        <f t="shared" ca="1" si="5"/>
        <v/>
      </c>
      <c r="G48" s="12"/>
      <c r="H48" s="12"/>
      <c r="I48" s="12"/>
      <c r="J48" s="12"/>
      <c r="K48" s="12"/>
      <c r="L48" s="12"/>
      <c r="M48" s="12"/>
      <c r="N48" s="12"/>
      <c r="O48" s="12"/>
      <c r="P48" s="12"/>
      <c r="Q48" s="12"/>
      <c r="T48" s="283"/>
    </row>
    <row r="49" spans="2:20" ht="15" customHeight="1" x14ac:dyDescent="0.2">
      <c r="B49" s="443" t="s">
        <v>454</v>
      </c>
      <c r="C49" s="443" t="str">
        <f t="shared" ca="1" si="5"/>
        <v/>
      </c>
      <c r="T49" s="283"/>
    </row>
    <row r="50" spans="2:20" ht="15" customHeight="1" x14ac:dyDescent="0.2">
      <c r="B50" s="443" t="s">
        <v>455</v>
      </c>
      <c r="C50" s="443" t="str">
        <f t="shared" ca="1" si="5"/>
        <v/>
      </c>
    </row>
    <row r="51" spans="2:20" ht="15" customHeight="1" x14ac:dyDescent="0.2">
      <c r="B51" s="443" t="s">
        <v>456</v>
      </c>
      <c r="C51" s="443" t="str">
        <f t="shared" ca="1" si="5"/>
        <v/>
      </c>
    </row>
    <row r="52" spans="2:20" ht="15" customHeight="1" x14ac:dyDescent="0.2"/>
    <row r="53" spans="2:20" ht="15" customHeight="1" x14ac:dyDescent="0.2"/>
    <row r="54" spans="2:20" ht="15" customHeight="1" x14ac:dyDescent="0.2"/>
    <row r="55" spans="2:20" ht="15" customHeight="1" x14ac:dyDescent="0.2"/>
    <row r="56" spans="2:20" ht="15" customHeight="1" x14ac:dyDescent="0.2"/>
    <row r="57" spans="2:20" ht="15" customHeight="1" x14ac:dyDescent="0.2"/>
    <row r="58" spans="2:20" ht="15" customHeight="1" x14ac:dyDescent="0.2"/>
    <row r="59" spans="2:20" ht="15" customHeight="1" x14ac:dyDescent="0.2"/>
    <row r="60" spans="2:20" ht="15" customHeight="1" x14ac:dyDescent="0.2"/>
    <row r="61" spans="2:20" ht="15" customHeight="1" x14ac:dyDescent="0.2"/>
    <row r="62" spans="2:20" ht="11.1" customHeight="1" x14ac:dyDescent="0.2"/>
  </sheetData>
  <sheetProtection algorithmName="SHA-512" hashValue="zSBsqDHzq8W4jmAkCci0x75xbL3JEHxAAvfSJgVa2/m653QZK89E2lIID7vevToiTt2ftpBYjydhBz33Rt3L1g==" saltValue="5jnAl9+6htkQLj/4cdu/VA==" spinCount="100000" sheet="1" objects="1" scenarios="1" autoFilter="0"/>
  <customSheetViews>
    <customSheetView guid="{B08879A4-635B-4C39-9937-AC7883D562FC}" showGridLines="0" fitToPage="1" hiddenColumns="1" topLeftCell="C1">
      <selection activeCell="B12" sqref="B12"/>
      <pageMargins left="0.5" right="0.5" top="0.5" bottom="0.5" header="0.5" footer="0.25"/>
      <printOptions horizontalCentered="1"/>
      <pageSetup orientation="landscape" horizontalDpi="1200" verticalDpi="1200" r:id="rId1"/>
      <headerFooter alignWithMargins="0">
        <oddFooter>&amp;R&amp;A</oddFooter>
      </headerFooter>
    </customSheetView>
    <customSheetView guid="{1250FD07-FF56-4A9D-AF9E-C27124A7EBE9}" showGridLines="0" fitToPage="1" showRuler="0">
      <selection activeCell="C8" sqref="C8:E8"/>
      <pageMargins left="0.5" right="0.5" top="0.5" bottom="0.5" header="0.5" footer="0.25"/>
      <printOptions horizontalCentered="1"/>
      <pageSetup orientation="landscape" horizontalDpi="4294967292" verticalDpi="300" r:id="rId2"/>
      <headerFooter alignWithMargins="0">
        <oddFooter>&amp;R&amp;A</oddFooter>
      </headerFooter>
    </customSheetView>
    <customSheetView guid="{BEA4BE86-04D1-4C96-9358-7A260B9D2B2D}" showGridLines="0" fitToPage="1" showRuler="0">
      <selection activeCell="C8" sqref="C8:E8"/>
      <pageMargins left="0.5" right="0.5" top="0.5" bottom="0.5" header="0.5" footer="0.25"/>
      <printOptions horizontalCentered="1"/>
      <pageSetup orientation="landscape" horizontalDpi="4294967292" verticalDpi="300" r:id="rId3"/>
      <headerFooter alignWithMargins="0">
        <oddFooter>&amp;R&amp;A</oddFooter>
      </headerFooter>
    </customSheetView>
    <customSheetView guid="{9FCFC836-1CA5-48BF-958D-24D2EA94B219}" showGridLines="0" fitToPage="1" hiddenColumns="1" topLeftCell="C1">
      <selection activeCell="B12" sqref="B12"/>
      <pageMargins left="0.5" right="0.5" top="0.5" bottom="0.5" header="0.5" footer="0.25"/>
      <printOptions horizontalCentered="1"/>
      <pageSetup orientation="landscape" horizontalDpi="1200" verticalDpi="1200" r:id="rId4"/>
      <headerFooter alignWithMargins="0">
        <oddFooter>&amp;R&amp;A</oddFooter>
      </headerFooter>
    </customSheetView>
  </customSheetViews>
  <mergeCells count="25">
    <mergeCell ref="R1:R3"/>
    <mergeCell ref="C1:Q1"/>
    <mergeCell ref="C2:Q2"/>
    <mergeCell ref="C3:Q3"/>
    <mergeCell ref="C4:Q4"/>
    <mergeCell ref="I11:M11"/>
    <mergeCell ref="E6:G6"/>
    <mergeCell ref="L7:Q7"/>
    <mergeCell ref="L8:Q8"/>
    <mergeCell ref="C25:E25"/>
    <mergeCell ref="C21:E21"/>
    <mergeCell ref="C23:E23"/>
    <mergeCell ref="C19:E19"/>
    <mergeCell ref="C22:E22"/>
    <mergeCell ref="L6:Q6"/>
    <mergeCell ref="C15:E15"/>
    <mergeCell ref="E8:G8"/>
    <mergeCell ref="C24:E24"/>
    <mergeCell ref="C20:E20"/>
    <mergeCell ref="C16:E16"/>
    <mergeCell ref="C34:E34"/>
    <mergeCell ref="C32:E32"/>
    <mergeCell ref="C33:E33"/>
    <mergeCell ref="C27:E27"/>
    <mergeCell ref="C26:E26"/>
  </mergeCells>
  <phoneticPr fontId="15" type="noConversion"/>
  <conditionalFormatting sqref="R1:R3">
    <cfRule type="cellIs" dxfId="33" priority="1" stopIfTrue="1" operator="equal">
      <formula>"na"</formula>
    </cfRule>
  </conditionalFormatting>
  <hyperlinks>
    <hyperlink ref="C1" location="Index!A1" display="Index!A1" xr:uid="{00000000-0004-0000-3F00-000000000000}"/>
  </hyperlinks>
  <printOptions horizontalCentered="1"/>
  <pageMargins left="0.5" right="0.5" top="0.5" bottom="0.5" header="0.5" footer="0.25"/>
  <pageSetup orientation="landscape" r:id="rId5"/>
  <headerFooter alignWithMargins="0">
    <oddFooter>&amp;R&amp;A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pageSetUpPr fitToPage="1"/>
  </sheetPr>
  <dimension ref="A1:S58"/>
  <sheetViews>
    <sheetView showGridLines="0" topLeftCell="C1" zoomScaleNormal="100" workbookViewId="0">
      <selection activeCell="D5" sqref="D5"/>
    </sheetView>
  </sheetViews>
  <sheetFormatPr defaultColWidth="9.42578125" defaultRowHeight="12" x14ac:dyDescent="0.2"/>
  <cols>
    <col min="1" max="2" width="9.42578125" style="330" hidden="1" customWidth="1"/>
    <col min="3" max="3" width="1.5703125" style="330" customWidth="1"/>
    <col min="4" max="4" width="6.5703125" style="330" customWidth="1"/>
    <col min="5" max="5" width="8.85546875" style="330" customWidth="1"/>
    <col min="6" max="6" width="14" style="330" customWidth="1"/>
    <col min="7" max="7" width="12.42578125" style="330" customWidth="1"/>
    <col min="8" max="8" width="1.5703125" style="330" customWidth="1"/>
    <col min="9" max="9" width="16.5703125" style="330" customWidth="1"/>
    <col min="10" max="10" width="1.5703125" style="330" customWidth="1"/>
    <col min="11" max="11" width="14.5703125" style="330" customWidth="1"/>
    <col min="12" max="12" width="1.5703125" style="330" customWidth="1"/>
    <col min="13" max="13" width="14.5703125" style="330" customWidth="1"/>
    <col min="14" max="14" width="1.5703125" style="330" customWidth="1"/>
    <col min="15" max="15" width="14.5703125" style="330" customWidth="1"/>
    <col min="16" max="16" width="1.5703125" style="330" customWidth="1"/>
    <col min="17" max="17" width="14.5703125" style="330" customWidth="1"/>
    <col min="18" max="18" width="4.5703125" style="330" customWidth="1"/>
    <col min="19" max="19" width="15.5703125" style="330" customWidth="1"/>
    <col min="20" max="16384" width="9.42578125" style="330"/>
  </cols>
  <sheetData>
    <row r="1" spans="1:19" ht="25.15" customHeight="1" x14ac:dyDescent="0.25">
      <c r="A1" s="330" t="str">
        <f t="shared" ref="A1:A31" si="0">AgyIdx</f>
        <v>01</v>
      </c>
      <c r="C1" s="2449" t="str">
        <f>+Index!$A$1</f>
        <v xml:space="preserve">                                                               Office of the State Controller                                                                </v>
      </c>
      <c r="D1" s="2449"/>
      <c r="E1" s="2449"/>
      <c r="F1" s="2449"/>
      <c r="G1" s="2449"/>
      <c r="H1" s="2449"/>
      <c r="I1" s="2449"/>
      <c r="J1" s="2449"/>
      <c r="K1" s="2449"/>
      <c r="L1" s="2449"/>
      <c r="M1" s="2449"/>
      <c r="N1" s="2449"/>
      <c r="O1" s="2449"/>
      <c r="P1" s="2449"/>
      <c r="Q1" s="2449"/>
      <c r="R1" s="1423" t="str">
        <f>IF(Index!$B$90="na","NA","")</f>
        <v/>
      </c>
    </row>
    <row r="2" spans="1:19" ht="15.6" customHeight="1" x14ac:dyDescent="0.25">
      <c r="A2" s="330" t="str">
        <f t="shared" si="0"/>
        <v>01</v>
      </c>
      <c r="C2" s="2905" t="str">
        <f>+Index!$A$2</f>
        <v>2022 ACFR Worksheets</v>
      </c>
      <c r="D2" s="2905"/>
      <c r="E2" s="2905"/>
      <c r="F2" s="2905"/>
      <c r="G2" s="2905"/>
      <c r="H2" s="2905"/>
      <c r="I2" s="2905"/>
      <c r="J2" s="2905"/>
      <c r="K2" s="2905"/>
      <c r="L2" s="2905"/>
      <c r="M2" s="2905"/>
      <c r="N2" s="2905"/>
      <c r="O2" s="2905"/>
      <c r="P2" s="2905"/>
      <c r="Q2" s="2905"/>
      <c r="R2" s="1423"/>
    </row>
    <row r="3" spans="1:19" ht="15.6" customHeight="1" x14ac:dyDescent="0.25">
      <c r="A3" s="330" t="str">
        <f t="shared" si="0"/>
        <v>01</v>
      </c>
      <c r="C3" s="2431" t="s">
        <v>1075</v>
      </c>
      <c r="D3" s="2431"/>
      <c r="E3" s="2431"/>
      <c r="F3" s="2431"/>
      <c r="G3" s="2431"/>
      <c r="H3" s="2431"/>
      <c r="I3" s="2431"/>
      <c r="J3" s="2431"/>
      <c r="K3" s="2431"/>
      <c r="L3" s="2431"/>
      <c r="M3" s="2431"/>
      <c r="N3" s="2431"/>
      <c r="O3" s="2431"/>
      <c r="P3" s="2431"/>
      <c r="Q3" s="2431"/>
      <c r="R3" s="1423"/>
    </row>
    <row r="4" spans="1:19" ht="15.6" customHeight="1" x14ac:dyDescent="0.25">
      <c r="A4" s="330" t="str">
        <f t="shared" si="0"/>
        <v>01</v>
      </c>
      <c r="C4" s="2431" t="s">
        <v>3599</v>
      </c>
      <c r="D4" s="2431"/>
      <c r="E4" s="2431"/>
      <c r="F4" s="2431"/>
      <c r="G4" s="2431"/>
      <c r="H4" s="2431"/>
      <c r="I4" s="2431"/>
      <c r="J4" s="2431"/>
      <c r="K4" s="2431"/>
      <c r="L4" s="2431"/>
      <c r="M4" s="2431"/>
      <c r="N4" s="2431"/>
      <c r="O4" s="2431"/>
      <c r="P4" s="2431"/>
      <c r="Q4" s="2431"/>
      <c r="R4" s="281"/>
    </row>
    <row r="5" spans="1:19" ht="13.35" customHeight="1" x14ac:dyDescent="0.2">
      <c r="A5" s="330" t="str">
        <f t="shared" si="0"/>
        <v>01</v>
      </c>
      <c r="M5" s="430"/>
    </row>
    <row r="6" spans="1:19" ht="14.85" customHeight="1" x14ac:dyDescent="0.2">
      <c r="A6" s="330" t="str">
        <f t="shared" si="0"/>
        <v>01</v>
      </c>
      <c r="K6" s="9" t="s">
        <v>327</v>
      </c>
      <c r="M6" s="2926" t="str">
        <f>+Index!$E$10</f>
        <v>01</v>
      </c>
      <c r="N6" s="2927"/>
      <c r="O6" s="2927"/>
      <c r="P6" s="2927"/>
      <c r="Q6" s="2927"/>
    </row>
    <row r="7" spans="1:19" ht="14.85" customHeight="1" x14ac:dyDescent="0.2">
      <c r="A7" s="330" t="str">
        <f t="shared" si="0"/>
        <v>01</v>
      </c>
      <c r="K7" s="9" t="s">
        <v>1154</v>
      </c>
      <c r="M7" s="2928" t="str">
        <f>+Index!$E$11</f>
        <v>North Carolina General Assembly</v>
      </c>
      <c r="N7" s="2928"/>
      <c r="O7" s="2928"/>
      <c r="P7" s="2928"/>
      <c r="Q7" s="2928"/>
    </row>
    <row r="8" spans="1:19" ht="14.85" customHeight="1" x14ac:dyDescent="0.2">
      <c r="A8" s="330" t="str">
        <f t="shared" si="0"/>
        <v>01</v>
      </c>
      <c r="C8" s="8" t="s">
        <v>477</v>
      </c>
      <c r="F8" s="2921" t="s">
        <v>971</v>
      </c>
      <c r="G8" s="2921"/>
      <c r="K8" s="9" t="s">
        <v>972</v>
      </c>
      <c r="M8" s="2929" t="str">
        <f>CONCATENATE(Index!$E$12," ",Index!$E$14)</f>
        <v xml:space="preserve"> </v>
      </c>
      <c r="N8" s="2929"/>
      <c r="O8" s="2929"/>
      <c r="P8" s="2929"/>
      <c r="Q8" s="2929"/>
    </row>
    <row r="9" spans="1:19" ht="14.85" customHeight="1" x14ac:dyDescent="0.2">
      <c r="A9" s="330" t="str">
        <f t="shared" si="0"/>
        <v>01</v>
      </c>
      <c r="C9" s="8"/>
      <c r="F9" s="357"/>
      <c r="G9" s="357"/>
      <c r="K9" s="9" t="s">
        <v>348</v>
      </c>
      <c r="M9" s="2930">
        <f>+Index!$E$13</f>
        <v>0</v>
      </c>
      <c r="N9" s="2930"/>
      <c r="O9" s="2930"/>
      <c r="P9" s="2930"/>
      <c r="Q9" s="2930"/>
    </row>
    <row r="10" spans="1:19" ht="12.75" customHeight="1" thickBot="1" x14ac:dyDescent="0.25">
      <c r="A10" s="330" t="str">
        <f t="shared" si="0"/>
        <v>01</v>
      </c>
      <c r="C10" s="331"/>
      <c r="D10" s="332"/>
      <c r="E10" s="332"/>
      <c r="F10" s="333"/>
      <c r="G10" s="333"/>
      <c r="H10" s="333"/>
      <c r="I10" s="333"/>
      <c r="J10" s="333"/>
      <c r="K10" s="334"/>
      <c r="L10" s="333"/>
      <c r="M10" s="333"/>
      <c r="N10" s="333"/>
      <c r="O10" s="333"/>
      <c r="P10" s="333"/>
      <c r="Q10" s="333"/>
    </row>
    <row r="11" spans="1:19" ht="12.6" customHeight="1" x14ac:dyDescent="0.2">
      <c r="A11" s="330" t="str">
        <f t="shared" si="0"/>
        <v>01</v>
      </c>
    </row>
    <row r="12" spans="1:19" ht="10.35" customHeight="1" x14ac:dyDescent="0.2">
      <c r="A12" s="330" t="str">
        <f t="shared" si="0"/>
        <v>01</v>
      </c>
      <c r="D12" s="335"/>
      <c r="E12" s="335"/>
      <c r="F12" s="335"/>
      <c r="G12" s="335"/>
      <c r="H12" s="335"/>
      <c r="I12" s="335"/>
      <c r="J12" s="335"/>
      <c r="K12" s="2924" t="s">
        <v>215</v>
      </c>
      <c r="L12" s="2924"/>
      <c r="M12" s="2924"/>
      <c r="N12" s="2924"/>
      <c r="O12" s="2924"/>
      <c r="P12" s="2924"/>
      <c r="Q12" s="2924"/>
      <c r="R12" s="335"/>
    </row>
    <row r="13" spans="1:19" ht="11.85" customHeight="1" x14ac:dyDescent="0.2">
      <c r="A13" s="330" t="str">
        <f t="shared" si="0"/>
        <v>01</v>
      </c>
      <c r="C13" s="2924" t="s">
        <v>70</v>
      </c>
      <c r="D13" s="2924"/>
      <c r="E13" s="2924"/>
      <c r="F13" s="2924"/>
      <c r="G13" s="2924"/>
      <c r="H13" s="335"/>
      <c r="I13" s="336" t="s">
        <v>1158</v>
      </c>
      <c r="J13" s="337"/>
      <c r="K13" s="336" t="s">
        <v>71</v>
      </c>
      <c r="L13" s="337"/>
      <c r="M13" s="336" t="s">
        <v>72</v>
      </c>
      <c r="N13" s="337"/>
      <c r="O13" s="336" t="s">
        <v>73</v>
      </c>
      <c r="P13" s="337"/>
      <c r="Q13" s="336" t="s">
        <v>74</v>
      </c>
      <c r="R13" s="335"/>
      <c r="S13" s="792" t="s">
        <v>1680</v>
      </c>
    </row>
    <row r="14" spans="1:19" ht="9.6" customHeight="1" x14ac:dyDescent="0.2">
      <c r="A14" s="330" t="str">
        <f t="shared" si="0"/>
        <v>01</v>
      </c>
      <c r="C14" s="337"/>
      <c r="D14" s="337"/>
      <c r="E14" s="337"/>
      <c r="F14" s="337"/>
      <c r="G14" s="337"/>
      <c r="H14" s="335"/>
      <c r="I14" s="348" t="s">
        <v>118</v>
      </c>
      <c r="J14" s="348"/>
      <c r="K14" s="348" t="s">
        <v>119</v>
      </c>
      <c r="L14" s="348"/>
      <c r="M14" s="348" t="s">
        <v>996</v>
      </c>
      <c r="N14" s="348"/>
      <c r="O14" s="348" t="s">
        <v>997</v>
      </c>
      <c r="P14" s="348"/>
      <c r="Q14" s="348" t="s">
        <v>998</v>
      </c>
      <c r="R14" s="335"/>
    </row>
    <row r="15" spans="1:19" ht="11.1" customHeight="1" x14ac:dyDescent="0.2">
      <c r="A15" s="330" t="str">
        <f t="shared" si="0"/>
        <v>01</v>
      </c>
      <c r="C15" s="338" t="s">
        <v>75</v>
      </c>
      <c r="D15" s="335"/>
      <c r="E15" s="335"/>
      <c r="F15" s="335"/>
      <c r="G15" s="335"/>
      <c r="H15" s="335"/>
      <c r="I15" s="335"/>
      <c r="J15" s="335"/>
      <c r="K15" s="335"/>
      <c r="L15" s="335"/>
      <c r="M15" s="335"/>
      <c r="N15" s="335"/>
      <c r="O15" s="335"/>
      <c r="P15" s="335"/>
      <c r="Q15" s="335"/>
      <c r="R15" s="335"/>
    </row>
    <row r="16" spans="1:19" ht="11.25" customHeight="1" x14ac:dyDescent="0.2">
      <c r="A16" s="330" t="str">
        <f t="shared" si="0"/>
        <v>01</v>
      </c>
      <c r="B16" s="330" t="s">
        <v>1639</v>
      </c>
      <c r="C16" s="339"/>
      <c r="D16" s="335" t="s">
        <v>1208</v>
      </c>
      <c r="E16" s="335"/>
      <c r="F16" s="335"/>
      <c r="G16" s="335"/>
      <c r="H16" s="335"/>
      <c r="I16" s="1145">
        <f ca="1">SUMIF('710'!$B$21:$B$77,D16,'710'!$K$21:$K$77)</f>
        <v>0</v>
      </c>
      <c r="J16" s="335"/>
      <c r="K16" s="615"/>
      <c r="L16" s="335"/>
      <c r="M16" s="615"/>
      <c r="N16" s="335"/>
      <c r="O16" s="615"/>
      <c r="P16" s="335"/>
      <c r="Q16" s="615"/>
      <c r="R16" s="609"/>
      <c r="S16" s="616" t="str">
        <f ca="1">IF(I16-SUM(K16:Q16)=0,"",I16-SUM(K16:Q16))</f>
        <v/>
      </c>
    </row>
    <row r="17" spans="1:19" ht="11.25" customHeight="1" x14ac:dyDescent="0.2">
      <c r="A17" s="330" t="str">
        <f t="shared" si="0"/>
        <v>01</v>
      </c>
      <c r="B17" s="330" t="s">
        <v>1640</v>
      </c>
      <c r="C17" s="339"/>
      <c r="D17" s="335" t="s">
        <v>921</v>
      </c>
      <c r="E17" s="335"/>
      <c r="F17" s="335"/>
      <c r="G17" s="335"/>
      <c r="H17" s="335"/>
      <c r="I17" s="1145">
        <f ca="1">SUMIF('710'!$B$21:$B$77,D17,'710'!$K$21:$K$77)</f>
        <v>0</v>
      </c>
      <c r="J17" s="335"/>
      <c r="K17" s="615"/>
      <c r="L17" s="335"/>
      <c r="M17" s="615"/>
      <c r="N17" s="335"/>
      <c r="O17" s="615"/>
      <c r="P17" s="335"/>
      <c r="Q17" s="615"/>
      <c r="R17" s="609"/>
      <c r="S17" s="616" t="str">
        <f t="shared" ref="S17:S35" ca="1" si="1">IF(I17-SUM(K17:Q17)=0,"",I17-SUM(K17:Q17))</f>
        <v/>
      </c>
    </row>
    <row r="18" spans="1:19" ht="11.25" customHeight="1" x14ac:dyDescent="0.2">
      <c r="A18" s="330" t="str">
        <f t="shared" si="0"/>
        <v>01</v>
      </c>
      <c r="B18" s="330" t="s">
        <v>1641</v>
      </c>
      <c r="C18" s="339"/>
      <c r="D18" s="335" t="s">
        <v>1851</v>
      </c>
      <c r="E18" s="335"/>
      <c r="F18" s="335"/>
      <c r="G18" s="335"/>
      <c r="H18" s="335"/>
      <c r="I18" s="1145">
        <f ca="1">SUMIF('710'!$B$21:$B$77,D18,'710'!$K$21:$K$77)</f>
        <v>0</v>
      </c>
      <c r="J18" s="335"/>
      <c r="K18" s="615"/>
      <c r="L18" s="335"/>
      <c r="M18" s="615"/>
      <c r="N18" s="335"/>
      <c r="O18" s="615"/>
      <c r="P18" s="335"/>
      <c r="Q18" s="615"/>
      <c r="R18" s="609"/>
      <c r="S18" s="616" t="str">
        <f t="shared" ca="1" si="1"/>
        <v/>
      </c>
    </row>
    <row r="19" spans="1:19" ht="11.25" customHeight="1" x14ac:dyDescent="0.2">
      <c r="A19" s="330" t="str">
        <f t="shared" si="0"/>
        <v>01</v>
      </c>
      <c r="B19" s="330" t="s">
        <v>1642</v>
      </c>
      <c r="C19" s="339"/>
      <c r="D19" s="335" t="s">
        <v>1852</v>
      </c>
      <c r="E19" s="335"/>
      <c r="G19" s="335"/>
      <c r="H19" s="335"/>
      <c r="I19" s="1145">
        <f ca="1">SUMIF('710'!$B$21:$B$77,D19,'710'!$K$21:$K$77)</f>
        <v>0</v>
      </c>
      <c r="J19" s="335"/>
      <c r="K19" s="615"/>
      <c r="L19" s="335"/>
      <c r="M19" s="615"/>
      <c r="N19" s="335"/>
      <c r="O19" s="615"/>
      <c r="P19" s="335"/>
      <c r="Q19" s="615"/>
      <c r="R19" s="609"/>
      <c r="S19" s="616" t="str">
        <f t="shared" ca="1" si="1"/>
        <v/>
      </c>
    </row>
    <row r="20" spans="1:19" ht="11.25" customHeight="1" x14ac:dyDescent="0.2">
      <c r="A20" s="330" t="str">
        <f t="shared" si="0"/>
        <v>01</v>
      </c>
      <c r="B20" s="330" t="s">
        <v>1643</v>
      </c>
      <c r="C20" s="339"/>
      <c r="D20" s="335" t="s">
        <v>1853</v>
      </c>
      <c r="E20" s="335"/>
      <c r="F20" s="335"/>
      <c r="G20" s="335"/>
      <c r="H20" s="335"/>
      <c r="I20" s="1145">
        <f ca="1">SUMIF('710'!$B$21:$B$77,D20,'710'!$K$21:$K$77)</f>
        <v>0</v>
      </c>
      <c r="J20" s="335"/>
      <c r="K20" s="615"/>
      <c r="L20" s="335"/>
      <c r="M20" s="615"/>
      <c r="N20" s="335"/>
      <c r="O20" s="615"/>
      <c r="P20" s="335"/>
      <c r="Q20" s="615"/>
      <c r="R20" s="609"/>
      <c r="S20" s="616" t="str">
        <f t="shared" ca="1" si="1"/>
        <v/>
      </c>
    </row>
    <row r="21" spans="1:19" ht="11.25" customHeight="1" x14ac:dyDescent="0.2">
      <c r="A21" s="330" t="str">
        <f t="shared" si="0"/>
        <v>01</v>
      </c>
      <c r="B21" s="330" t="s">
        <v>1644</v>
      </c>
      <c r="C21" s="339"/>
      <c r="D21" s="335" t="s">
        <v>1854</v>
      </c>
      <c r="E21" s="335"/>
      <c r="F21" s="335"/>
      <c r="G21" s="335"/>
      <c r="H21" s="335"/>
      <c r="I21" s="1145">
        <f ca="1">SUMIF('710'!$B$21:$B$77,D21,'710'!$K$21:$K$77)</f>
        <v>0</v>
      </c>
      <c r="J21" s="335"/>
      <c r="K21" s="615"/>
      <c r="L21" s="335"/>
      <c r="M21" s="615"/>
      <c r="N21" s="335"/>
      <c r="O21" s="615"/>
      <c r="P21" s="335"/>
      <c r="Q21" s="615"/>
      <c r="R21" s="609"/>
      <c r="S21" s="616" t="str">
        <f t="shared" ca="1" si="1"/>
        <v/>
      </c>
    </row>
    <row r="22" spans="1:19" ht="11.25" customHeight="1" x14ac:dyDescent="0.2">
      <c r="A22" s="330" t="str">
        <f t="shared" si="0"/>
        <v>01</v>
      </c>
      <c r="B22" s="330" t="s">
        <v>1645</v>
      </c>
      <c r="C22" s="339"/>
      <c r="D22" s="335" t="s">
        <v>1855</v>
      </c>
      <c r="E22" s="335"/>
      <c r="F22" s="335"/>
      <c r="G22" s="335"/>
      <c r="H22" s="335"/>
      <c r="I22" s="1145">
        <f ca="1">SUMIF('710'!$B$21:$B$77,D22,'710'!$K$21:$K$77)</f>
        <v>0</v>
      </c>
      <c r="J22" s="335"/>
      <c r="K22" s="615"/>
      <c r="L22" s="335"/>
      <c r="M22" s="615"/>
      <c r="N22" s="335"/>
      <c r="O22" s="615"/>
      <c r="P22" s="335"/>
      <c r="Q22" s="615"/>
      <c r="R22" s="609"/>
      <c r="S22" s="616" t="str">
        <f t="shared" ca="1" si="1"/>
        <v/>
      </c>
    </row>
    <row r="23" spans="1:19" ht="11.25" customHeight="1" x14ac:dyDescent="0.2">
      <c r="A23" s="330" t="str">
        <f t="shared" si="0"/>
        <v>01</v>
      </c>
      <c r="B23" s="330" t="s">
        <v>1646</v>
      </c>
      <c r="C23" s="339"/>
      <c r="D23" s="313" t="s">
        <v>1856</v>
      </c>
      <c r="E23" s="335"/>
      <c r="F23" s="335"/>
      <c r="G23" s="335"/>
      <c r="H23" s="335"/>
      <c r="I23" s="1145">
        <f ca="1">SUMIF('710'!$B$21:$B$77,D23,'710'!$K$21:$K$77)</f>
        <v>0</v>
      </c>
      <c r="J23" s="335"/>
      <c r="K23" s="615"/>
      <c r="L23" s="335"/>
      <c r="M23" s="615"/>
      <c r="N23" s="335"/>
      <c r="O23" s="615"/>
      <c r="P23" s="335"/>
      <c r="Q23" s="615"/>
      <c r="R23" s="609"/>
      <c r="S23" s="616" t="str">
        <f t="shared" ca="1" si="1"/>
        <v/>
      </c>
    </row>
    <row r="24" spans="1:19" ht="11.25" customHeight="1" x14ac:dyDescent="0.2">
      <c r="A24" s="330" t="str">
        <f t="shared" si="0"/>
        <v>01</v>
      </c>
      <c r="B24" s="330" t="s">
        <v>1647</v>
      </c>
      <c r="C24" s="339"/>
      <c r="D24" s="335" t="s">
        <v>1857</v>
      </c>
      <c r="E24" s="335"/>
      <c r="F24" s="335"/>
      <c r="G24" s="335"/>
      <c r="H24" s="335"/>
      <c r="I24" s="1145">
        <f ca="1">SUMIF('710'!$B$21:$B$77,D24,'710'!$K$21:$K$77)</f>
        <v>0</v>
      </c>
      <c r="J24" s="335"/>
      <c r="K24" s="615"/>
      <c r="L24" s="335"/>
      <c r="M24" s="615"/>
      <c r="N24" s="335"/>
      <c r="O24" s="615"/>
      <c r="P24" s="335"/>
      <c r="Q24" s="615"/>
      <c r="R24" s="609"/>
      <c r="S24" s="616" t="str">
        <f t="shared" ca="1" si="1"/>
        <v/>
      </c>
    </row>
    <row r="25" spans="1:19" ht="11.25" customHeight="1" x14ac:dyDescent="0.2">
      <c r="A25" s="330" t="str">
        <f t="shared" si="0"/>
        <v>01</v>
      </c>
      <c r="B25" s="330" t="s">
        <v>1648</v>
      </c>
      <c r="C25" s="339"/>
      <c r="D25" s="335" t="s">
        <v>655</v>
      </c>
      <c r="E25" s="335"/>
      <c r="G25" s="335"/>
      <c r="H25" s="335"/>
      <c r="I25" s="1145">
        <f ca="1">SUMIF('710'!$B$21:$B$77,D25,'710'!$K$21:$K$77)</f>
        <v>0</v>
      </c>
      <c r="J25" s="335"/>
      <c r="K25" s="615"/>
      <c r="L25" s="335"/>
      <c r="M25" s="615"/>
      <c r="N25" s="335"/>
      <c r="O25" s="615"/>
      <c r="P25" s="335"/>
      <c r="Q25" s="615"/>
      <c r="R25" s="609"/>
      <c r="S25" s="616" t="str">
        <f t="shared" ca="1" si="1"/>
        <v/>
      </c>
    </row>
    <row r="26" spans="1:19" ht="11.25" customHeight="1" x14ac:dyDescent="0.2">
      <c r="A26" s="330" t="str">
        <f t="shared" si="0"/>
        <v>01</v>
      </c>
      <c r="B26" s="330" t="s">
        <v>1649</v>
      </c>
      <c r="C26" s="339"/>
      <c r="D26" s="149" t="s">
        <v>1871</v>
      </c>
      <c r="E26" s="335"/>
      <c r="F26" s="335"/>
      <c r="G26" s="335"/>
      <c r="H26" s="335"/>
      <c r="I26" s="1145">
        <f ca="1">SUMIF('710'!$B$21:$B$77,D26,'710'!$K$21:$K$77)</f>
        <v>0</v>
      </c>
      <c r="J26" s="335"/>
      <c r="K26" s="615"/>
      <c r="L26" s="335"/>
      <c r="M26" s="615"/>
      <c r="N26" s="335"/>
      <c r="O26" s="615"/>
      <c r="P26" s="335"/>
      <c r="Q26" s="615"/>
      <c r="R26" s="609"/>
      <c r="S26" s="616" t="str">
        <f t="shared" ca="1" si="1"/>
        <v/>
      </c>
    </row>
    <row r="27" spans="1:19" ht="11.25" customHeight="1" x14ac:dyDescent="0.2">
      <c r="A27" s="330" t="str">
        <f t="shared" si="0"/>
        <v>01</v>
      </c>
      <c r="B27" s="330" t="s">
        <v>1650</v>
      </c>
      <c r="C27" s="339"/>
      <c r="D27" s="335" t="s">
        <v>1866</v>
      </c>
      <c r="E27" s="335"/>
      <c r="F27" s="347" t="s">
        <v>350</v>
      </c>
      <c r="G27" s="335"/>
      <c r="H27" s="335"/>
      <c r="I27" s="1145">
        <f ca="1">SUMIF('710'!$B$21:$B$77,D27,'710'!$K$21:$K$77)</f>
        <v>0</v>
      </c>
      <c r="J27" s="335"/>
      <c r="K27" s="615"/>
      <c r="L27" s="335"/>
      <c r="M27" s="615"/>
      <c r="N27" s="335"/>
      <c r="O27" s="615"/>
      <c r="P27" s="335"/>
      <c r="Q27" s="615"/>
      <c r="R27" s="609"/>
      <c r="S27" s="616" t="str">
        <f t="shared" ca="1" si="1"/>
        <v/>
      </c>
    </row>
    <row r="28" spans="1:19" ht="11.25" customHeight="1" x14ac:dyDescent="0.2">
      <c r="A28" s="330" t="str">
        <f t="shared" si="0"/>
        <v>01</v>
      </c>
      <c r="B28" s="330" t="s">
        <v>1651</v>
      </c>
      <c r="C28" s="339"/>
      <c r="D28" s="335" t="s">
        <v>1877</v>
      </c>
      <c r="E28" s="335"/>
      <c r="F28" s="335"/>
      <c r="G28" s="335"/>
      <c r="H28" s="335"/>
      <c r="I28" s="1145">
        <f ca="1">SUMIF('710'!$B$21:$B$77,D28,'710'!$K$21:$K$77)</f>
        <v>0</v>
      </c>
      <c r="J28" s="335"/>
      <c r="K28" s="615"/>
      <c r="L28" s="335"/>
      <c r="M28" s="1638"/>
      <c r="N28" s="335"/>
      <c r="O28" s="1638"/>
      <c r="P28" s="335"/>
      <c r="Q28" s="1638"/>
      <c r="R28" s="609"/>
      <c r="S28" s="616" t="str">
        <f t="shared" ca="1" si="1"/>
        <v/>
      </c>
    </row>
    <row r="29" spans="1:19" ht="11.25" customHeight="1" x14ac:dyDescent="0.2">
      <c r="A29" s="330" t="str">
        <f t="shared" si="0"/>
        <v>01</v>
      </c>
      <c r="B29" s="330" t="s">
        <v>1652</v>
      </c>
      <c r="C29" s="339"/>
      <c r="D29" s="335" t="s">
        <v>1870</v>
      </c>
      <c r="E29" s="335"/>
      <c r="F29" s="335"/>
      <c r="G29" s="335"/>
      <c r="H29" s="335"/>
      <c r="I29" s="1145">
        <f ca="1">SUMIF('710'!$B$21:$B$77,D29,'710'!$K$21:$K$77)</f>
        <v>0</v>
      </c>
      <c r="J29" s="335"/>
      <c r="K29" s="615"/>
      <c r="L29" s="335"/>
      <c r="M29" s="615"/>
      <c r="N29" s="335"/>
      <c r="O29" s="615"/>
      <c r="P29" s="335"/>
      <c r="Q29" s="615"/>
      <c r="R29" s="609"/>
      <c r="S29" s="616" t="str">
        <f t="shared" ca="1" si="1"/>
        <v/>
      </c>
    </row>
    <row r="30" spans="1:19" ht="11.25" customHeight="1" x14ac:dyDescent="0.2">
      <c r="A30" s="330" t="str">
        <f t="shared" si="0"/>
        <v>01</v>
      </c>
      <c r="B30" s="330" t="s">
        <v>1653</v>
      </c>
      <c r="C30" s="339"/>
      <c r="D30" s="335" t="s">
        <v>1858</v>
      </c>
      <c r="E30" s="335"/>
      <c r="F30" s="335"/>
      <c r="G30" s="335"/>
      <c r="H30" s="335"/>
      <c r="I30" s="1145">
        <f ca="1">SUMIF('710'!$B$21:$B$77,D30,'710'!$K$21:$K$77)</f>
        <v>0</v>
      </c>
      <c r="J30" s="335"/>
      <c r="K30" s="615"/>
      <c r="L30" s="335"/>
      <c r="M30" s="615"/>
      <c r="N30" s="335"/>
      <c r="O30" s="615"/>
      <c r="P30" s="335"/>
      <c r="Q30" s="615"/>
      <c r="R30" s="609"/>
      <c r="S30" s="616" t="str">
        <f t="shared" ca="1" si="1"/>
        <v/>
      </c>
    </row>
    <row r="31" spans="1:19" ht="11.25" customHeight="1" x14ac:dyDescent="0.2">
      <c r="A31" s="330" t="str">
        <f t="shared" si="0"/>
        <v>01</v>
      </c>
      <c r="B31" s="330" t="s">
        <v>1654</v>
      </c>
      <c r="C31" s="339"/>
      <c r="D31" s="335" t="s">
        <v>1859</v>
      </c>
      <c r="E31" s="335"/>
      <c r="F31" s="335"/>
      <c r="G31" s="335"/>
      <c r="H31" s="335"/>
      <c r="I31" s="1145">
        <f ca="1">SUMIF('710'!$B$21:$B$77,D31,'710'!$K$21:$K$77)</f>
        <v>0</v>
      </c>
      <c r="J31" s="335"/>
      <c r="K31" s="615"/>
      <c r="L31" s="335"/>
      <c r="M31" s="615"/>
      <c r="N31" s="335"/>
      <c r="O31" s="615"/>
      <c r="P31" s="335"/>
      <c r="Q31" s="615"/>
      <c r="R31" s="609"/>
      <c r="S31" s="616" t="str">
        <f t="shared" ca="1" si="1"/>
        <v/>
      </c>
    </row>
    <row r="32" spans="1:19" ht="11.25" customHeight="1" x14ac:dyDescent="0.2">
      <c r="A32" s="330" t="str">
        <f t="shared" ref="A32:A58" si="2">AgyIdx</f>
        <v>01</v>
      </c>
      <c r="B32" s="330" t="s">
        <v>1655</v>
      </c>
      <c r="C32" s="339"/>
      <c r="D32" s="335" t="s">
        <v>1860</v>
      </c>
      <c r="E32" s="335"/>
      <c r="F32" s="335"/>
      <c r="G32" s="335"/>
      <c r="H32" s="335"/>
      <c r="I32" s="1145">
        <f ca="1">SUMIF('710'!$B$21:$B$77,D32,'710'!$K$21:$K$77)</f>
        <v>0</v>
      </c>
      <c r="J32" s="335"/>
      <c r="K32" s="615"/>
      <c r="L32" s="335"/>
      <c r="M32" s="615"/>
      <c r="N32" s="335"/>
      <c r="O32" s="615"/>
      <c r="P32" s="335"/>
      <c r="Q32" s="615"/>
      <c r="R32" s="609"/>
      <c r="S32" s="616" t="str">
        <f t="shared" ca="1" si="1"/>
        <v/>
      </c>
    </row>
    <row r="33" spans="1:19" ht="11.25" customHeight="1" x14ac:dyDescent="0.2">
      <c r="A33" s="330" t="str">
        <f t="shared" si="2"/>
        <v>01</v>
      </c>
      <c r="B33" s="330" t="s">
        <v>1656</v>
      </c>
      <c r="C33" s="339"/>
      <c r="D33" s="299" t="s">
        <v>1674</v>
      </c>
      <c r="E33" s="2925" t="s">
        <v>5090</v>
      </c>
      <c r="F33" s="2925"/>
      <c r="G33" s="2925"/>
      <c r="H33" s="335"/>
      <c r="I33" s="1145">
        <f ca="1">SUMIF('710'!$B$21:$B$77,D33,'710'!$K$21:$K$77)</f>
        <v>0</v>
      </c>
      <c r="J33" s="335"/>
      <c r="K33" s="615"/>
      <c r="L33" s="335"/>
      <c r="M33" s="615"/>
      <c r="N33" s="335"/>
      <c r="O33" s="615"/>
      <c r="P33" s="335"/>
      <c r="Q33" s="615"/>
      <c r="R33" s="609"/>
      <c r="S33" s="616" t="str">
        <f ca="1">IF(I33-SUM(K33:Q33)=0,"",I33-SUM(K33:Q33))</f>
        <v/>
      </c>
    </row>
    <row r="34" spans="1:19" ht="11.25" customHeight="1" thickBot="1" x14ac:dyDescent="0.25">
      <c r="A34" s="330" t="str">
        <f t="shared" si="2"/>
        <v>01</v>
      </c>
      <c r="B34" s="330" t="s">
        <v>1883</v>
      </c>
      <c r="C34" s="339"/>
      <c r="D34" s="299" t="s">
        <v>1675</v>
      </c>
      <c r="E34" s="2925" t="s">
        <v>5090</v>
      </c>
      <c r="F34" s="2925"/>
      <c r="G34" s="2925"/>
      <c r="H34" s="335"/>
      <c r="I34" s="1145">
        <f ca="1">SUMIF('710'!$B$21:$B$77,D34,'710'!$K$21:$K$77)</f>
        <v>0</v>
      </c>
      <c r="J34" s="335"/>
      <c r="K34" s="1276"/>
      <c r="L34" s="335"/>
      <c r="M34" s="1276"/>
      <c r="N34" s="335"/>
      <c r="O34" s="1276"/>
      <c r="P34" s="335"/>
      <c r="Q34" s="615"/>
      <c r="R34" s="609"/>
      <c r="S34" s="616" t="str">
        <f ca="1">IF(I34-SUM(K34:Q34)=0,"",I34-SUM(K34:Q34))</f>
        <v/>
      </c>
    </row>
    <row r="35" spans="1:19" ht="13.35" customHeight="1" thickBot="1" x14ac:dyDescent="0.3">
      <c r="A35" s="330" t="str">
        <f t="shared" si="2"/>
        <v>01</v>
      </c>
      <c r="B35" s="330" t="s">
        <v>1884</v>
      </c>
      <c r="C35" s="340" t="s">
        <v>76</v>
      </c>
      <c r="D35" s="335"/>
      <c r="E35" s="335"/>
      <c r="F35" s="335"/>
      <c r="G35" s="335"/>
      <c r="H35" s="335"/>
      <c r="I35" s="341">
        <f ca="1">SUM(I16:I34)</f>
        <v>0</v>
      </c>
      <c r="J35" s="335"/>
      <c r="K35" s="341">
        <f>SUM(K16:K34)</f>
        <v>0</v>
      </c>
      <c r="L35" s="335"/>
      <c r="M35" s="341">
        <f>SUM(M16:M34)</f>
        <v>0</v>
      </c>
      <c r="N35" s="335"/>
      <c r="O35" s="341">
        <f>SUM(O16:O34)</f>
        <v>0</v>
      </c>
      <c r="P35" s="335"/>
      <c r="Q35" s="341">
        <f>SUM(Q16:Q34)</f>
        <v>0</v>
      </c>
      <c r="R35" s="335"/>
      <c r="S35" s="616" t="str">
        <f t="shared" ca="1" si="1"/>
        <v/>
      </c>
    </row>
    <row r="36" spans="1:19" ht="12" customHeight="1" x14ac:dyDescent="0.25">
      <c r="A36" s="330" t="str">
        <f t="shared" si="2"/>
        <v>01</v>
      </c>
      <c r="C36" s="340" t="s">
        <v>77</v>
      </c>
      <c r="D36" s="335"/>
      <c r="E36" s="335"/>
      <c r="F36" s="335"/>
      <c r="G36" s="335"/>
      <c r="H36" s="335"/>
      <c r="I36" s="335"/>
      <c r="J36" s="335"/>
      <c r="K36" s="335"/>
      <c r="L36" s="335"/>
      <c r="M36" s="335"/>
      <c r="N36" s="335"/>
      <c r="O36" s="335"/>
      <c r="P36" s="335"/>
      <c r="Q36" s="335"/>
      <c r="R36" s="335"/>
    </row>
    <row r="37" spans="1:19" ht="11.25" customHeight="1" x14ac:dyDescent="0.2">
      <c r="A37" s="330" t="str">
        <f t="shared" si="2"/>
        <v>01</v>
      </c>
      <c r="B37" s="330" t="s">
        <v>1657</v>
      </c>
      <c r="C37" s="339"/>
      <c r="D37" s="149" t="s">
        <v>1865</v>
      </c>
      <c r="E37" s="335"/>
      <c r="F37" s="335"/>
      <c r="G37" s="335"/>
      <c r="H37" s="335"/>
      <c r="I37" s="1145">
        <f ca="1">SUMIF('710'!$B$21:$B$77,D37,'710'!$K$21:$K$77)</f>
        <v>0</v>
      </c>
      <c r="J37" s="335"/>
      <c r="K37" s="2922" t="s">
        <v>350</v>
      </c>
      <c r="L37" s="2923"/>
      <c r="M37" s="335" t="s">
        <v>78</v>
      </c>
      <c r="N37" s="335"/>
      <c r="O37" s="335"/>
      <c r="P37" s="335"/>
      <c r="Q37" s="335"/>
      <c r="R37" s="335"/>
    </row>
    <row r="38" spans="1:19" ht="11.25" customHeight="1" x14ac:dyDescent="0.2">
      <c r="A38" s="330" t="str">
        <f t="shared" si="2"/>
        <v>01</v>
      </c>
      <c r="B38" s="330" t="s">
        <v>1658</v>
      </c>
      <c r="C38" s="339"/>
      <c r="D38" s="335" t="s">
        <v>924</v>
      </c>
      <c r="E38" s="335"/>
      <c r="F38" s="335"/>
      <c r="G38" s="335"/>
      <c r="H38" s="335"/>
      <c r="I38" s="1145">
        <f ca="1">SUMIF('710'!$B$21:$B$77,D38,'710'!$K$21:$K$77)</f>
        <v>0</v>
      </c>
      <c r="J38" s="335"/>
      <c r="K38" s="335"/>
      <c r="L38" s="335"/>
      <c r="M38" s="335" t="s">
        <v>1211</v>
      </c>
      <c r="N38" s="335"/>
      <c r="O38" s="335"/>
      <c r="P38" s="335"/>
      <c r="Q38" s="335"/>
      <c r="R38" s="335"/>
    </row>
    <row r="39" spans="1:19" ht="11.25" customHeight="1" x14ac:dyDescent="0.2">
      <c r="A39" s="330" t="str">
        <f t="shared" si="2"/>
        <v>01</v>
      </c>
      <c r="B39" s="330" t="s">
        <v>1659</v>
      </c>
      <c r="C39" s="339"/>
      <c r="D39" s="335" t="s">
        <v>1867</v>
      </c>
      <c r="E39" s="335"/>
      <c r="F39" s="335"/>
      <c r="G39" s="335"/>
      <c r="H39" s="335"/>
      <c r="I39" s="1145">
        <f ca="1">SUMIF('710'!$B$21:$B$77,D39,'710'!$K$21:$K$77)</f>
        <v>0</v>
      </c>
      <c r="J39" s="335"/>
      <c r="K39" s="335"/>
      <c r="L39" s="335"/>
      <c r="M39" s="335" t="s">
        <v>1151</v>
      </c>
      <c r="N39" s="335"/>
      <c r="O39" s="335"/>
      <c r="P39" s="335"/>
      <c r="Q39" s="335"/>
      <c r="R39" s="335"/>
    </row>
    <row r="40" spans="1:19" ht="11.25" customHeight="1" x14ac:dyDescent="0.2">
      <c r="A40" s="330" t="str">
        <f t="shared" si="2"/>
        <v>01</v>
      </c>
      <c r="B40" s="330" t="s">
        <v>1660</v>
      </c>
      <c r="C40" s="339"/>
      <c r="D40" s="335" t="s">
        <v>1868</v>
      </c>
      <c r="E40" s="335"/>
      <c r="F40" s="335"/>
      <c r="G40" s="335"/>
      <c r="H40" s="335"/>
      <c r="I40" s="1145">
        <f ca="1">SUMIF('710'!$B$21:$B$77,D40,'710'!$K$21:$K$77)</f>
        <v>0</v>
      </c>
      <c r="J40" s="335"/>
      <c r="K40" s="335"/>
      <c r="L40" s="335"/>
      <c r="M40" s="335" t="s">
        <v>1152</v>
      </c>
      <c r="N40" s="335"/>
      <c r="O40" s="335"/>
      <c r="P40" s="335"/>
      <c r="Q40" s="335"/>
      <c r="R40" s="335"/>
    </row>
    <row r="41" spans="1:19" ht="11.25" customHeight="1" x14ac:dyDescent="0.2">
      <c r="A41" s="330" t="str">
        <f t="shared" si="2"/>
        <v>01</v>
      </c>
      <c r="B41" s="330" t="s">
        <v>1661</v>
      </c>
      <c r="C41" s="339"/>
      <c r="D41" s="335" t="s">
        <v>1869</v>
      </c>
      <c r="E41" s="335"/>
      <c r="F41" s="335"/>
      <c r="G41" s="335"/>
      <c r="H41" s="335"/>
      <c r="I41" s="1145">
        <f ca="1">SUMIF('710'!$B$21:$B$77,D41,'710'!$K$21:$K$77)</f>
        <v>0</v>
      </c>
      <c r="J41" s="335"/>
      <c r="K41" s="335"/>
      <c r="L41" s="335"/>
      <c r="M41" s="335" t="s">
        <v>4731</v>
      </c>
      <c r="N41" s="335"/>
      <c r="O41" s="335"/>
      <c r="P41" s="335"/>
      <c r="Q41" s="335"/>
      <c r="R41" s="335"/>
    </row>
    <row r="42" spans="1:19" ht="11.25" customHeight="1" x14ac:dyDescent="0.2">
      <c r="A42" s="330" t="str">
        <f t="shared" si="2"/>
        <v>01</v>
      </c>
      <c r="B42" s="330" t="s">
        <v>1662</v>
      </c>
      <c r="C42" s="339"/>
      <c r="D42" s="335" t="s">
        <v>1872</v>
      </c>
      <c r="E42" s="335"/>
      <c r="F42" s="335"/>
      <c r="G42" s="335"/>
      <c r="H42" s="335"/>
      <c r="I42" s="1145">
        <f ca="1">SUMIF('710'!$B$21:$B$77,D42,'710'!$K$21:$K$77)</f>
        <v>0</v>
      </c>
      <c r="J42" s="335"/>
      <c r="K42" s="335"/>
      <c r="L42" s="342"/>
      <c r="M42" s="335"/>
      <c r="N42" s="335"/>
      <c r="O42" s="335"/>
      <c r="P42" s="335"/>
      <c r="Q42" s="335"/>
      <c r="R42" s="335"/>
    </row>
    <row r="43" spans="1:19" ht="11.25" customHeight="1" x14ac:dyDescent="0.2">
      <c r="A43" s="330" t="str">
        <f t="shared" si="2"/>
        <v>01</v>
      </c>
      <c r="B43" s="330" t="s">
        <v>1663</v>
      </c>
      <c r="C43" s="339"/>
      <c r="D43" s="335" t="s">
        <v>1873</v>
      </c>
      <c r="E43" s="335"/>
      <c r="F43" s="335"/>
      <c r="G43" s="335"/>
      <c r="H43" s="335"/>
      <c r="I43" s="1145">
        <f ca="1">SUMIF('710'!$B$21:$B$77,D43,'710'!$K$21:$K$77)</f>
        <v>0</v>
      </c>
      <c r="J43" s="335"/>
      <c r="K43" s="335"/>
      <c r="L43" s="335"/>
      <c r="N43" s="335"/>
      <c r="O43" s="335"/>
      <c r="P43" s="335"/>
      <c r="Q43" s="335"/>
      <c r="R43" s="335"/>
    </row>
    <row r="44" spans="1:19" ht="11.25" customHeight="1" x14ac:dyDescent="0.2">
      <c r="A44" s="330" t="str">
        <f t="shared" si="2"/>
        <v>01</v>
      </c>
      <c r="B44" s="330" t="s">
        <v>1664</v>
      </c>
      <c r="C44" s="339"/>
      <c r="D44" s="335" t="s">
        <v>1874</v>
      </c>
      <c r="E44" s="335"/>
      <c r="F44" s="335"/>
      <c r="G44" s="335"/>
      <c r="H44" s="335"/>
      <c r="I44" s="1145">
        <f ca="1">SUMIF('710'!$B$21:$B$77,D44,'710'!$K$21:$K$77)</f>
        <v>0</v>
      </c>
      <c r="J44" s="335"/>
      <c r="K44" s="335"/>
      <c r="L44" s="335"/>
      <c r="M44" s="335"/>
      <c r="N44" s="335"/>
      <c r="O44" s="335"/>
      <c r="P44" s="335"/>
      <c r="Q44" s="335"/>
      <c r="R44" s="335"/>
    </row>
    <row r="45" spans="1:19" ht="11.25" customHeight="1" x14ac:dyDescent="0.2">
      <c r="A45" s="330" t="str">
        <f t="shared" si="2"/>
        <v>01</v>
      </c>
      <c r="B45" s="330" t="s">
        <v>1665</v>
      </c>
      <c r="C45" s="339"/>
      <c r="D45" s="335" t="s">
        <v>1875</v>
      </c>
      <c r="E45" s="335"/>
      <c r="F45" s="335"/>
      <c r="G45" s="335"/>
      <c r="H45" s="335"/>
      <c r="I45" s="1145">
        <f ca="1">SUMIF('710'!$B$21:$B$77,D45,'710'!$K$21:$K$77)</f>
        <v>0</v>
      </c>
      <c r="J45" s="335"/>
      <c r="K45" s="335"/>
      <c r="L45" s="335"/>
      <c r="M45" s="335"/>
      <c r="N45" s="335"/>
      <c r="O45" s="335"/>
      <c r="P45" s="335"/>
      <c r="Q45" s="335"/>
      <c r="R45" s="335"/>
    </row>
    <row r="46" spans="1:19" ht="11.25" customHeight="1" x14ac:dyDescent="0.2">
      <c r="A46" s="330" t="str">
        <f t="shared" si="2"/>
        <v>01</v>
      </c>
      <c r="B46" s="330" t="s">
        <v>1666</v>
      </c>
      <c r="C46" s="339"/>
      <c r="D46" s="335" t="s">
        <v>1876</v>
      </c>
      <c r="E46" s="335"/>
      <c r="F46" s="335"/>
      <c r="G46" s="335"/>
      <c r="H46" s="335"/>
      <c r="I46" s="1145">
        <f ca="1">SUMIF('710'!$B$21:$B$77,D46,'710'!$K$21:$K$77)</f>
        <v>0</v>
      </c>
      <c r="J46" s="335"/>
      <c r="K46" s="335"/>
      <c r="L46" s="335"/>
      <c r="M46" s="335"/>
      <c r="N46" s="335"/>
      <c r="O46" s="335"/>
      <c r="P46" s="335"/>
      <c r="Q46" s="335"/>
      <c r="R46" s="335"/>
    </row>
    <row r="47" spans="1:19" ht="11.25" customHeight="1" x14ac:dyDescent="0.2">
      <c r="A47" s="330" t="str">
        <f t="shared" si="2"/>
        <v>01</v>
      </c>
      <c r="B47" s="330" t="s">
        <v>3917</v>
      </c>
      <c r="C47" s="339"/>
      <c r="D47" s="335" t="s">
        <v>3915</v>
      </c>
      <c r="E47" s="335"/>
      <c r="F47" s="335"/>
      <c r="G47" s="335"/>
      <c r="H47" s="335"/>
      <c r="I47" s="1145">
        <f ca="1">SUMIF('710'!$B$21:$B$77,D47,'710'!$K$21:$K$77)</f>
        <v>0</v>
      </c>
      <c r="J47" s="335"/>
      <c r="K47" s="335"/>
      <c r="L47" s="335"/>
      <c r="M47" s="335"/>
      <c r="N47" s="335"/>
      <c r="O47" s="335"/>
      <c r="P47" s="335"/>
      <c r="Q47" s="335"/>
      <c r="R47" s="335"/>
    </row>
    <row r="48" spans="1:19" ht="11.25" customHeight="1" x14ac:dyDescent="0.2">
      <c r="A48" s="330" t="str">
        <f t="shared" si="2"/>
        <v>01</v>
      </c>
      <c r="B48" s="330" t="s">
        <v>1667</v>
      </c>
      <c r="C48" s="339"/>
      <c r="D48" s="149" t="s">
        <v>1297</v>
      </c>
      <c r="E48" s="335"/>
      <c r="F48" s="335"/>
      <c r="G48" s="335"/>
      <c r="H48" s="335"/>
      <c r="I48" s="1145">
        <f ca="1">SUMIF('710'!$B$21:$B$77,D48,'710'!$K$21:$K$77)</f>
        <v>0</v>
      </c>
      <c r="J48" s="335"/>
      <c r="K48" s="335"/>
      <c r="L48" s="335"/>
      <c r="M48" s="335"/>
      <c r="N48" s="335"/>
      <c r="O48" s="335"/>
      <c r="P48" s="335"/>
      <c r="Q48" s="335"/>
      <c r="R48" s="335"/>
    </row>
    <row r="49" spans="1:18" ht="11.25" customHeight="1" x14ac:dyDescent="0.2">
      <c r="A49" s="330" t="str">
        <f t="shared" si="2"/>
        <v>01</v>
      </c>
      <c r="B49" s="330" t="s">
        <v>1693</v>
      </c>
      <c r="C49" s="1169"/>
      <c r="D49" s="335" t="s">
        <v>1878</v>
      </c>
      <c r="E49" s="1170"/>
      <c r="F49" s="1170"/>
      <c r="G49" s="335"/>
      <c r="H49" s="335"/>
      <c r="I49" s="1145">
        <f ca="1">SUMIF('710'!$B$21:$B$77,D49,'710'!$K$21:$K$77)</f>
        <v>0</v>
      </c>
      <c r="J49" s="335"/>
      <c r="K49" s="335"/>
      <c r="L49" s="335"/>
      <c r="M49" s="335"/>
      <c r="N49" s="335"/>
      <c r="O49" s="335"/>
      <c r="P49" s="335"/>
      <c r="Q49" s="335"/>
      <c r="R49" s="335"/>
    </row>
    <row r="50" spans="1:18" ht="11.25" customHeight="1" x14ac:dyDescent="0.2">
      <c r="A50" s="330" t="str">
        <f t="shared" si="2"/>
        <v>01</v>
      </c>
      <c r="B50" s="330" t="s">
        <v>1668</v>
      </c>
      <c r="C50" s="339"/>
      <c r="D50" s="149" t="s">
        <v>1861</v>
      </c>
      <c r="E50" s="335"/>
      <c r="F50" s="335"/>
      <c r="G50" s="335"/>
      <c r="H50" s="335"/>
      <c r="I50" s="1145">
        <f ca="1">SUMIF('710'!$B$21:$B$77,D50,'710'!$K$21:$K$77)</f>
        <v>0</v>
      </c>
      <c r="J50" s="335"/>
      <c r="K50" s="335"/>
      <c r="L50" s="335"/>
      <c r="M50" s="335"/>
      <c r="N50" s="335"/>
      <c r="O50" s="335"/>
      <c r="P50" s="335"/>
      <c r="Q50" s="335"/>
      <c r="R50" s="335"/>
    </row>
    <row r="51" spans="1:18" ht="11.25" customHeight="1" x14ac:dyDescent="0.2">
      <c r="A51" s="330" t="str">
        <f t="shared" si="2"/>
        <v>01</v>
      </c>
      <c r="B51" s="330" t="s">
        <v>1669</v>
      </c>
      <c r="C51" s="339"/>
      <c r="D51" s="335" t="s">
        <v>1862</v>
      </c>
      <c r="E51" s="335"/>
      <c r="F51" s="335"/>
      <c r="G51" s="335"/>
      <c r="H51" s="335"/>
      <c r="I51" s="1145">
        <f ca="1">SUMIF('710'!$B$21:$B$77,D51,'710'!$K$21:$K$77)</f>
        <v>0</v>
      </c>
      <c r="J51" s="335"/>
      <c r="K51" s="335"/>
      <c r="L51" s="335"/>
      <c r="M51" s="335"/>
      <c r="N51" s="335"/>
      <c r="O51" s="335"/>
      <c r="P51" s="335"/>
      <c r="Q51" s="335"/>
      <c r="R51" s="335"/>
    </row>
    <row r="52" spans="1:18" ht="11.25" customHeight="1" x14ac:dyDescent="0.2">
      <c r="A52" s="330" t="str">
        <f t="shared" si="2"/>
        <v>01</v>
      </c>
      <c r="B52" s="330" t="s">
        <v>1670</v>
      </c>
      <c r="C52" s="339"/>
      <c r="D52" s="149" t="s">
        <v>1676</v>
      </c>
      <c r="E52" s="2925" t="s">
        <v>5090</v>
      </c>
      <c r="F52" s="2925"/>
      <c r="G52" s="2925"/>
      <c r="H52" s="335"/>
      <c r="I52" s="1145">
        <f ca="1">SUMIF('710'!$B$21:$B$77,D52,'710'!$K$21:$K$77)</f>
        <v>0</v>
      </c>
      <c r="J52" s="335"/>
      <c r="K52" s="335"/>
      <c r="L52" s="335"/>
      <c r="M52" s="335"/>
      <c r="N52" s="335"/>
      <c r="O52" s="335"/>
      <c r="P52" s="335"/>
      <c r="Q52" s="335"/>
      <c r="R52" s="335"/>
    </row>
    <row r="53" spans="1:18" ht="11.25" customHeight="1" x14ac:dyDescent="0.2">
      <c r="A53" s="330" t="str">
        <f t="shared" si="2"/>
        <v>01</v>
      </c>
      <c r="B53" s="330" t="s">
        <v>1671</v>
      </c>
      <c r="C53" s="339"/>
      <c r="D53" s="149" t="s">
        <v>1677</v>
      </c>
      <c r="E53" s="2925" t="s">
        <v>5090</v>
      </c>
      <c r="F53" s="2925"/>
      <c r="G53" s="2925"/>
      <c r="H53" s="335"/>
      <c r="I53" s="1145">
        <f ca="1">SUMIF('710'!$B$21:$B$77,D53,'710'!$K$21:$K$77)</f>
        <v>0</v>
      </c>
      <c r="J53" s="335"/>
      <c r="K53" s="335"/>
      <c r="L53" s="335"/>
      <c r="M53" s="335"/>
      <c r="N53" s="335"/>
      <c r="O53" s="335"/>
      <c r="P53" s="335"/>
      <c r="Q53" s="335"/>
      <c r="R53" s="335"/>
    </row>
    <row r="54" spans="1:18" ht="11.25" customHeight="1" x14ac:dyDescent="0.2">
      <c r="A54" s="330" t="str">
        <f t="shared" si="2"/>
        <v>01</v>
      </c>
      <c r="B54" s="330" t="s">
        <v>1672</v>
      </c>
      <c r="C54" s="339"/>
      <c r="D54" s="149" t="s">
        <v>1960</v>
      </c>
      <c r="E54" s="2925" t="s">
        <v>5090</v>
      </c>
      <c r="F54" s="2925"/>
      <c r="G54" s="2925"/>
      <c r="H54" s="335"/>
      <c r="I54" s="1145">
        <f ca="1">SUMIF('710'!$B$21:$B$77,D54,'710'!$K$21:$K$77)</f>
        <v>0</v>
      </c>
      <c r="J54" s="335"/>
      <c r="K54" s="335"/>
      <c r="L54" s="335"/>
      <c r="M54" s="335"/>
      <c r="N54" s="335"/>
      <c r="O54" s="335"/>
      <c r="P54" s="335"/>
      <c r="Q54" s="335"/>
      <c r="R54" s="335"/>
    </row>
    <row r="55" spans="1:18" ht="11.25" customHeight="1" x14ac:dyDescent="0.2">
      <c r="A55" s="330" t="str">
        <f t="shared" si="2"/>
        <v>01</v>
      </c>
      <c r="B55" s="330" t="s">
        <v>1678</v>
      </c>
      <c r="C55" s="339"/>
      <c r="D55" s="149" t="s">
        <v>1961</v>
      </c>
      <c r="E55" s="2925" t="s">
        <v>5090</v>
      </c>
      <c r="F55" s="2925"/>
      <c r="G55" s="2925"/>
      <c r="H55" s="335"/>
      <c r="I55" s="1145">
        <f ca="1">SUMIF('710'!$B$21:$B$77,D55,'710'!$K$21:$K$77)</f>
        <v>0</v>
      </c>
      <c r="J55" s="335"/>
      <c r="K55" s="335"/>
      <c r="L55" s="335"/>
      <c r="M55" s="335"/>
      <c r="N55" s="335"/>
      <c r="O55" s="335"/>
      <c r="P55" s="335"/>
      <c r="Q55" s="335"/>
      <c r="R55" s="335"/>
    </row>
    <row r="56" spans="1:18" ht="16.350000000000001" customHeight="1" thickBot="1" x14ac:dyDescent="0.3">
      <c r="A56" s="330" t="str">
        <f t="shared" si="2"/>
        <v>01</v>
      </c>
      <c r="B56" s="330" t="s">
        <v>1679</v>
      </c>
      <c r="C56" s="343" t="s">
        <v>155</v>
      </c>
      <c r="D56" s="335"/>
      <c r="E56" s="335"/>
      <c r="F56" s="335"/>
      <c r="G56" s="335"/>
      <c r="H56" s="335"/>
      <c r="I56" s="1146">
        <f ca="1">I35+SUM(I37:I55)</f>
        <v>0</v>
      </c>
      <c r="J56" s="335"/>
      <c r="K56" s="1437" t="s">
        <v>3715</v>
      </c>
      <c r="L56" s="335"/>
      <c r="M56" s="335"/>
      <c r="N56" s="335"/>
      <c r="O56" s="335"/>
      <c r="P56" s="335"/>
      <c r="Q56" s="335"/>
      <c r="R56" s="335"/>
    </row>
    <row r="57" spans="1:18" ht="6" customHeight="1" thickTop="1" x14ac:dyDescent="0.2">
      <c r="A57" s="330" t="str">
        <f t="shared" si="2"/>
        <v>01</v>
      </c>
      <c r="C57" s="335"/>
      <c r="D57" s="335"/>
      <c r="E57" s="335"/>
      <c r="F57" s="335"/>
      <c r="G57" s="335"/>
    </row>
    <row r="58" spans="1:18" ht="12" customHeight="1" x14ac:dyDescent="0.2">
      <c r="A58" s="330" t="str">
        <f t="shared" si="2"/>
        <v>01</v>
      </c>
      <c r="C58" s="344"/>
      <c r="D58" s="335"/>
      <c r="E58" s="335"/>
      <c r="F58" s="335"/>
      <c r="G58" s="335"/>
      <c r="I58" s="387">
        <f ca="1">I56-'710'!K70</f>
        <v>0</v>
      </c>
      <c r="K58" s="330" t="str">
        <f ca="1">IF(I58=0,"","Error")</f>
        <v/>
      </c>
    </row>
  </sheetData>
  <sheetProtection algorithmName="SHA-512" hashValue="5XmKZNZwe0kZubdH9k2T6xEKuVQeoaLBRWnZYhIuCIeRYUHp5W8i4fWnEcB2lrHzLpZoIb+8x+tjmAsyeBNSXg==" saltValue="dfwgZgWZEjgVVtkOK7oxyA==" spinCount="100000" sheet="1" objects="1" scenarios="1" autoFilter="0"/>
  <customSheetViews>
    <customSheetView guid="{B08879A4-635B-4C39-9937-AC7883D562FC}" showGridLines="0" fitToPage="1">
      <pane xSplit="7" ySplit="13" topLeftCell="H26" activePane="bottomRight" state="frozen"/>
      <selection pane="bottomRight" activeCell="D50" sqref="D50"/>
      <pageMargins left="0.5" right="0.5" top="0.5" bottom="0.5" header="0.5" footer="0.25"/>
      <pageSetup scale="80" orientation="landscape" r:id="rId1"/>
      <headerFooter alignWithMargins="0">
        <oddFooter>&amp;R&amp;A</oddFooter>
      </headerFooter>
    </customSheetView>
    <customSheetView guid="{1250FD07-FF56-4A9D-AF9E-C27124A7EBE9}" showGridLines="0" fitToPage="1" showRuler="0" topLeftCell="A13">
      <selection sqref="A1:O1"/>
      <pageMargins left="0.5" right="0.5" top="0.5" bottom="0.5" header="0.5" footer="0.25"/>
      <pageSetup orientation="landscape" r:id="rId2"/>
      <headerFooter alignWithMargins="0">
        <oddFooter>&amp;R&amp;A</oddFooter>
      </headerFooter>
    </customSheetView>
    <customSheetView guid="{BEA4BE86-04D1-4C96-9358-7A260B9D2B2D}" showGridLines="0" fitToPage="1" showRuler="0" topLeftCell="A13">
      <selection sqref="A1:O1"/>
      <pageMargins left="0.5" right="0.5" top="0.5" bottom="0.5" header="0.5" footer="0.25"/>
      <pageSetup orientation="landscape" r:id="rId3"/>
      <headerFooter alignWithMargins="0">
        <oddFooter>&amp;R&amp;A</oddFooter>
      </headerFooter>
    </customSheetView>
    <customSheetView guid="{9FCFC836-1CA5-48BF-958D-24D2EA94B219}" showGridLines="0" fitToPage="1">
      <pane xSplit="7" ySplit="13" topLeftCell="H26" activePane="bottomRight" state="frozen"/>
      <selection pane="bottomRight" activeCell="D50" sqref="D50"/>
      <pageMargins left="0.5" right="0.5" top="0.5" bottom="0.5" header="0.5" footer="0.25"/>
      <pageSetup scale="80" orientation="landscape" r:id="rId4"/>
      <headerFooter alignWithMargins="0">
        <oddFooter>&amp;R&amp;A</oddFooter>
      </headerFooter>
    </customSheetView>
  </customSheetViews>
  <mergeCells count="18">
    <mergeCell ref="E54:G54"/>
    <mergeCell ref="E55:G55"/>
    <mergeCell ref="M6:Q6"/>
    <mergeCell ref="M7:Q7"/>
    <mergeCell ref="M8:Q8"/>
    <mergeCell ref="M9:Q9"/>
    <mergeCell ref="E33:G33"/>
    <mergeCell ref="E34:G34"/>
    <mergeCell ref="E52:G52"/>
    <mergeCell ref="E53:G53"/>
    <mergeCell ref="C4:Q4"/>
    <mergeCell ref="F8:G8"/>
    <mergeCell ref="K37:L37"/>
    <mergeCell ref="C1:Q1"/>
    <mergeCell ref="C2:Q2"/>
    <mergeCell ref="C3:Q3"/>
    <mergeCell ref="C13:G13"/>
    <mergeCell ref="K12:Q12"/>
  </mergeCells>
  <phoneticPr fontId="15" type="noConversion"/>
  <conditionalFormatting sqref="R1:R3">
    <cfRule type="cellIs" dxfId="32" priority="1" stopIfTrue="1" operator="equal">
      <formula>"na"</formula>
    </cfRule>
  </conditionalFormatting>
  <hyperlinks>
    <hyperlink ref="C1:Q1" location="Index!A1" display="Office of the State Controller" xr:uid="{00000000-0004-0000-4000-000000000000}"/>
  </hyperlinks>
  <pageMargins left="0.5" right="0.5" top="0.5" bottom="0.5" header="0.5" footer="0.25"/>
  <pageSetup scale="80" orientation="landscape" r:id="rId5"/>
  <headerFooter alignWithMargins="0">
    <oddFooter>&amp;R&amp;A</oddFooter>
  </headerFooter>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EA022FCA-EB7B-4FF9-889B-3828D6279335}">
          <x14:formula1>
            <xm:f>Notes!$X$3:$X$6</xm:f>
          </x14:formula1>
          <xm:sqref>E33:E34</xm:sqref>
        </x14:dataValidation>
        <x14:dataValidation type="list" allowBlank="1" showInputMessage="1" showErrorMessage="1" xr:uid="{9C257846-E437-4316-9D1B-A7DD57D677BD}">
          <x14:formula1>
            <xm:f>Notes!$X$10:$X$20</xm:f>
          </x14:formula1>
          <xm:sqref>E52:G55</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8"/>
  <dimension ref="A1:Z59"/>
  <sheetViews>
    <sheetView showGridLines="0" topLeftCell="C1" zoomScaleNormal="100" workbookViewId="0">
      <selection activeCell="C4" sqref="C4:Q4"/>
    </sheetView>
  </sheetViews>
  <sheetFormatPr defaultColWidth="9.42578125" defaultRowHeight="11.25" x14ac:dyDescent="0.2"/>
  <cols>
    <col min="1" max="1" width="5.42578125" style="337" hidden="1" customWidth="1"/>
    <col min="2" max="2" width="12.5703125" style="337" hidden="1" customWidth="1"/>
    <col min="3" max="3" width="2" style="335" customWidth="1"/>
    <col min="4" max="4" width="6.5703125" style="335" customWidth="1"/>
    <col min="5" max="5" width="28.85546875" style="335" customWidth="1"/>
    <col min="6" max="6" width="14.42578125" style="335" customWidth="1"/>
    <col min="7" max="7" width="0.5703125" style="335" customWidth="1"/>
    <col min="8" max="8" width="14.42578125" style="335" customWidth="1"/>
    <col min="9" max="9" width="0.5703125" style="335" customWidth="1"/>
    <col min="10" max="10" width="14.42578125" style="335" customWidth="1"/>
    <col min="11" max="11" width="0.5703125" style="335" customWidth="1"/>
    <col min="12" max="12" width="14.42578125" style="335" customWidth="1"/>
    <col min="13" max="13" width="0.5703125" style="335" customWidth="1"/>
    <col min="14" max="14" width="13" style="335" customWidth="1"/>
    <col min="15" max="15" width="0.5703125" style="335" customWidth="1"/>
    <col min="16" max="16" width="12.42578125" style="335" customWidth="1"/>
    <col min="17" max="17" width="0.5703125" style="335" customWidth="1"/>
    <col min="18" max="18" width="12.5703125" style="335" customWidth="1"/>
    <col min="19" max="19" width="16.5703125" style="335" customWidth="1"/>
    <col min="20" max="20" width="4.5703125" style="335" customWidth="1"/>
    <col min="21" max="24" width="9.42578125" style="335"/>
    <col min="25" max="25" width="9.42578125" style="2126"/>
    <col min="26" max="16384" width="9.42578125" style="335"/>
  </cols>
  <sheetData>
    <row r="1" spans="1:26" ht="15.75" x14ac:dyDescent="0.25">
      <c r="A1" s="353" t="str">
        <f>AgyIdx</f>
        <v>01</v>
      </c>
      <c r="C1" s="2449" t="str">
        <f>+Index!$A$1</f>
        <v xml:space="preserve">                                                               Office of the State Controller                                                                </v>
      </c>
      <c r="D1" s="2449"/>
      <c r="E1" s="2449"/>
      <c r="F1" s="2449"/>
      <c r="G1" s="2449"/>
      <c r="H1" s="2449"/>
      <c r="I1" s="2449"/>
      <c r="J1" s="2449"/>
      <c r="K1" s="2449"/>
      <c r="L1" s="2449"/>
      <c r="M1" s="2449"/>
      <c r="N1" s="2449"/>
      <c r="O1" s="2449"/>
      <c r="P1" s="2449"/>
      <c r="Q1" s="2449"/>
      <c r="R1" s="2449"/>
      <c r="S1" s="1423"/>
      <c r="T1" s="395"/>
      <c r="U1" s="395"/>
      <c r="V1" s="395"/>
      <c r="Z1" s="2126" t="s">
        <v>5096</v>
      </c>
    </row>
    <row r="2" spans="1:26" ht="15.75" x14ac:dyDescent="0.25">
      <c r="A2" s="337" t="str">
        <f t="shared" ref="A2:A33" si="0">AgyIdx</f>
        <v>01</v>
      </c>
      <c r="C2" s="2431" t="str">
        <f>+Index!$A$2</f>
        <v>2022 ACFR Worksheets</v>
      </c>
      <c r="D2" s="2431"/>
      <c r="E2" s="2431"/>
      <c r="F2" s="2431"/>
      <c r="G2" s="2431"/>
      <c r="H2" s="2431"/>
      <c r="I2" s="2431"/>
      <c r="J2" s="2431"/>
      <c r="K2" s="2431"/>
      <c r="L2" s="2431"/>
      <c r="M2" s="2431"/>
      <c r="N2" s="2431"/>
      <c r="O2" s="2431"/>
      <c r="P2" s="2431"/>
      <c r="Q2" s="2431"/>
      <c r="R2" s="2431"/>
      <c r="S2" s="1423"/>
    </row>
    <row r="3" spans="1:26" ht="15.75" x14ac:dyDescent="0.25">
      <c r="A3" s="337" t="str">
        <f t="shared" si="0"/>
        <v>01</v>
      </c>
      <c r="C3" s="2431" t="s">
        <v>1075</v>
      </c>
      <c r="D3" s="2431"/>
      <c r="E3" s="2431"/>
      <c r="F3" s="2431"/>
      <c r="G3" s="2431"/>
      <c r="H3" s="2431"/>
      <c r="I3" s="2431"/>
      <c r="J3" s="2431"/>
      <c r="K3" s="2431"/>
      <c r="L3" s="2431"/>
      <c r="M3" s="2431"/>
      <c r="N3" s="2431"/>
      <c r="O3" s="2431"/>
      <c r="P3" s="2431"/>
      <c r="Q3" s="2431"/>
      <c r="R3" s="2431"/>
      <c r="S3" s="1423"/>
    </row>
    <row r="4" spans="1:26" ht="15.75" x14ac:dyDescent="0.25">
      <c r="A4" s="337" t="str">
        <f t="shared" si="0"/>
        <v>01</v>
      </c>
      <c r="C4" s="2431" t="s">
        <v>3610</v>
      </c>
      <c r="D4" s="2431"/>
      <c r="E4" s="2431"/>
      <c r="F4" s="2431"/>
      <c r="G4" s="2431"/>
      <c r="H4" s="2431"/>
      <c r="I4" s="2431"/>
      <c r="J4" s="2431"/>
      <c r="K4" s="2431"/>
      <c r="L4" s="2431"/>
      <c r="M4" s="2431"/>
      <c r="N4" s="2431"/>
      <c r="O4" s="2431"/>
      <c r="P4" s="2431"/>
      <c r="Q4" s="2431"/>
      <c r="R4" s="182" t="str">
        <f>IF(Index!$B$91="na","NA","")</f>
        <v/>
      </c>
      <c r="S4" s="281"/>
    </row>
    <row r="5" spans="1:26" ht="15.75" customHeight="1" x14ac:dyDescent="0.2">
      <c r="A5" s="337" t="str">
        <f t="shared" si="0"/>
        <v>01</v>
      </c>
      <c r="N5" s="430"/>
      <c r="R5" s="182"/>
    </row>
    <row r="6" spans="1:26" ht="14.1" customHeight="1" x14ac:dyDescent="0.2">
      <c r="A6" s="337" t="str">
        <f t="shared" si="0"/>
        <v>01</v>
      </c>
      <c r="C6" s="790" t="s">
        <v>327</v>
      </c>
      <c r="F6" s="1147" t="str">
        <f>+Index!$E$10</f>
        <v>01</v>
      </c>
      <c r="L6" s="345" t="s">
        <v>1154</v>
      </c>
      <c r="N6" s="2927" t="str">
        <f>+Index!$E$11</f>
        <v>North Carolina General Assembly</v>
      </c>
      <c r="O6" s="2927"/>
      <c r="P6" s="2927"/>
      <c r="Q6" s="2927"/>
      <c r="R6" s="2563"/>
    </row>
    <row r="7" spans="1:26" ht="14.1" customHeight="1" x14ac:dyDescent="0.2">
      <c r="A7" s="337" t="str">
        <f t="shared" si="0"/>
        <v>01</v>
      </c>
      <c r="L7" s="345" t="s">
        <v>972</v>
      </c>
      <c r="N7" s="2929" t="str">
        <f>CONCATENATE(Index!$E$12," ",Index!$E$14)</f>
        <v xml:space="preserve"> </v>
      </c>
      <c r="O7" s="2929"/>
      <c r="P7" s="2929"/>
      <c r="Q7" s="2929"/>
      <c r="R7" s="2894"/>
    </row>
    <row r="8" spans="1:26" ht="14.1" customHeight="1" x14ac:dyDescent="0.2">
      <c r="A8" s="337" t="str">
        <f t="shared" si="0"/>
        <v>01</v>
      </c>
      <c r="C8" s="296" t="s">
        <v>477</v>
      </c>
      <c r="D8" s="330"/>
      <c r="F8" s="2921" t="s">
        <v>971</v>
      </c>
      <c r="G8" s="2921"/>
      <c r="L8" s="345" t="s">
        <v>348</v>
      </c>
      <c r="N8" s="2929">
        <f>+Index!$E$13</f>
        <v>0</v>
      </c>
      <c r="O8" s="2929"/>
      <c r="P8" s="2929"/>
      <c r="Q8" s="2929"/>
      <c r="R8" s="2894"/>
    </row>
    <row r="9" spans="1:26" ht="6.75" customHeight="1" thickBot="1" x14ac:dyDescent="0.25">
      <c r="A9" s="337" t="str">
        <f t="shared" si="0"/>
        <v>01</v>
      </c>
      <c r="C9" s="331"/>
      <c r="D9" s="331"/>
      <c r="E9" s="331"/>
      <c r="F9" s="331"/>
      <c r="G9" s="331"/>
      <c r="H9" s="331"/>
      <c r="I9" s="331"/>
      <c r="J9" s="331"/>
      <c r="K9" s="331"/>
      <c r="L9" s="331"/>
      <c r="M9" s="331"/>
      <c r="N9" s="331"/>
      <c r="O9" s="331"/>
      <c r="P9" s="331"/>
      <c r="Q9" s="331"/>
      <c r="R9" s="331"/>
      <c r="S9" s="346"/>
    </row>
    <row r="10" spans="1:26" ht="12" x14ac:dyDescent="0.2">
      <c r="A10" s="337" t="str">
        <f t="shared" si="0"/>
        <v>01</v>
      </c>
      <c r="C10" s="330"/>
      <c r="D10" s="330"/>
      <c r="E10" s="330"/>
      <c r="F10" s="2932" t="s">
        <v>1150</v>
      </c>
      <c r="G10" s="2932"/>
      <c r="H10" s="2932"/>
      <c r="I10" s="2932"/>
      <c r="J10" s="2932"/>
      <c r="K10" s="2932"/>
      <c r="L10" s="2932"/>
      <c r="M10" s="2932"/>
      <c r="N10" s="2932"/>
      <c r="O10" s="2932"/>
      <c r="P10" s="2932"/>
      <c r="Q10" s="2932"/>
      <c r="R10" s="2932"/>
    </row>
    <row r="11" spans="1:26" ht="12" x14ac:dyDescent="0.2">
      <c r="A11" s="337" t="str">
        <f t="shared" si="0"/>
        <v>01</v>
      </c>
      <c r="C11" s="330"/>
      <c r="D11" s="330"/>
      <c r="E11" s="330"/>
      <c r="F11" s="2933" t="s">
        <v>287</v>
      </c>
      <c r="G11" s="2933"/>
      <c r="H11" s="2933"/>
      <c r="I11" s="2933"/>
      <c r="J11" s="2933"/>
      <c r="K11" s="2933"/>
      <c r="L11" s="2933"/>
      <c r="M11" s="2933"/>
      <c r="N11" s="2933"/>
      <c r="O11" s="2933"/>
      <c r="P11" s="2933"/>
      <c r="Q11" s="2933"/>
      <c r="R11" s="2933"/>
      <c r="S11" s="337"/>
    </row>
    <row r="12" spans="1:26" ht="12" x14ac:dyDescent="0.2">
      <c r="A12" s="337" t="str">
        <f t="shared" si="0"/>
        <v>01</v>
      </c>
      <c r="C12" s="330"/>
      <c r="D12" s="330"/>
      <c r="E12" s="330"/>
      <c r="F12" s="1148">
        <v>100</v>
      </c>
      <c r="G12" s="1148"/>
      <c r="H12" s="1148">
        <v>120</v>
      </c>
      <c r="I12" s="1148"/>
      <c r="J12" s="1148">
        <v>140</v>
      </c>
      <c r="K12" s="1148"/>
      <c r="L12" s="1148">
        <v>160</v>
      </c>
      <c r="M12" s="1148"/>
      <c r="N12" s="1148">
        <v>180</v>
      </c>
      <c r="O12" s="1148"/>
      <c r="P12" s="1148">
        <v>200</v>
      </c>
      <c r="Q12" s="1148"/>
      <c r="R12" s="1148">
        <v>220</v>
      </c>
      <c r="S12" s="1148">
        <v>240</v>
      </c>
      <c r="U12" s="337"/>
    </row>
    <row r="13" spans="1:26" ht="36" x14ac:dyDescent="0.2">
      <c r="A13" s="337" t="str">
        <f t="shared" si="0"/>
        <v>01</v>
      </c>
      <c r="C13" s="1149"/>
      <c r="D13" s="2935" t="s">
        <v>70</v>
      </c>
      <c r="E13" s="2935"/>
      <c r="F13" s="1150" t="s">
        <v>347</v>
      </c>
      <c r="G13" s="1151"/>
      <c r="H13" s="1150" t="s">
        <v>1148</v>
      </c>
      <c r="I13" s="1151"/>
      <c r="J13" s="1150" t="s">
        <v>118</v>
      </c>
      <c r="K13" s="1151"/>
      <c r="L13" s="1150" t="s">
        <v>1149</v>
      </c>
      <c r="M13" s="1151"/>
      <c r="N13" s="1150" t="s">
        <v>1685</v>
      </c>
      <c r="O13" s="1151"/>
      <c r="P13" s="1150" t="s">
        <v>147</v>
      </c>
      <c r="Q13" s="1151"/>
      <c r="R13" s="1150" t="s">
        <v>1688</v>
      </c>
      <c r="S13" s="1158" t="s">
        <v>84</v>
      </c>
      <c r="U13" s="337"/>
    </row>
    <row r="14" spans="1:26" x14ac:dyDescent="0.2">
      <c r="A14" s="337" t="str">
        <f t="shared" si="0"/>
        <v>01</v>
      </c>
      <c r="B14" s="337" t="s">
        <v>1641</v>
      </c>
      <c r="C14" s="1152"/>
      <c r="D14" s="335" t="s">
        <v>1851</v>
      </c>
      <c r="F14" s="1153"/>
      <c r="G14" s="1154"/>
      <c r="H14" s="1153"/>
      <c r="I14" s="1155"/>
      <c r="J14" s="1153"/>
      <c r="K14" s="1155"/>
      <c r="L14" s="1153"/>
      <c r="M14" s="1155"/>
      <c r="N14" s="1153"/>
      <c r="O14" s="1155"/>
      <c r="P14" s="1153"/>
      <c r="Q14" s="1155"/>
      <c r="R14" s="1153"/>
      <c r="S14" s="1155">
        <f ca="1">SUM(F14:R14)-INDEX('720'!$B$14:$I$57,MATCH('725'!B14,'720'!$B$14:$B$57,0),8)</f>
        <v>0</v>
      </c>
      <c r="Y14" s="2126" t="s">
        <v>1851</v>
      </c>
    </row>
    <row r="15" spans="1:26" x14ac:dyDescent="0.2">
      <c r="A15" s="337" t="str">
        <f t="shared" si="0"/>
        <v>01</v>
      </c>
      <c r="B15" s="337" t="s">
        <v>1642</v>
      </c>
      <c r="C15" s="1152"/>
      <c r="D15" s="335" t="s">
        <v>1879</v>
      </c>
      <c r="F15" s="1153"/>
      <c r="G15" s="1154"/>
      <c r="H15" s="1153"/>
      <c r="I15" s="1155"/>
      <c r="J15" s="1153"/>
      <c r="K15" s="1155"/>
      <c r="L15" s="1153"/>
      <c r="M15" s="1155"/>
      <c r="N15" s="1153"/>
      <c r="O15" s="1155"/>
      <c r="P15" s="1153"/>
      <c r="Q15" s="1155"/>
      <c r="R15" s="1153"/>
      <c r="S15" s="1155">
        <f ca="1">SUM(F15:R15)-INDEX('720'!$B$14:$I$57,MATCH('725'!B15,'720'!$B$14:$B$57,0),8)</f>
        <v>0</v>
      </c>
      <c r="Y15" s="2126" t="s">
        <v>1852</v>
      </c>
    </row>
    <row r="16" spans="1:26" x14ac:dyDescent="0.2">
      <c r="A16" s="337" t="str">
        <f t="shared" si="0"/>
        <v>01</v>
      </c>
      <c r="B16" s="337" t="s">
        <v>1643</v>
      </c>
      <c r="C16" s="1152"/>
      <c r="D16" s="335" t="s">
        <v>1853</v>
      </c>
      <c r="F16" s="1153"/>
      <c r="G16" s="1154"/>
      <c r="H16" s="1153"/>
      <c r="I16" s="1155"/>
      <c r="J16" s="1153"/>
      <c r="K16" s="1155"/>
      <c r="L16" s="1153"/>
      <c r="M16" s="1155"/>
      <c r="N16" s="1153"/>
      <c r="O16" s="1155"/>
      <c r="P16" s="1153"/>
      <c r="Q16" s="1155"/>
      <c r="R16" s="1153"/>
      <c r="S16" s="1155">
        <f ca="1">SUM(F16:R16)-INDEX('720'!$B$14:$I$57,MATCH('725'!B16,'720'!$B$14:$B$57,0),8)</f>
        <v>0</v>
      </c>
      <c r="Y16" s="2126" t="s">
        <v>1853</v>
      </c>
    </row>
    <row r="17" spans="1:25" x14ac:dyDescent="0.2">
      <c r="A17" s="337" t="str">
        <f t="shared" si="0"/>
        <v>01</v>
      </c>
      <c r="B17" s="337" t="s">
        <v>1644</v>
      </c>
      <c r="C17" s="1152"/>
      <c r="D17" s="335" t="s">
        <v>1854</v>
      </c>
      <c r="F17" s="1153"/>
      <c r="G17" s="1154"/>
      <c r="H17" s="1153"/>
      <c r="I17" s="1155"/>
      <c r="J17" s="1153"/>
      <c r="K17" s="1155"/>
      <c r="L17" s="1153"/>
      <c r="M17" s="1155"/>
      <c r="N17" s="1153"/>
      <c r="O17" s="1155"/>
      <c r="P17" s="1153"/>
      <c r="Q17" s="1155"/>
      <c r="R17" s="1153"/>
      <c r="S17" s="1155">
        <f ca="1">SUM(F17:R17)-INDEX('720'!$B$14:$I$57,MATCH('725'!B17,'720'!$B$14:$B$57,0),8)</f>
        <v>0</v>
      </c>
      <c r="Y17" s="2126" t="s">
        <v>1854</v>
      </c>
    </row>
    <row r="18" spans="1:25" x14ac:dyDescent="0.2">
      <c r="A18" s="337" t="str">
        <f t="shared" si="0"/>
        <v>01</v>
      </c>
      <c r="B18" s="337" t="s">
        <v>1645</v>
      </c>
      <c r="C18" s="1152"/>
      <c r="D18" s="335" t="s">
        <v>1855</v>
      </c>
      <c r="F18" s="1153"/>
      <c r="G18" s="1154"/>
      <c r="H18" s="1153"/>
      <c r="I18" s="1155"/>
      <c r="J18" s="1153"/>
      <c r="K18" s="1155"/>
      <c r="L18" s="1153"/>
      <c r="M18" s="1155"/>
      <c r="N18" s="1153"/>
      <c r="O18" s="1155"/>
      <c r="P18" s="1153"/>
      <c r="Q18" s="1155"/>
      <c r="R18" s="1153"/>
      <c r="S18" s="1155">
        <f ca="1">SUM(F18:R18)-INDEX('720'!$B$14:$I$57,MATCH('725'!B18,'720'!$B$14:$B$57,0),8)</f>
        <v>0</v>
      </c>
      <c r="Y18" s="2126" t="s">
        <v>1855</v>
      </c>
    </row>
    <row r="19" spans="1:25" x14ac:dyDescent="0.2">
      <c r="A19" s="337" t="str">
        <f t="shared" si="0"/>
        <v>01</v>
      </c>
      <c r="B19" s="337" t="s">
        <v>1646</v>
      </c>
      <c r="C19" s="1152"/>
      <c r="D19" s="313" t="s">
        <v>1856</v>
      </c>
      <c r="F19" s="1153"/>
      <c r="G19" s="1154"/>
      <c r="H19" s="1153"/>
      <c r="I19" s="1155"/>
      <c r="J19" s="1153"/>
      <c r="K19" s="1155"/>
      <c r="L19" s="1153"/>
      <c r="M19" s="1155"/>
      <c r="N19" s="1153"/>
      <c r="O19" s="1155"/>
      <c r="P19" s="1153"/>
      <c r="Q19" s="1155"/>
      <c r="R19" s="1153"/>
      <c r="S19" s="1155">
        <f ca="1">SUM(F19:R19)-INDEX('720'!$B$14:$I$57,MATCH('725'!B19,'720'!$B$14:$B$57,0),8)</f>
        <v>0</v>
      </c>
      <c r="Y19" s="2126" t="s">
        <v>1856</v>
      </c>
    </row>
    <row r="20" spans="1:25" x14ac:dyDescent="0.2">
      <c r="A20" s="337" t="str">
        <f t="shared" si="0"/>
        <v>01</v>
      </c>
      <c r="B20" s="337" t="s">
        <v>1647</v>
      </c>
      <c r="C20" s="1152"/>
      <c r="D20" s="335" t="s">
        <v>1857</v>
      </c>
      <c r="F20" s="1153"/>
      <c r="G20" s="1154"/>
      <c r="H20" s="1153"/>
      <c r="I20" s="1155"/>
      <c r="J20" s="1153"/>
      <c r="K20" s="1155"/>
      <c r="L20" s="1153"/>
      <c r="M20" s="1155"/>
      <c r="N20" s="1153"/>
      <c r="O20" s="1155"/>
      <c r="P20" s="1153"/>
      <c r="Q20" s="1155"/>
      <c r="R20" s="1153"/>
      <c r="S20" s="1155">
        <f ca="1">SUM(F20:R20)-INDEX('720'!$B$14:$I$57,MATCH('725'!B20,'720'!$B$14:$B$57,0),8)</f>
        <v>0</v>
      </c>
      <c r="Y20" s="2126" t="s">
        <v>1857</v>
      </c>
    </row>
    <row r="21" spans="1:25" x14ac:dyDescent="0.2">
      <c r="A21" s="337" t="str">
        <f t="shared" si="0"/>
        <v>01</v>
      </c>
      <c r="B21" s="337" t="s">
        <v>1648</v>
      </c>
      <c r="C21" s="1152"/>
      <c r="D21" s="335" t="s">
        <v>655</v>
      </c>
      <c r="F21" s="1153"/>
      <c r="G21" s="1154"/>
      <c r="H21" s="1153"/>
      <c r="I21" s="1155"/>
      <c r="J21" s="1153"/>
      <c r="K21" s="1155"/>
      <c r="L21" s="1153"/>
      <c r="M21" s="1155"/>
      <c r="N21" s="1153"/>
      <c r="O21" s="1155"/>
      <c r="P21" s="1153"/>
      <c r="Q21" s="1155"/>
      <c r="R21" s="1153"/>
      <c r="S21" s="1155">
        <f ca="1">SUM(F21:R21)-INDEX('720'!$B$14:$I$57,MATCH('725'!B21,'720'!$B$14:$B$57,0),8)</f>
        <v>0</v>
      </c>
      <c r="Y21" s="2126" t="s">
        <v>655</v>
      </c>
    </row>
    <row r="22" spans="1:25" x14ac:dyDescent="0.2">
      <c r="A22" s="337" t="str">
        <f t="shared" si="0"/>
        <v>01</v>
      </c>
      <c r="B22" s="337" t="s">
        <v>1649</v>
      </c>
      <c r="C22" s="1152"/>
      <c r="D22" s="149" t="s">
        <v>1871</v>
      </c>
      <c r="F22" s="1153"/>
      <c r="G22" s="1154"/>
      <c r="H22" s="1153"/>
      <c r="I22" s="1155"/>
      <c r="J22" s="1153"/>
      <c r="K22" s="1155"/>
      <c r="L22" s="1153"/>
      <c r="M22" s="1155"/>
      <c r="N22" s="1153"/>
      <c r="O22" s="1155"/>
      <c r="P22" s="1153"/>
      <c r="Q22" s="1155"/>
      <c r="R22" s="1153"/>
      <c r="S22" s="1155">
        <f ca="1">SUM(F22:R22)-INDEX('720'!$B$14:$I$57,MATCH('725'!B22,'720'!$B$14:$B$57,0),8)</f>
        <v>0</v>
      </c>
      <c r="Y22" s="2126" t="s">
        <v>1871</v>
      </c>
    </row>
    <row r="23" spans="1:25" ht="12.75" x14ac:dyDescent="0.2">
      <c r="A23" s="337" t="str">
        <f t="shared" si="0"/>
        <v>01</v>
      </c>
      <c r="B23" s="337" t="s">
        <v>1650</v>
      </c>
      <c r="C23" s="1152"/>
      <c r="D23" s="335" t="s">
        <v>1866</v>
      </c>
      <c r="F23" s="1153"/>
      <c r="G23" s="1155"/>
      <c r="H23" s="1153"/>
      <c r="I23" s="1155"/>
      <c r="J23" s="1153"/>
      <c r="K23" s="1155"/>
      <c r="L23" s="1153"/>
      <c r="M23" s="1155"/>
      <c r="N23" s="1153"/>
      <c r="O23" s="1155"/>
      <c r="P23" s="1153"/>
      <c r="Q23" s="1155"/>
      <c r="R23" s="1638"/>
      <c r="S23" s="1155">
        <f ca="1">SUM(F23:R23)-INDEX('720'!$B$14:$I$57,MATCH('725'!B23,'720'!$B$14:$B$57,0),8)</f>
        <v>0</v>
      </c>
      <c r="Y23" s="2126" t="s">
        <v>1866</v>
      </c>
    </row>
    <row r="24" spans="1:25" ht="12.75" x14ac:dyDescent="0.2">
      <c r="A24" s="337" t="str">
        <f t="shared" si="0"/>
        <v>01</v>
      </c>
      <c r="B24" s="337" t="s">
        <v>1651</v>
      </c>
      <c r="C24" s="1152"/>
      <c r="D24" s="335" t="s">
        <v>1877</v>
      </c>
      <c r="F24" s="1153"/>
      <c r="G24" s="1155"/>
      <c r="H24" s="1153"/>
      <c r="I24" s="1155"/>
      <c r="J24" s="1153"/>
      <c r="K24" s="1155"/>
      <c r="L24" s="1153"/>
      <c r="M24" s="1155"/>
      <c r="N24" s="1153"/>
      <c r="O24" s="1155"/>
      <c r="P24" s="1153"/>
      <c r="Q24" s="1155"/>
      <c r="R24" s="1638"/>
      <c r="S24" s="1155">
        <f ca="1">SUM(F24:R24)-INDEX('720'!$B$14:$I$57,MATCH('725'!B24,'720'!$B$14:$B$57,0),8)</f>
        <v>0</v>
      </c>
      <c r="Y24" s="2126" t="s">
        <v>1877</v>
      </c>
    </row>
    <row r="25" spans="1:25" x14ac:dyDescent="0.2">
      <c r="A25" s="337" t="str">
        <f t="shared" si="0"/>
        <v>01</v>
      </c>
      <c r="B25" s="337" t="s">
        <v>1652</v>
      </c>
      <c r="C25" s="1152"/>
      <c r="D25" s="335" t="s">
        <v>1870</v>
      </c>
      <c r="F25" s="1153"/>
      <c r="G25" s="1155"/>
      <c r="H25" s="1153"/>
      <c r="I25" s="1155"/>
      <c r="J25" s="1153"/>
      <c r="K25" s="1155"/>
      <c r="L25" s="1153"/>
      <c r="M25" s="1155"/>
      <c r="N25" s="1153"/>
      <c r="O25" s="1155"/>
      <c r="P25" s="1153"/>
      <c r="Q25" s="1155"/>
      <c r="R25" s="1153"/>
      <c r="S25" s="1155">
        <f ca="1">SUM(F25:R25)-INDEX('720'!$B$14:$I$57,MATCH('725'!B25,'720'!$B$14:$B$57,0),8)</f>
        <v>0</v>
      </c>
      <c r="Y25" s="2126" t="s">
        <v>1870</v>
      </c>
    </row>
    <row r="26" spans="1:25" x14ac:dyDescent="0.2">
      <c r="A26" s="337" t="str">
        <f t="shared" si="0"/>
        <v>01</v>
      </c>
      <c r="B26" s="337" t="s">
        <v>1653</v>
      </c>
      <c r="C26" s="1152"/>
      <c r="D26" s="335" t="s">
        <v>1858</v>
      </c>
      <c r="F26" s="1153"/>
      <c r="G26" s="1155"/>
      <c r="H26" s="1153"/>
      <c r="I26" s="1155"/>
      <c r="J26" s="1153"/>
      <c r="K26" s="1155"/>
      <c r="L26" s="1153"/>
      <c r="M26" s="1155"/>
      <c r="N26" s="1153"/>
      <c r="O26" s="1155"/>
      <c r="P26" s="1153"/>
      <c r="Q26" s="1155"/>
      <c r="R26" s="1153"/>
      <c r="S26" s="1155">
        <f ca="1">SUM(F26:R26)-INDEX('720'!$B$14:$I$57,MATCH('725'!B26,'720'!$B$14:$B$57,0),8)</f>
        <v>0</v>
      </c>
      <c r="Y26" s="2126" t="s">
        <v>1858</v>
      </c>
    </row>
    <row r="27" spans="1:25" x14ac:dyDescent="0.2">
      <c r="A27" s="337" t="str">
        <f t="shared" si="0"/>
        <v>01</v>
      </c>
      <c r="B27" s="337" t="s">
        <v>1654</v>
      </c>
      <c r="C27" s="1152"/>
      <c r="D27" s="335" t="s">
        <v>1859</v>
      </c>
      <c r="F27" s="1153"/>
      <c r="G27" s="1155"/>
      <c r="H27" s="1153"/>
      <c r="I27" s="1155"/>
      <c r="J27" s="1153"/>
      <c r="K27" s="1155"/>
      <c r="L27" s="1153"/>
      <c r="M27" s="1155"/>
      <c r="N27" s="1153"/>
      <c r="O27" s="1155"/>
      <c r="P27" s="1153"/>
      <c r="Q27" s="1155"/>
      <c r="R27" s="1153"/>
      <c r="S27" s="1155">
        <f ca="1">SUM(F27:R27)-INDEX('720'!$B$14:$I$57,MATCH('725'!B27,'720'!$B$14:$B$57,0),8)</f>
        <v>0</v>
      </c>
      <c r="Y27" s="2126" t="s">
        <v>1859</v>
      </c>
    </row>
    <row r="28" spans="1:25" x14ac:dyDescent="0.2">
      <c r="A28" s="337" t="str">
        <f t="shared" si="0"/>
        <v>01</v>
      </c>
      <c r="B28" s="337" t="s">
        <v>1655</v>
      </c>
      <c r="C28" s="1152"/>
      <c r="D28" s="335" t="s">
        <v>1860</v>
      </c>
      <c r="F28" s="1153"/>
      <c r="G28" s="1155"/>
      <c r="H28" s="1153"/>
      <c r="I28" s="1155"/>
      <c r="J28" s="1153"/>
      <c r="K28" s="1155"/>
      <c r="L28" s="1153"/>
      <c r="M28" s="1155"/>
      <c r="N28" s="1153"/>
      <c r="O28" s="1155"/>
      <c r="P28" s="1153"/>
      <c r="Q28" s="1155"/>
      <c r="R28" s="1153"/>
      <c r="S28" s="1155">
        <f ca="1">SUM(F28:R28)-INDEX('720'!$B$14:$I$57,MATCH('725'!B28,'720'!$B$14:$B$57,0),8)</f>
        <v>0</v>
      </c>
      <c r="Y28" s="2126" t="s">
        <v>1860</v>
      </c>
    </row>
    <row r="29" spans="1:25" x14ac:dyDescent="0.2">
      <c r="A29" s="337" t="str">
        <f t="shared" si="0"/>
        <v>01</v>
      </c>
      <c r="B29" s="337" t="s">
        <v>1656</v>
      </c>
      <c r="C29" s="1152"/>
      <c r="D29" s="335" t="s">
        <v>1885</v>
      </c>
      <c r="E29" s="1318" t="s">
        <v>5090</v>
      </c>
      <c r="F29" s="1153"/>
      <c r="G29" s="1155"/>
      <c r="H29" s="1153"/>
      <c r="I29" s="1155"/>
      <c r="J29" s="1153"/>
      <c r="K29" s="1155"/>
      <c r="L29" s="1153"/>
      <c r="M29" s="1155"/>
      <c r="N29" s="1153"/>
      <c r="O29" s="1155"/>
      <c r="P29" s="1153"/>
      <c r="Q29" s="1155"/>
      <c r="R29" s="1153"/>
      <c r="S29" s="1155">
        <f ca="1">SUM(F29:R29)-INDEX('720'!$B$14:$I$57,MATCH('725'!B29,'720'!$B$14:$B$57,0),8)</f>
        <v>0</v>
      </c>
      <c r="Y29" s="2126" t="str">
        <f>E29</f>
        <v>Select Other Investment (Click here)</v>
      </c>
    </row>
    <row r="30" spans="1:25" x14ac:dyDescent="0.2">
      <c r="A30" s="337" t="str">
        <f t="shared" si="0"/>
        <v>01</v>
      </c>
      <c r="B30" s="337" t="s">
        <v>1883</v>
      </c>
      <c r="C30" s="1152"/>
      <c r="D30" s="335" t="s">
        <v>1886</v>
      </c>
      <c r="E30" s="1318" t="s">
        <v>5090</v>
      </c>
      <c r="F30" s="1309"/>
      <c r="G30" s="1155"/>
      <c r="H30" s="1154"/>
      <c r="I30" s="1155"/>
      <c r="J30" s="1154"/>
      <c r="K30" s="1155"/>
      <c r="L30" s="1154"/>
      <c r="M30" s="1155"/>
      <c r="N30" s="1154"/>
      <c r="O30" s="1155"/>
      <c r="P30" s="1154"/>
      <c r="Q30" s="1155"/>
      <c r="R30" s="1153"/>
      <c r="S30" s="1155">
        <f ca="1">SUM(F30:R30)-INDEX('720'!$B$14:$I$57,MATCH('725'!B30,'720'!$B$14:$B$57,0),8)</f>
        <v>0</v>
      </c>
      <c r="Y30" s="2126" t="str">
        <f>E30</f>
        <v>Select Other Investment (Click here)</v>
      </c>
    </row>
    <row r="31" spans="1:25" ht="12" thickBot="1" x14ac:dyDescent="0.25">
      <c r="A31" s="337" t="str">
        <f t="shared" si="0"/>
        <v>01</v>
      </c>
      <c r="B31" s="337" t="s">
        <v>1884</v>
      </c>
      <c r="C31" s="1152"/>
      <c r="D31" s="339" t="s">
        <v>84</v>
      </c>
      <c r="F31" s="1156">
        <f>SUM(F14:F30)</f>
        <v>0</v>
      </c>
      <c r="G31" s="1155"/>
      <c r="H31" s="1156">
        <f>SUM(H14:H30)</f>
        <v>0</v>
      </c>
      <c r="I31" s="1155"/>
      <c r="J31" s="1156">
        <f>SUM(J14:J30)</f>
        <v>0</v>
      </c>
      <c r="K31" s="1155"/>
      <c r="L31" s="1156">
        <f>SUM(L14:L30)</f>
        <v>0</v>
      </c>
      <c r="M31" s="1155"/>
      <c r="N31" s="1156">
        <f>SUM(N14:N30)</f>
        <v>0</v>
      </c>
      <c r="O31" s="1155"/>
      <c r="P31" s="1156">
        <f>SUM(P14:P30)</f>
        <v>0</v>
      </c>
      <c r="Q31" s="1155"/>
      <c r="R31" s="1156">
        <f>SUM(R14:R30)</f>
        <v>0</v>
      </c>
      <c r="S31" s="1156">
        <f ca="1">SUM(S14:S30)</f>
        <v>0</v>
      </c>
    </row>
    <row r="32" spans="1:25" ht="12.75" thickTop="1" x14ac:dyDescent="0.2">
      <c r="A32" s="337" t="str">
        <f t="shared" si="0"/>
        <v>01</v>
      </c>
      <c r="C32" s="1157"/>
      <c r="D32" s="330"/>
      <c r="E32" s="330"/>
      <c r="F32" s="1155"/>
      <c r="G32" s="1155"/>
      <c r="H32" s="1155"/>
      <c r="I32" s="1155"/>
      <c r="J32" s="1155"/>
      <c r="K32" s="1155"/>
      <c r="L32" s="1155"/>
      <c r="M32" s="1155"/>
      <c r="N32" s="1155"/>
      <c r="O32" s="1155"/>
      <c r="P32" s="1155"/>
      <c r="Q32" s="1155"/>
      <c r="R32" s="1155"/>
      <c r="S32" s="1159" t="str">
        <f ca="1">IF(S31=0,"Ok","Out with 720")</f>
        <v>Ok</v>
      </c>
    </row>
    <row r="33" spans="1:20" ht="9" customHeight="1" x14ac:dyDescent="0.2">
      <c r="A33" s="337" t="str">
        <f t="shared" si="0"/>
        <v>01</v>
      </c>
      <c r="C33" s="349"/>
    </row>
    <row r="34" spans="1:20" ht="9" customHeight="1" x14ac:dyDescent="0.2">
      <c r="A34" s="337" t="str">
        <f t="shared" ref="A34:A59" si="1">AgyIdx</f>
        <v>01</v>
      </c>
      <c r="C34" s="363" t="s">
        <v>1686</v>
      </c>
      <c r="F34" s="348"/>
      <c r="H34" s="348"/>
      <c r="J34" s="348"/>
      <c r="L34" s="348"/>
      <c r="N34" s="348"/>
      <c r="P34" s="348"/>
      <c r="R34" s="348"/>
      <c r="S34" s="348"/>
      <c r="T34" s="348"/>
    </row>
    <row r="35" spans="1:20" ht="9" customHeight="1" x14ac:dyDescent="0.2">
      <c r="A35" s="337" t="str">
        <f t="shared" si="1"/>
        <v>01</v>
      </c>
      <c r="D35" s="313" t="s">
        <v>704</v>
      </c>
    </row>
    <row r="36" spans="1:20" x14ac:dyDescent="0.2">
      <c r="A36" s="337" t="str">
        <f t="shared" si="1"/>
        <v>01</v>
      </c>
      <c r="D36" s="313" t="s">
        <v>705</v>
      </c>
    </row>
    <row r="37" spans="1:20" x14ac:dyDescent="0.2">
      <c r="A37" s="337" t="str">
        <f t="shared" si="1"/>
        <v>01</v>
      </c>
      <c r="H37" s="351" t="s">
        <v>969</v>
      </c>
      <c r="J37" s="617"/>
      <c r="L37" s="351" t="s">
        <v>970</v>
      </c>
      <c r="N37" s="617"/>
      <c r="P37" s="351" t="s">
        <v>775</v>
      </c>
      <c r="R37" s="618"/>
      <c r="S37" s="692"/>
      <c r="T37" s="692"/>
    </row>
    <row r="38" spans="1:20" x14ac:dyDescent="0.2">
      <c r="A38" s="337" t="str">
        <f t="shared" si="1"/>
        <v>01</v>
      </c>
      <c r="L38" s="351"/>
      <c r="P38" s="351"/>
    </row>
    <row r="39" spans="1:20" x14ac:dyDescent="0.2">
      <c r="A39" s="337" t="str">
        <f t="shared" si="1"/>
        <v>01</v>
      </c>
      <c r="C39" s="335" t="s">
        <v>706</v>
      </c>
      <c r="L39" s="351"/>
      <c r="P39" s="351"/>
    </row>
    <row r="40" spans="1:20" x14ac:dyDescent="0.2">
      <c r="A40" s="337" t="str">
        <f t="shared" si="1"/>
        <v>01</v>
      </c>
      <c r="L40" s="337" t="s">
        <v>264</v>
      </c>
      <c r="M40" s="337"/>
      <c r="N40" s="337"/>
      <c r="O40" s="337"/>
      <c r="R40" s="337" t="s">
        <v>650</v>
      </c>
      <c r="S40" s="337"/>
      <c r="T40" s="337"/>
    </row>
    <row r="41" spans="1:20" x14ac:dyDescent="0.2">
      <c r="A41" s="337" t="str">
        <f t="shared" si="1"/>
        <v>01</v>
      </c>
      <c r="C41" s="2934" t="s">
        <v>70</v>
      </c>
      <c r="D41" s="2934"/>
      <c r="E41" s="2934"/>
      <c r="F41" s="2934"/>
      <c r="G41" s="2934"/>
      <c r="H41" s="2934"/>
      <c r="I41" s="337"/>
      <c r="J41" s="336" t="s">
        <v>985</v>
      </c>
      <c r="K41" s="337"/>
      <c r="L41" s="336" t="s">
        <v>287</v>
      </c>
      <c r="M41" s="337"/>
      <c r="N41" s="2924" t="s">
        <v>707</v>
      </c>
      <c r="O41" s="2924"/>
      <c r="P41" s="2924"/>
      <c r="R41" s="336" t="s">
        <v>287</v>
      </c>
      <c r="S41" s="337"/>
      <c r="T41" s="337"/>
    </row>
    <row r="42" spans="1:20" x14ac:dyDescent="0.2">
      <c r="A42" s="337" t="str">
        <f t="shared" si="1"/>
        <v>01</v>
      </c>
      <c r="D42" s="2931"/>
      <c r="E42" s="2931"/>
      <c r="F42" s="2931"/>
      <c r="G42" s="2931"/>
      <c r="H42" s="2931"/>
      <c r="I42" s="313"/>
      <c r="J42" s="615"/>
      <c r="K42" s="313"/>
      <c r="L42" s="619"/>
      <c r="M42" s="337"/>
      <c r="N42" s="2931"/>
      <c r="O42" s="2931"/>
      <c r="P42" s="2931"/>
      <c r="R42" s="620"/>
      <c r="S42" s="620"/>
      <c r="T42" s="620"/>
    </row>
    <row r="43" spans="1:20" x14ac:dyDescent="0.2">
      <c r="A43" s="337" t="str">
        <f t="shared" si="1"/>
        <v>01</v>
      </c>
      <c r="D43" s="2931"/>
      <c r="E43" s="2931"/>
      <c r="F43" s="2931"/>
      <c r="G43" s="2931"/>
      <c r="H43" s="2931"/>
      <c r="I43" s="313"/>
      <c r="J43" s="615"/>
      <c r="K43" s="313"/>
      <c r="L43" s="619"/>
      <c r="M43" s="337"/>
      <c r="N43" s="2931"/>
      <c r="O43" s="2931"/>
      <c r="P43" s="2931"/>
      <c r="R43" s="619"/>
      <c r="S43" s="620"/>
      <c r="T43" s="620"/>
    </row>
    <row r="44" spans="1:20" ht="12.75" x14ac:dyDescent="0.2">
      <c r="A44" s="337" t="str">
        <f t="shared" si="1"/>
        <v>01</v>
      </c>
      <c r="C44" s="350"/>
      <c r="D44" s="349"/>
      <c r="E44"/>
      <c r="F44"/>
      <c r="G44"/>
      <c r="H44"/>
      <c r="I44"/>
      <c r="J44"/>
      <c r="K44"/>
      <c r="L44"/>
      <c r="M44"/>
      <c r="N44"/>
      <c r="O44"/>
      <c r="P44"/>
      <c r="Q44"/>
      <c r="R44"/>
      <c r="S44"/>
      <c r="T44"/>
    </row>
    <row r="45" spans="1:20" x14ac:dyDescent="0.2">
      <c r="A45" s="337" t="str">
        <f t="shared" si="1"/>
        <v>01</v>
      </c>
      <c r="C45" s="349"/>
      <c r="D45" s="349"/>
    </row>
    <row r="46" spans="1:20" x14ac:dyDescent="0.2">
      <c r="A46" s="337" t="str">
        <f t="shared" si="1"/>
        <v>01</v>
      </c>
    </row>
    <row r="47" spans="1:20" x14ac:dyDescent="0.2">
      <c r="A47" s="337" t="str">
        <f t="shared" si="1"/>
        <v>01</v>
      </c>
    </row>
    <row r="48" spans="1:20" x14ac:dyDescent="0.2">
      <c r="A48" s="337" t="str">
        <f t="shared" si="1"/>
        <v>01</v>
      </c>
    </row>
    <row r="49" spans="1:1" x14ac:dyDescent="0.2">
      <c r="A49" s="337" t="str">
        <f t="shared" si="1"/>
        <v>01</v>
      </c>
    </row>
    <row r="50" spans="1:1" x14ac:dyDescent="0.2">
      <c r="A50" s="337" t="str">
        <f t="shared" si="1"/>
        <v>01</v>
      </c>
    </row>
    <row r="51" spans="1:1" x14ac:dyDescent="0.2">
      <c r="A51" s="337" t="str">
        <f t="shared" si="1"/>
        <v>01</v>
      </c>
    </row>
    <row r="52" spans="1:1" x14ac:dyDescent="0.2">
      <c r="A52" s="337" t="str">
        <f t="shared" si="1"/>
        <v>01</v>
      </c>
    </row>
    <row r="53" spans="1:1" x14ac:dyDescent="0.2">
      <c r="A53" s="337" t="str">
        <f t="shared" si="1"/>
        <v>01</v>
      </c>
    </row>
    <row r="54" spans="1:1" x14ac:dyDescent="0.2">
      <c r="A54" s="337" t="str">
        <f t="shared" si="1"/>
        <v>01</v>
      </c>
    </row>
    <row r="55" spans="1:1" x14ac:dyDescent="0.2">
      <c r="A55" s="337" t="str">
        <f t="shared" si="1"/>
        <v>01</v>
      </c>
    </row>
    <row r="56" spans="1:1" x14ac:dyDescent="0.2">
      <c r="A56" s="337" t="str">
        <f t="shared" si="1"/>
        <v>01</v>
      </c>
    </row>
    <row r="57" spans="1:1" x14ac:dyDescent="0.2">
      <c r="A57" s="337" t="str">
        <f t="shared" si="1"/>
        <v>01</v>
      </c>
    </row>
    <row r="58" spans="1:1" x14ac:dyDescent="0.2">
      <c r="A58" s="337" t="str">
        <f t="shared" si="1"/>
        <v>01</v>
      </c>
    </row>
    <row r="59" spans="1:1" x14ac:dyDescent="0.2">
      <c r="A59" s="337" t="str">
        <f t="shared" si="1"/>
        <v>01</v>
      </c>
    </row>
  </sheetData>
  <sheetProtection algorithmName="SHA-512" hashValue="gtgRKt7SY2NACkMezs2vU7qJwqws7DLNu3XxewI0h8LXNtSYaqLQJLsEZElqLBRDJL0CZRX8nUK7zj8hJjFy5w==" saltValue="T9qT4DxGZ/Rlw92a0bFJoQ==" spinCount="100000" sheet="1" objects="1" scenarios="1" autoFilter="0"/>
  <customSheetViews>
    <customSheetView guid="{B08879A4-635B-4C39-9937-AC7883D562FC}" showGridLines="0" hiddenColumns="1" topLeftCell="C1">
      <selection activeCell="B12" sqref="B12"/>
      <pageMargins left="0.45" right="0.45" top="0.28999999999999998" bottom="0.33" header="0.21" footer="0.17"/>
      <pageSetup orientation="landscape" horizontalDpi="1200" verticalDpi="1200" r:id="rId1"/>
      <headerFooter>
        <oddFooter>&amp;R&amp;A</oddFooter>
      </headerFooter>
    </customSheetView>
    <customSheetView guid="{9FCFC836-1CA5-48BF-958D-24D2EA94B219}" showGridLines="0" hiddenColumns="1" topLeftCell="C1">
      <selection activeCell="B12" sqref="B12"/>
      <pageMargins left="0.45" right="0.45" top="0.28999999999999998" bottom="0.33" header="0.21" footer="0.17"/>
      <pageSetup orientation="landscape" horizontalDpi="1200" verticalDpi="1200" r:id="rId2"/>
      <headerFooter>
        <oddFooter>&amp;R&amp;A</oddFooter>
      </headerFooter>
    </customSheetView>
  </customSheetViews>
  <mergeCells count="17">
    <mergeCell ref="C1:R1"/>
    <mergeCell ref="C2:R2"/>
    <mergeCell ref="C3:R3"/>
    <mergeCell ref="N6:R6"/>
    <mergeCell ref="D13:E13"/>
    <mergeCell ref="C4:Q4"/>
    <mergeCell ref="D42:H42"/>
    <mergeCell ref="N42:P42"/>
    <mergeCell ref="D43:H43"/>
    <mergeCell ref="N43:P43"/>
    <mergeCell ref="N7:R7"/>
    <mergeCell ref="F8:G8"/>
    <mergeCell ref="N8:R8"/>
    <mergeCell ref="F10:R10"/>
    <mergeCell ref="F11:R11"/>
    <mergeCell ref="C41:H41"/>
    <mergeCell ref="N41:P41"/>
  </mergeCells>
  <conditionalFormatting sqref="S1:S3">
    <cfRule type="cellIs" dxfId="31" priority="2" stopIfTrue="1" operator="equal">
      <formula>"na"</formula>
    </cfRule>
  </conditionalFormatting>
  <conditionalFormatting sqref="R4:R5">
    <cfRule type="cellIs" dxfId="30" priority="1" stopIfTrue="1" operator="equal">
      <formula>"na"</formula>
    </cfRule>
  </conditionalFormatting>
  <hyperlinks>
    <hyperlink ref="C1:Q1" location="Index!A1" display="Index!A1" xr:uid="{00000000-0004-0000-4100-000000000000}"/>
  </hyperlinks>
  <pageMargins left="0.45" right="0.45" top="0.28999999999999998" bottom="0.33" header="0.21" footer="0.17"/>
  <pageSetup scale="90" orientation="landscape" r:id="rId3"/>
  <headerFooter>
    <oddFooter>&amp;R&amp;A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38E723DF-C51A-4554-B5F7-C93B1402FEDF}">
          <x14:formula1>
            <xm:f>Notes!$X$3:$X$6</xm:f>
          </x14:formula1>
          <xm:sqref>E29:E30</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6">
    <pageSetUpPr fitToPage="1"/>
  </sheetPr>
  <dimension ref="A1:S56"/>
  <sheetViews>
    <sheetView showGridLines="0" topLeftCell="B1" zoomScaleNormal="100" workbookViewId="0">
      <selection sqref="A1:R1"/>
    </sheetView>
  </sheetViews>
  <sheetFormatPr defaultColWidth="9.42578125" defaultRowHeight="12" x14ac:dyDescent="0.2"/>
  <cols>
    <col min="1" max="1" width="0" style="330" hidden="1" customWidth="1"/>
    <col min="2" max="2" width="2" style="330" customWidth="1"/>
    <col min="3" max="3" width="5.5703125" style="330" customWidth="1"/>
    <col min="4" max="4" width="8.5703125" style="330" customWidth="1"/>
    <col min="5" max="5" width="12.5703125" style="330" customWidth="1"/>
    <col min="6" max="6" width="5.5703125" style="330" customWidth="1"/>
    <col min="7" max="7" width="0.5703125" style="330" customWidth="1"/>
    <col min="8" max="8" width="15.5703125" style="330" customWidth="1"/>
    <col min="9" max="9" width="0.5703125" style="330" customWidth="1"/>
    <col min="10" max="10" width="14.5703125" style="330" customWidth="1"/>
    <col min="11" max="11" width="0.5703125" style="330" customWidth="1"/>
    <col min="12" max="12" width="14.5703125" style="330" customWidth="1"/>
    <col min="13" max="13" width="0.5703125" style="330" customWidth="1"/>
    <col min="14" max="14" width="14.5703125" style="330" customWidth="1"/>
    <col min="15" max="15" width="0.5703125" style="330" customWidth="1"/>
    <col min="16" max="16" width="14.5703125" style="330" customWidth="1"/>
    <col min="17" max="17" width="0.5703125" style="330" customWidth="1"/>
    <col min="18" max="18" width="10.42578125" style="330" customWidth="1"/>
    <col min="19" max="19" width="4.5703125" style="330" customWidth="1"/>
    <col min="20" max="16384" width="9.42578125" style="330"/>
  </cols>
  <sheetData>
    <row r="1" spans="1:19" ht="15.75" x14ac:dyDescent="0.25">
      <c r="A1" s="330" t="str">
        <f t="shared" ref="A1:A32" si="0">AgyIdx</f>
        <v>01</v>
      </c>
      <c r="B1" s="2449" t="str">
        <f>+Index!$A$1</f>
        <v xml:space="preserve">                                                               Office of the State Controller                                                                </v>
      </c>
      <c r="C1" s="2449"/>
      <c r="D1" s="2449"/>
      <c r="E1" s="2449"/>
      <c r="F1" s="2449"/>
      <c r="G1" s="2449"/>
      <c r="H1" s="2449"/>
      <c r="I1" s="2449"/>
      <c r="J1" s="2449"/>
      <c r="K1" s="2449"/>
      <c r="L1" s="2449"/>
      <c r="M1" s="2449"/>
      <c r="N1" s="2449"/>
      <c r="O1" s="2449"/>
      <c r="P1" s="2449"/>
      <c r="Q1" s="2449"/>
      <c r="R1" s="2449"/>
      <c r="S1" s="2510" t="str">
        <f>IF(Index!$B$92="na","NA","")</f>
        <v/>
      </c>
    </row>
    <row r="2" spans="1:19" ht="15.75" x14ac:dyDescent="0.25">
      <c r="A2" s="330" t="str">
        <f t="shared" si="0"/>
        <v>01</v>
      </c>
      <c r="B2" s="2431" t="str">
        <f>+Index!$A$2</f>
        <v>2022 ACFR Worksheets</v>
      </c>
      <c r="C2" s="2431"/>
      <c r="D2" s="2431"/>
      <c r="E2" s="2431"/>
      <c r="F2" s="2431"/>
      <c r="G2" s="2431"/>
      <c r="H2" s="2431"/>
      <c r="I2" s="2431"/>
      <c r="J2" s="2431"/>
      <c r="K2" s="2431"/>
      <c r="L2" s="2431"/>
      <c r="M2" s="2431"/>
      <c r="N2" s="2431"/>
      <c r="O2" s="2431"/>
      <c r="P2" s="2431"/>
      <c r="Q2" s="2431"/>
      <c r="R2" s="2431"/>
      <c r="S2" s="2510"/>
    </row>
    <row r="3" spans="1:19" ht="15.75" x14ac:dyDescent="0.25">
      <c r="A3" s="330" t="str">
        <f t="shared" si="0"/>
        <v>01</v>
      </c>
      <c r="B3" s="2431" t="s">
        <v>1075</v>
      </c>
      <c r="C3" s="2431"/>
      <c r="D3" s="2431"/>
      <c r="E3" s="2431"/>
      <c r="F3" s="2431"/>
      <c r="G3" s="2431"/>
      <c r="H3" s="2431"/>
      <c r="I3" s="2431"/>
      <c r="J3" s="2431"/>
      <c r="K3" s="2431"/>
      <c r="L3" s="2431"/>
      <c r="M3" s="2431"/>
      <c r="N3" s="2431"/>
      <c r="O3" s="2431"/>
      <c r="P3" s="2431"/>
      <c r="Q3" s="2431"/>
      <c r="R3" s="2431"/>
      <c r="S3" s="2510"/>
    </row>
    <row r="4" spans="1:19" ht="15.75" x14ac:dyDescent="0.25">
      <c r="A4" s="330" t="str">
        <f t="shared" si="0"/>
        <v>01</v>
      </c>
      <c r="B4" s="2431" t="s">
        <v>3600</v>
      </c>
      <c r="C4" s="2431"/>
      <c r="D4" s="2431"/>
      <c r="E4" s="2431"/>
      <c r="F4" s="2431"/>
      <c r="G4" s="2431"/>
      <c r="H4" s="2431"/>
      <c r="I4" s="2431"/>
      <c r="J4" s="2431"/>
      <c r="K4" s="2431"/>
      <c r="L4" s="2431"/>
      <c r="M4" s="2431"/>
      <c r="N4" s="2431"/>
      <c r="O4" s="2431"/>
      <c r="P4" s="2431"/>
      <c r="Q4" s="2431"/>
      <c r="R4" s="2431"/>
    </row>
    <row r="5" spans="1:19" ht="15" customHeight="1" x14ac:dyDescent="0.2">
      <c r="A5" s="330" t="str">
        <f t="shared" si="0"/>
        <v>01</v>
      </c>
      <c r="L5" s="430"/>
    </row>
    <row r="6" spans="1:19" ht="15" customHeight="1" x14ac:dyDescent="0.2">
      <c r="A6" s="330" t="str">
        <f t="shared" si="0"/>
        <v>01</v>
      </c>
      <c r="B6" s="791" t="s">
        <v>327</v>
      </c>
      <c r="E6" s="2927" t="str">
        <f>+Index!$E$10</f>
        <v>01</v>
      </c>
      <c r="F6" s="2927"/>
      <c r="J6" s="9" t="s">
        <v>1154</v>
      </c>
      <c r="L6" s="2927" t="str">
        <f>+Index!$E$11</f>
        <v>North Carolina General Assembly</v>
      </c>
      <c r="M6" s="2927"/>
      <c r="N6" s="2927"/>
      <c r="O6" s="2927"/>
      <c r="P6" s="2927"/>
      <c r="Q6" s="2927"/>
      <c r="R6" s="2927"/>
    </row>
    <row r="7" spans="1:19" ht="15" customHeight="1" x14ac:dyDescent="0.2">
      <c r="A7" s="330" t="str">
        <f t="shared" si="0"/>
        <v>01</v>
      </c>
      <c r="J7" s="9" t="s">
        <v>972</v>
      </c>
      <c r="L7" s="2883" t="str">
        <f>CONCATENATE(Index!$E$12," ",Index!$E$14)</f>
        <v xml:space="preserve"> </v>
      </c>
      <c r="M7" s="2883"/>
      <c r="N7" s="2883"/>
      <c r="O7" s="2883"/>
      <c r="P7" s="2883"/>
      <c r="Q7" s="2883"/>
      <c r="R7" s="2883"/>
    </row>
    <row r="8" spans="1:19" ht="15" customHeight="1" x14ac:dyDescent="0.2">
      <c r="A8" s="330" t="str">
        <f t="shared" si="0"/>
        <v>01</v>
      </c>
      <c r="B8" s="8" t="s">
        <v>477</v>
      </c>
      <c r="E8" s="2921" t="s">
        <v>971</v>
      </c>
      <c r="F8" s="2921"/>
      <c r="J8" s="9" t="s">
        <v>348</v>
      </c>
      <c r="L8" s="2883">
        <f>+Index!$E$13</f>
        <v>0</v>
      </c>
      <c r="M8" s="2883"/>
      <c r="N8" s="2883"/>
      <c r="O8" s="2883"/>
      <c r="P8" s="2883"/>
      <c r="Q8" s="2883"/>
      <c r="R8" s="2883"/>
    </row>
    <row r="9" spans="1:19" ht="15" customHeight="1" thickBot="1" x14ac:dyDescent="0.25">
      <c r="A9" s="330" t="str">
        <f t="shared" si="0"/>
        <v>01</v>
      </c>
      <c r="B9" s="331"/>
      <c r="C9" s="332"/>
      <c r="D9" s="332"/>
      <c r="E9" s="333"/>
      <c r="F9" s="333"/>
      <c r="G9" s="333"/>
      <c r="H9" s="333"/>
      <c r="I9" s="333"/>
      <c r="J9" s="334"/>
      <c r="K9" s="333"/>
      <c r="L9" s="333"/>
      <c r="M9" s="333"/>
      <c r="N9" s="333"/>
      <c r="O9" s="333"/>
      <c r="P9" s="333"/>
      <c r="Q9" s="333"/>
      <c r="R9" s="333"/>
    </row>
    <row r="10" spans="1:19" ht="15" customHeight="1" x14ac:dyDescent="0.2">
      <c r="A10" s="330" t="str">
        <f t="shared" si="0"/>
        <v>01</v>
      </c>
    </row>
    <row r="11" spans="1:19" ht="12" customHeight="1" x14ac:dyDescent="0.2">
      <c r="A11" s="330" t="str">
        <f t="shared" si="0"/>
        <v>01</v>
      </c>
      <c r="B11" s="330" t="s">
        <v>777</v>
      </c>
    </row>
    <row r="12" spans="1:19" ht="12" customHeight="1" x14ac:dyDescent="0.2">
      <c r="A12" s="330" t="str">
        <f t="shared" si="0"/>
        <v>01</v>
      </c>
      <c r="B12" s="330" t="s">
        <v>776</v>
      </c>
      <c r="C12" s="352"/>
      <c r="E12" s="352"/>
      <c r="J12" s="352"/>
      <c r="L12" s="751"/>
      <c r="N12" s="352"/>
      <c r="P12" s="751"/>
    </row>
    <row r="13" spans="1:19" ht="10.35" customHeight="1" x14ac:dyDescent="0.2">
      <c r="A13" s="330" t="str">
        <f t="shared" si="0"/>
        <v>01</v>
      </c>
      <c r="C13" s="352"/>
      <c r="E13" s="352"/>
      <c r="J13" s="352"/>
      <c r="L13" s="353"/>
      <c r="N13" s="352"/>
      <c r="P13" s="353"/>
    </row>
    <row r="14" spans="1:19" ht="12" customHeight="1" x14ac:dyDescent="0.2">
      <c r="A14" s="330" t="str">
        <f t="shared" si="0"/>
        <v>01</v>
      </c>
    </row>
    <row r="15" spans="1:19" ht="8.1" customHeight="1" x14ac:dyDescent="0.2">
      <c r="A15" s="330" t="str">
        <f t="shared" si="0"/>
        <v>01</v>
      </c>
    </row>
    <row r="16" spans="1:19" ht="11.85" customHeight="1" x14ac:dyDescent="0.2">
      <c r="A16" s="330" t="str">
        <f t="shared" si="0"/>
        <v>01</v>
      </c>
      <c r="B16" s="24"/>
      <c r="C16" s="44"/>
      <c r="D16" s="44"/>
      <c r="E16" s="44"/>
      <c r="F16" s="44"/>
      <c r="G16" s="44"/>
      <c r="H16" s="44"/>
      <c r="I16" s="44"/>
      <c r="J16" s="2938" t="s">
        <v>215</v>
      </c>
      <c r="K16" s="2938"/>
      <c r="L16" s="2938"/>
      <c r="M16" s="2938"/>
      <c r="N16" s="2938"/>
      <c r="O16" s="2938"/>
      <c r="P16" s="2938"/>
      <c r="Q16" s="335"/>
      <c r="R16" s="337"/>
    </row>
    <row r="17" spans="1:18" ht="12.75" customHeight="1" x14ac:dyDescent="0.2">
      <c r="A17" s="330" t="str">
        <f t="shared" si="0"/>
        <v>01</v>
      </c>
      <c r="B17" s="2938" t="s">
        <v>415</v>
      </c>
      <c r="C17" s="2938"/>
      <c r="D17" s="2938"/>
      <c r="E17" s="2938"/>
      <c r="F17" s="2938"/>
      <c r="G17" s="44"/>
      <c r="H17" s="354" t="s">
        <v>1158</v>
      </c>
      <c r="I17" s="259"/>
      <c r="J17" s="354" t="s">
        <v>71</v>
      </c>
      <c r="K17" s="259"/>
      <c r="L17" s="354" t="s">
        <v>72</v>
      </c>
      <c r="M17" s="259"/>
      <c r="N17" s="354" t="s">
        <v>73</v>
      </c>
      <c r="O17" s="259"/>
      <c r="P17" s="354" t="s">
        <v>74</v>
      </c>
      <c r="Q17" s="335"/>
      <c r="R17" s="336" t="s">
        <v>416</v>
      </c>
    </row>
    <row r="18" spans="1:18" ht="10.35" customHeight="1" x14ac:dyDescent="0.2">
      <c r="A18" s="330" t="str">
        <f t="shared" si="0"/>
        <v>01</v>
      </c>
      <c r="B18" s="335"/>
      <c r="C18" s="335"/>
      <c r="D18" s="335"/>
      <c r="E18" s="335"/>
      <c r="F18" s="335"/>
      <c r="G18" s="335"/>
      <c r="H18" s="335"/>
      <c r="I18" s="335"/>
      <c r="J18" s="335"/>
      <c r="K18" s="335"/>
      <c r="L18" s="335"/>
      <c r="M18" s="335"/>
      <c r="N18" s="335"/>
      <c r="O18" s="335"/>
      <c r="P18" s="335"/>
      <c r="Q18" s="335"/>
      <c r="R18" s="337"/>
    </row>
    <row r="19" spans="1:18" ht="12" customHeight="1" x14ac:dyDescent="0.2">
      <c r="A19" s="330" t="str">
        <f t="shared" si="0"/>
        <v>01</v>
      </c>
      <c r="B19" s="313" t="s">
        <v>1077</v>
      </c>
      <c r="C19" s="335"/>
      <c r="D19" s="335"/>
      <c r="E19" s="335"/>
      <c r="F19" s="335"/>
      <c r="G19" s="335"/>
      <c r="H19" s="335"/>
      <c r="I19" s="335"/>
      <c r="J19" s="335"/>
      <c r="K19" s="335"/>
      <c r="L19" s="335"/>
      <c r="M19" s="335"/>
      <c r="N19" s="335"/>
      <c r="O19" s="335"/>
      <c r="P19" s="335"/>
      <c r="Q19" s="335"/>
      <c r="R19" s="337"/>
    </row>
    <row r="20" spans="1:18" ht="13.35" customHeight="1" x14ac:dyDescent="0.2">
      <c r="A20" s="330" t="str">
        <f t="shared" si="0"/>
        <v>01</v>
      </c>
      <c r="B20" s="339"/>
      <c r="C20" s="2937"/>
      <c r="D20" s="2937"/>
      <c r="E20" s="2937"/>
      <c r="F20" s="2937"/>
      <c r="G20" s="335"/>
      <c r="H20" s="335"/>
      <c r="I20" s="335"/>
      <c r="J20" s="335"/>
      <c r="K20" s="335"/>
      <c r="L20" s="335"/>
      <c r="M20" s="335"/>
      <c r="N20" s="335"/>
      <c r="O20" s="335"/>
      <c r="P20" s="335"/>
      <c r="Q20" s="335"/>
      <c r="R20" s="337"/>
    </row>
    <row r="21" spans="1:18" ht="6" customHeight="1" x14ac:dyDescent="0.2">
      <c r="A21" s="330" t="str">
        <f t="shared" si="0"/>
        <v>01</v>
      </c>
      <c r="B21" s="339"/>
      <c r="C21" s="335"/>
      <c r="D21" s="335"/>
      <c r="E21" s="335"/>
      <c r="F21" s="335"/>
      <c r="G21" s="335"/>
      <c r="H21" s="335"/>
      <c r="I21" s="335"/>
      <c r="J21" s="335"/>
      <c r="K21" s="335"/>
      <c r="L21" s="335"/>
      <c r="M21" s="335"/>
      <c r="N21" s="335"/>
      <c r="O21" s="335"/>
      <c r="P21" s="335"/>
      <c r="Q21" s="335"/>
      <c r="R21" s="337"/>
    </row>
    <row r="22" spans="1:18" ht="12" customHeight="1" x14ac:dyDescent="0.2">
      <c r="A22" s="330" t="str">
        <f t="shared" si="0"/>
        <v>01</v>
      </c>
      <c r="C22" s="313" t="s">
        <v>1142</v>
      </c>
      <c r="D22" s="335"/>
      <c r="E22" s="335"/>
      <c r="F22" s="335"/>
      <c r="G22" s="335"/>
      <c r="H22" s="335"/>
      <c r="I22" s="335"/>
      <c r="J22" s="335"/>
      <c r="K22" s="335"/>
      <c r="L22" s="335"/>
      <c r="M22" s="335"/>
      <c r="N22" s="335"/>
      <c r="O22" s="335"/>
      <c r="P22" s="335"/>
      <c r="Q22" s="335"/>
      <c r="R22" s="337"/>
    </row>
    <row r="23" spans="1:18" ht="13.35" customHeight="1" x14ac:dyDescent="0.2">
      <c r="A23" s="330" t="str">
        <f t="shared" si="0"/>
        <v>01</v>
      </c>
      <c r="B23" s="339"/>
      <c r="C23" s="2937"/>
      <c r="D23" s="2937"/>
      <c r="E23" s="2937"/>
      <c r="F23" s="2937"/>
      <c r="G23" s="335"/>
      <c r="H23" s="615"/>
      <c r="I23" s="335"/>
      <c r="J23" s="615"/>
      <c r="K23" s="335"/>
      <c r="L23" s="615"/>
      <c r="M23" s="335"/>
      <c r="N23" s="615"/>
      <c r="O23" s="335"/>
      <c r="P23" s="615"/>
      <c r="Q23" s="335"/>
      <c r="R23" s="617"/>
    </row>
    <row r="24" spans="1:18" ht="13.35" customHeight="1" x14ac:dyDescent="0.2">
      <c r="A24" s="330" t="str">
        <f t="shared" si="0"/>
        <v>01</v>
      </c>
      <c r="B24" s="335"/>
      <c r="C24" s="2936"/>
      <c r="D24" s="2936"/>
      <c r="E24" s="2936"/>
      <c r="F24" s="2936"/>
      <c r="G24" s="335"/>
      <c r="H24" s="615"/>
      <c r="I24" s="335"/>
      <c r="J24" s="615"/>
      <c r="K24" s="335"/>
      <c r="L24" s="615"/>
      <c r="M24" s="335"/>
      <c r="N24" s="615"/>
      <c r="O24" s="335"/>
      <c r="P24" s="615"/>
      <c r="Q24" s="335"/>
      <c r="R24" s="619"/>
    </row>
    <row r="25" spans="1:18" ht="12" customHeight="1" x14ac:dyDescent="0.2">
      <c r="A25" s="330" t="str">
        <f t="shared" si="0"/>
        <v>01</v>
      </c>
      <c r="B25" s="335"/>
      <c r="C25" s="335"/>
      <c r="D25" s="335"/>
      <c r="E25" s="335"/>
      <c r="F25" s="335"/>
      <c r="G25" s="335"/>
      <c r="H25" s="335"/>
      <c r="I25" s="335"/>
      <c r="J25" s="335"/>
      <c r="K25" s="335"/>
      <c r="L25" s="335"/>
      <c r="M25" s="335"/>
      <c r="N25" s="335"/>
      <c r="O25" s="335"/>
      <c r="P25" s="335"/>
      <c r="Q25" s="335"/>
      <c r="R25" s="337"/>
    </row>
    <row r="26" spans="1:18" ht="12" customHeight="1" x14ac:dyDescent="0.2">
      <c r="A26" s="330" t="str">
        <f t="shared" si="0"/>
        <v>01</v>
      </c>
      <c r="B26" s="313" t="s">
        <v>211</v>
      </c>
      <c r="C26" s="335"/>
      <c r="D26" s="335"/>
      <c r="E26" s="335"/>
      <c r="F26" s="335"/>
      <c r="G26" s="335"/>
      <c r="H26" s="335"/>
      <c r="I26" s="335"/>
      <c r="J26" s="335"/>
      <c r="K26" s="335"/>
      <c r="L26" s="335"/>
      <c r="M26" s="335"/>
      <c r="N26" s="335"/>
      <c r="O26" s="335"/>
      <c r="P26" s="335"/>
      <c r="Q26" s="335"/>
      <c r="R26" s="337"/>
    </row>
    <row r="27" spans="1:18" ht="13.35" customHeight="1" x14ac:dyDescent="0.2">
      <c r="A27" s="330" t="str">
        <f t="shared" si="0"/>
        <v>01</v>
      </c>
      <c r="B27" s="335"/>
      <c r="C27" s="2937"/>
      <c r="D27" s="2937"/>
      <c r="E27" s="2937"/>
      <c r="F27" s="2937"/>
      <c r="G27" s="335"/>
      <c r="H27" s="335"/>
      <c r="I27" s="335"/>
      <c r="J27" s="335"/>
      <c r="K27" s="335"/>
      <c r="L27" s="335"/>
      <c r="M27" s="335"/>
      <c r="N27" s="335"/>
      <c r="O27" s="335"/>
      <c r="P27" s="335"/>
      <c r="Q27" s="335"/>
      <c r="R27" s="337"/>
    </row>
    <row r="28" spans="1:18" ht="6" customHeight="1" x14ac:dyDescent="0.2">
      <c r="A28" s="330" t="str">
        <f t="shared" si="0"/>
        <v>01</v>
      </c>
      <c r="B28" s="335"/>
      <c r="C28" s="335"/>
      <c r="D28" s="335"/>
      <c r="E28" s="335"/>
      <c r="F28" s="335"/>
      <c r="G28" s="335"/>
      <c r="H28" s="335"/>
      <c r="I28" s="335"/>
      <c r="J28" s="335"/>
      <c r="K28" s="335"/>
      <c r="L28" s="335"/>
      <c r="M28" s="335"/>
      <c r="N28" s="335"/>
      <c r="O28" s="335"/>
      <c r="P28" s="335"/>
      <c r="Q28" s="335"/>
      <c r="R28" s="337"/>
    </row>
    <row r="29" spans="1:18" ht="12" customHeight="1" x14ac:dyDescent="0.2">
      <c r="A29" s="330" t="str">
        <f t="shared" si="0"/>
        <v>01</v>
      </c>
      <c r="B29" s="335"/>
      <c r="C29" s="313" t="s">
        <v>1142</v>
      </c>
      <c r="D29" s="335"/>
      <c r="E29" s="335"/>
      <c r="F29" s="335"/>
      <c r="G29" s="335"/>
      <c r="H29" s="335"/>
      <c r="I29" s="335"/>
      <c r="J29" s="335"/>
      <c r="K29" s="335"/>
      <c r="L29" s="335"/>
      <c r="M29" s="335"/>
      <c r="N29" s="335"/>
      <c r="O29" s="335"/>
      <c r="P29" s="335"/>
      <c r="Q29" s="335"/>
      <c r="R29" s="337"/>
    </row>
    <row r="30" spans="1:18" ht="13.35" customHeight="1" x14ac:dyDescent="0.2">
      <c r="A30" s="330" t="str">
        <f t="shared" si="0"/>
        <v>01</v>
      </c>
      <c r="B30" s="339"/>
      <c r="C30" s="2937"/>
      <c r="D30" s="2937"/>
      <c r="E30" s="2937"/>
      <c r="F30" s="2937"/>
      <c r="G30" s="335"/>
      <c r="H30" s="615"/>
      <c r="I30" s="335"/>
      <c r="J30" s="615"/>
      <c r="K30" s="335"/>
      <c r="L30" s="615"/>
      <c r="M30" s="335"/>
      <c r="N30" s="615"/>
      <c r="O30" s="335"/>
      <c r="P30" s="615"/>
      <c r="Q30" s="335"/>
      <c r="R30" s="617"/>
    </row>
    <row r="31" spans="1:18" ht="13.35" customHeight="1" x14ac:dyDescent="0.2">
      <c r="A31" s="330" t="str">
        <f t="shared" si="0"/>
        <v>01</v>
      </c>
      <c r="B31" s="335"/>
      <c r="C31" s="2936"/>
      <c r="D31" s="2936"/>
      <c r="E31" s="2936"/>
      <c r="F31" s="2936"/>
      <c r="G31" s="335"/>
      <c r="H31" s="615"/>
      <c r="I31" s="335"/>
      <c r="J31" s="615"/>
      <c r="K31" s="335"/>
      <c r="L31" s="615"/>
      <c r="M31" s="335"/>
      <c r="N31" s="615"/>
      <c r="O31" s="335"/>
      <c r="P31" s="615"/>
      <c r="Q31" s="335"/>
      <c r="R31" s="617"/>
    </row>
    <row r="32" spans="1:18" ht="12" customHeight="1" x14ac:dyDescent="0.2">
      <c r="A32" s="330" t="str">
        <f t="shared" si="0"/>
        <v>01</v>
      </c>
      <c r="C32" s="335"/>
      <c r="D32" s="335"/>
      <c r="E32" s="335"/>
      <c r="F32" s="335"/>
      <c r="G32" s="335"/>
      <c r="H32" s="335"/>
      <c r="I32" s="335"/>
      <c r="J32" s="335"/>
      <c r="K32" s="335"/>
      <c r="L32" s="335"/>
      <c r="M32" s="335"/>
      <c r="N32" s="335"/>
      <c r="O32" s="335"/>
      <c r="P32" s="335"/>
      <c r="Q32" s="335"/>
      <c r="R32" s="337"/>
    </row>
    <row r="33" spans="1:18" ht="12" customHeight="1" x14ac:dyDescent="0.2">
      <c r="A33" s="330" t="str">
        <f t="shared" ref="A33:A56" si="1">AgyIdx</f>
        <v>01</v>
      </c>
      <c r="B33" s="313" t="s">
        <v>212</v>
      </c>
      <c r="C33" s="335"/>
      <c r="D33" s="335"/>
      <c r="E33" s="335"/>
      <c r="F33" s="335"/>
      <c r="G33" s="335"/>
      <c r="H33" s="335"/>
      <c r="I33" s="335"/>
      <c r="J33" s="335"/>
      <c r="K33" s="335"/>
      <c r="L33" s="335"/>
      <c r="M33" s="335"/>
      <c r="N33" s="335"/>
      <c r="O33" s="335"/>
      <c r="P33" s="335"/>
      <c r="Q33" s="335"/>
      <c r="R33" s="337"/>
    </row>
    <row r="34" spans="1:18" ht="13.35" customHeight="1" x14ac:dyDescent="0.2">
      <c r="A34" s="330" t="str">
        <f t="shared" si="1"/>
        <v>01</v>
      </c>
      <c r="B34" s="335"/>
      <c r="C34" s="2937"/>
      <c r="D34" s="2937"/>
      <c r="E34" s="2937"/>
      <c r="F34" s="2937"/>
      <c r="G34" s="335"/>
      <c r="H34" s="335"/>
      <c r="I34" s="335"/>
      <c r="J34" s="335"/>
      <c r="K34" s="335"/>
      <c r="L34" s="335"/>
      <c r="M34" s="335"/>
      <c r="N34" s="335"/>
      <c r="O34" s="335"/>
      <c r="P34" s="335"/>
      <c r="Q34" s="335"/>
      <c r="R34" s="337"/>
    </row>
    <row r="35" spans="1:18" ht="6" customHeight="1" x14ac:dyDescent="0.2">
      <c r="A35" s="330" t="str">
        <f t="shared" si="1"/>
        <v>01</v>
      </c>
      <c r="B35" s="335"/>
      <c r="C35" s="335"/>
      <c r="D35" s="335"/>
      <c r="E35" s="335"/>
      <c r="F35" s="335"/>
      <c r="G35" s="335"/>
      <c r="H35" s="335"/>
      <c r="I35" s="335"/>
      <c r="J35" s="335"/>
      <c r="K35" s="335"/>
      <c r="L35" s="335"/>
      <c r="M35" s="335"/>
      <c r="N35" s="335"/>
      <c r="O35" s="335"/>
      <c r="P35" s="335"/>
      <c r="Q35" s="335"/>
      <c r="R35" s="337"/>
    </row>
    <row r="36" spans="1:18" ht="12" customHeight="1" x14ac:dyDescent="0.2">
      <c r="A36" s="330" t="str">
        <f t="shared" si="1"/>
        <v>01</v>
      </c>
      <c r="B36" s="335"/>
      <c r="C36" s="313" t="s">
        <v>1142</v>
      </c>
      <c r="D36" s="335"/>
      <c r="E36" s="335"/>
      <c r="F36" s="335"/>
      <c r="G36" s="335"/>
      <c r="H36" s="335"/>
      <c r="I36" s="335"/>
      <c r="J36" s="335"/>
      <c r="K36" s="335"/>
      <c r="L36" s="335"/>
      <c r="M36" s="335"/>
      <c r="N36" s="335"/>
      <c r="O36" s="335"/>
      <c r="P36" s="335"/>
      <c r="Q36" s="335"/>
      <c r="R36" s="337"/>
    </row>
    <row r="37" spans="1:18" ht="13.35" customHeight="1" x14ac:dyDescent="0.2">
      <c r="A37" s="330" t="str">
        <f t="shared" si="1"/>
        <v>01</v>
      </c>
      <c r="B37" s="339"/>
      <c r="C37" s="2937"/>
      <c r="D37" s="2937"/>
      <c r="E37" s="2937"/>
      <c r="F37" s="2937"/>
      <c r="G37" s="335"/>
      <c r="H37" s="615"/>
      <c r="I37" s="335"/>
      <c r="J37" s="615"/>
      <c r="K37" s="342"/>
      <c r="L37" s="615"/>
      <c r="M37" s="335"/>
      <c r="N37" s="615"/>
      <c r="O37" s="335"/>
      <c r="P37" s="615"/>
      <c r="Q37" s="335"/>
      <c r="R37" s="617"/>
    </row>
    <row r="38" spans="1:18" ht="13.35" customHeight="1" x14ac:dyDescent="0.2">
      <c r="A38" s="330" t="str">
        <f t="shared" si="1"/>
        <v>01</v>
      </c>
      <c r="B38" s="339"/>
      <c r="C38" s="2936"/>
      <c r="D38" s="2936"/>
      <c r="E38" s="2936"/>
      <c r="F38" s="2936"/>
      <c r="G38" s="335"/>
      <c r="H38" s="615"/>
      <c r="I38" s="335"/>
      <c r="J38" s="615"/>
      <c r="K38" s="335"/>
      <c r="L38" s="615"/>
      <c r="M38" s="335"/>
      <c r="N38" s="615"/>
      <c r="O38" s="335"/>
      <c r="P38" s="615"/>
      <c r="Q38" s="335"/>
      <c r="R38" s="619"/>
    </row>
    <row r="39" spans="1:18" ht="10.35" customHeight="1" x14ac:dyDescent="0.2">
      <c r="A39" s="330" t="str">
        <f t="shared" si="1"/>
        <v>01</v>
      </c>
      <c r="B39" s="339"/>
      <c r="C39" s="335"/>
      <c r="D39" s="335"/>
      <c r="E39" s="335"/>
      <c r="F39" s="335"/>
      <c r="G39" s="335"/>
      <c r="H39" s="335"/>
      <c r="I39" s="335"/>
      <c r="J39" s="335"/>
      <c r="K39" s="335"/>
      <c r="L39" s="335"/>
      <c r="M39" s="335"/>
      <c r="N39" s="335"/>
      <c r="O39" s="335"/>
      <c r="P39" s="335"/>
      <c r="Q39" s="335"/>
      <c r="R39" s="335"/>
    </row>
    <row r="40" spans="1:18" ht="10.35" customHeight="1" x14ac:dyDescent="0.2">
      <c r="A40" s="330" t="str">
        <f t="shared" si="1"/>
        <v>01</v>
      </c>
      <c r="B40" s="339"/>
      <c r="C40" s="335"/>
      <c r="D40" s="335"/>
      <c r="E40" s="335"/>
      <c r="F40" s="335"/>
      <c r="G40" s="335"/>
      <c r="H40" s="335"/>
      <c r="I40" s="335"/>
      <c r="J40" s="335"/>
      <c r="K40" s="335"/>
      <c r="L40" s="335"/>
      <c r="M40" s="335"/>
      <c r="N40" s="335"/>
      <c r="O40" s="335"/>
      <c r="P40" s="335"/>
      <c r="Q40" s="335"/>
      <c r="R40" s="335"/>
    </row>
    <row r="41" spans="1:18" ht="11.1" customHeight="1" x14ac:dyDescent="0.2">
      <c r="A41" s="330" t="str">
        <f t="shared" si="1"/>
        <v>01</v>
      </c>
      <c r="B41" s="313" t="s">
        <v>213</v>
      </c>
      <c r="C41" s="335" t="s">
        <v>370</v>
      </c>
      <c r="D41" s="335"/>
      <c r="E41" s="335"/>
      <c r="F41" s="335"/>
      <c r="G41" s="335"/>
      <c r="H41" s="335"/>
      <c r="I41" s="335"/>
      <c r="J41" s="335"/>
      <c r="K41" s="335"/>
      <c r="L41" s="335"/>
      <c r="M41" s="335"/>
      <c r="N41" s="335"/>
      <c r="O41" s="335"/>
      <c r="P41" s="335"/>
      <c r="Q41" s="335"/>
    </row>
    <row r="42" spans="1:18" ht="11.1" customHeight="1" x14ac:dyDescent="0.2">
      <c r="A42" s="330" t="str">
        <f t="shared" si="1"/>
        <v>01</v>
      </c>
      <c r="B42" s="339"/>
      <c r="C42" s="335" t="s">
        <v>4318</v>
      </c>
      <c r="D42" s="335"/>
      <c r="E42" s="335"/>
      <c r="F42" s="335"/>
      <c r="G42" s="335"/>
      <c r="H42" s="335"/>
      <c r="I42" s="335"/>
      <c r="J42" s="335"/>
      <c r="K42" s="335"/>
      <c r="L42" s="335"/>
      <c r="M42" s="335"/>
      <c r="N42" s="335"/>
      <c r="O42" s="335"/>
      <c r="P42" s="335"/>
      <c r="Q42" s="335"/>
    </row>
    <row r="43" spans="1:18" ht="11.1" customHeight="1" x14ac:dyDescent="0.2">
      <c r="A43" s="330" t="str">
        <f t="shared" si="1"/>
        <v>01</v>
      </c>
      <c r="B43" s="339"/>
      <c r="C43" s="335" t="s">
        <v>4732</v>
      </c>
      <c r="D43" s="335"/>
      <c r="E43" s="335"/>
      <c r="F43" s="335"/>
      <c r="G43" s="335"/>
      <c r="H43" s="335"/>
      <c r="I43" s="335"/>
      <c r="J43" s="335"/>
      <c r="K43" s="335"/>
      <c r="L43" s="335"/>
      <c r="M43" s="335"/>
      <c r="N43" s="335"/>
      <c r="O43" s="335"/>
      <c r="P43" s="335"/>
      <c r="Q43" s="335"/>
    </row>
    <row r="44" spans="1:18" ht="6" customHeight="1" x14ac:dyDescent="0.2">
      <c r="A44" s="330" t="str">
        <f t="shared" si="1"/>
        <v>01</v>
      </c>
      <c r="B44" s="339"/>
      <c r="C44" s="335"/>
      <c r="D44" s="335"/>
      <c r="E44" s="335"/>
      <c r="F44" s="335"/>
      <c r="G44" s="335"/>
      <c r="H44" s="335"/>
      <c r="I44" s="335"/>
      <c r="J44" s="335"/>
      <c r="K44" s="335"/>
      <c r="L44" s="335"/>
      <c r="M44" s="335"/>
      <c r="N44" s="335"/>
      <c r="O44" s="335"/>
      <c r="P44" s="335"/>
      <c r="Q44" s="335"/>
    </row>
    <row r="45" spans="1:18" ht="11.1" customHeight="1" x14ac:dyDescent="0.2">
      <c r="A45" s="330" t="str">
        <f t="shared" si="1"/>
        <v>01</v>
      </c>
      <c r="B45" s="313" t="s">
        <v>214</v>
      </c>
      <c r="C45" s="335" t="s">
        <v>812</v>
      </c>
      <c r="D45" s="335"/>
      <c r="E45" s="335"/>
      <c r="F45" s="335"/>
      <c r="G45" s="335"/>
      <c r="H45" s="335"/>
      <c r="I45" s="335"/>
      <c r="J45" s="335"/>
      <c r="K45" s="335"/>
      <c r="L45" s="335"/>
      <c r="M45" s="335"/>
      <c r="N45" s="335"/>
      <c r="O45" s="335"/>
      <c r="P45" s="335"/>
      <c r="Q45" s="335"/>
    </row>
    <row r="46" spans="1:18" ht="11.1" customHeight="1" x14ac:dyDescent="0.2">
      <c r="A46" s="330" t="str">
        <f t="shared" si="1"/>
        <v>01</v>
      </c>
      <c r="B46" s="339"/>
      <c r="C46" s="335" t="s">
        <v>510</v>
      </c>
      <c r="D46" s="335"/>
      <c r="E46" s="335"/>
      <c r="F46" s="335"/>
      <c r="G46" s="335"/>
      <c r="H46" s="335"/>
      <c r="I46" s="335"/>
      <c r="J46" s="335"/>
      <c r="K46" s="335"/>
      <c r="L46" s="335"/>
      <c r="M46" s="335"/>
      <c r="N46" s="335"/>
      <c r="O46" s="335"/>
      <c r="P46" s="335"/>
      <c r="Q46" s="335"/>
    </row>
    <row r="47" spans="1:18" ht="10.35" customHeight="1" x14ac:dyDescent="0.2">
      <c r="A47" s="330" t="str">
        <f t="shared" si="1"/>
        <v>01</v>
      </c>
      <c r="B47" s="339"/>
      <c r="C47" s="335"/>
      <c r="D47" s="335"/>
      <c r="E47" s="335"/>
      <c r="F47" s="335"/>
      <c r="G47" s="335"/>
      <c r="H47" s="335"/>
      <c r="I47" s="335"/>
      <c r="J47" s="335"/>
      <c r="K47" s="335"/>
      <c r="L47" s="335"/>
      <c r="M47" s="335"/>
      <c r="N47" s="335"/>
      <c r="O47" s="335"/>
      <c r="P47" s="335"/>
      <c r="Q47" s="335"/>
    </row>
    <row r="48" spans="1:18" ht="8.1" customHeight="1" x14ac:dyDescent="0.2">
      <c r="A48" s="330" t="str">
        <f t="shared" si="1"/>
        <v>01</v>
      </c>
      <c r="B48" s="339"/>
      <c r="C48" s="335"/>
      <c r="D48" s="335"/>
      <c r="E48" s="335"/>
      <c r="F48" s="335"/>
      <c r="G48" s="335"/>
      <c r="H48" s="335"/>
      <c r="I48" s="335"/>
      <c r="J48" s="335"/>
      <c r="K48" s="335"/>
      <c r="L48" s="335"/>
      <c r="M48" s="335"/>
      <c r="N48" s="335"/>
      <c r="O48" s="335"/>
      <c r="P48" s="335"/>
      <c r="Q48" s="335"/>
    </row>
    <row r="49" spans="1:17" ht="12" customHeight="1" x14ac:dyDescent="0.2">
      <c r="A49" s="330" t="str">
        <f t="shared" si="1"/>
        <v>01</v>
      </c>
      <c r="B49" s="313"/>
      <c r="D49" s="335"/>
      <c r="E49" s="335"/>
      <c r="F49" s="335"/>
      <c r="G49" s="335"/>
      <c r="H49" s="335"/>
      <c r="I49" s="335"/>
      <c r="J49" s="335"/>
      <c r="K49" s="335"/>
      <c r="L49" s="335"/>
      <c r="M49" s="335"/>
      <c r="N49" s="335"/>
      <c r="O49" s="335"/>
      <c r="P49" s="335"/>
      <c r="Q49" s="335"/>
    </row>
    <row r="50" spans="1:17" ht="10.35" customHeight="1" x14ac:dyDescent="0.2">
      <c r="A50" s="330" t="str">
        <f t="shared" si="1"/>
        <v>01</v>
      </c>
      <c r="B50" s="335"/>
      <c r="D50" s="335"/>
      <c r="E50" s="335"/>
      <c r="F50" s="335"/>
    </row>
    <row r="51" spans="1:17" ht="12" customHeight="1" x14ac:dyDescent="0.2">
      <c r="A51" s="330" t="str">
        <f t="shared" si="1"/>
        <v>01</v>
      </c>
      <c r="B51" s="344"/>
      <c r="C51" s="335"/>
      <c r="D51" s="335"/>
      <c r="E51" s="335"/>
      <c r="F51" s="335"/>
    </row>
    <row r="52" spans="1:17" x14ac:dyDescent="0.2">
      <c r="A52" s="330" t="str">
        <f t="shared" si="1"/>
        <v>01</v>
      </c>
    </row>
    <row r="53" spans="1:17" x14ac:dyDescent="0.2">
      <c r="A53" s="330" t="str">
        <f t="shared" si="1"/>
        <v>01</v>
      </c>
    </row>
    <row r="54" spans="1:17" x14ac:dyDescent="0.2">
      <c r="A54" s="330" t="str">
        <f t="shared" si="1"/>
        <v>01</v>
      </c>
    </row>
    <row r="55" spans="1:17" x14ac:dyDescent="0.2">
      <c r="A55" s="330" t="str">
        <f t="shared" si="1"/>
        <v>01</v>
      </c>
    </row>
    <row r="56" spans="1:17" x14ac:dyDescent="0.2">
      <c r="A56" s="330" t="str">
        <f t="shared" si="1"/>
        <v>01</v>
      </c>
    </row>
  </sheetData>
  <sheetProtection algorithmName="SHA-512" hashValue="/Ck1kxjLRUmr6URKgzQaGHmzzBF8Wkvco4OoJ3kQl9QnGMLLX7n4Kru6WfwY5zhr8WpPOxkapfULrfUwD6cSUw==" saltValue="VQLeCQFdYgTOXwVweq9LeQ==" spinCount="100000" sheet="1" objects="1" scenarios="1" autoFilter="0"/>
  <customSheetViews>
    <customSheetView guid="{B08879A4-635B-4C39-9937-AC7883D562FC}" showGridLines="0" fitToPage="1" hiddenColumns="1" topLeftCell="B1">
      <selection activeCell="B12" sqref="B12"/>
      <pageMargins left="0.5" right="0.5" top="0.5" bottom="0.5" header="0.5" footer="0.25"/>
      <pageSetup orientation="landscape" r:id="rId1"/>
      <headerFooter alignWithMargins="0">
        <oddFooter>&amp;R&amp;A</oddFooter>
      </headerFooter>
    </customSheetView>
    <customSheetView guid="{1250FD07-FF56-4A9D-AF9E-C27124A7EBE9}" showGridLines="0" fitToPage="1" showRuler="0">
      <selection activeCell="D8" sqref="D8:E8"/>
      <pageMargins left="0.5" right="0.5" top="0.5" bottom="0.5" header="0.5" footer="0.25"/>
      <pageSetup orientation="landscape" r:id="rId2"/>
      <headerFooter alignWithMargins="0">
        <oddFooter>&amp;R&amp;A</oddFooter>
      </headerFooter>
    </customSheetView>
    <customSheetView guid="{BEA4BE86-04D1-4C96-9358-7A260B9D2B2D}" showGridLines="0" fitToPage="1" showRuler="0">
      <selection activeCell="D8" sqref="D8:E8"/>
      <pageMargins left="0.5" right="0.5" top="0.5" bottom="0.5" header="0.5" footer="0.25"/>
      <pageSetup orientation="landscape" r:id="rId3"/>
      <headerFooter alignWithMargins="0">
        <oddFooter>&amp;R&amp;A</oddFooter>
      </headerFooter>
    </customSheetView>
    <customSheetView guid="{9FCFC836-1CA5-48BF-958D-24D2EA94B219}" showGridLines="0" fitToPage="1" hiddenColumns="1" topLeftCell="B1">
      <selection activeCell="B12" sqref="B12"/>
      <pageMargins left="0.5" right="0.5" top="0.5" bottom="0.5" header="0.5" footer="0.25"/>
      <pageSetup orientation="landscape" r:id="rId4"/>
      <headerFooter alignWithMargins="0">
        <oddFooter>&amp;R&amp;A</oddFooter>
      </headerFooter>
    </customSheetView>
  </customSheetViews>
  <mergeCells count="21">
    <mergeCell ref="B17:F17"/>
    <mergeCell ref="J16:P16"/>
    <mergeCell ref="L8:R8"/>
    <mergeCell ref="B3:R3"/>
    <mergeCell ref="B4:R4"/>
    <mergeCell ref="E8:F8"/>
    <mergeCell ref="S1:S3"/>
    <mergeCell ref="L6:R6"/>
    <mergeCell ref="L7:R7"/>
    <mergeCell ref="E6:F6"/>
    <mergeCell ref="B2:R2"/>
    <mergeCell ref="B1:R1"/>
    <mergeCell ref="C38:F38"/>
    <mergeCell ref="C20:F20"/>
    <mergeCell ref="C27:F27"/>
    <mergeCell ref="C34:F34"/>
    <mergeCell ref="C23:F23"/>
    <mergeCell ref="C37:F37"/>
    <mergeCell ref="C31:F31"/>
    <mergeCell ref="C30:F30"/>
    <mergeCell ref="C24:F24"/>
  </mergeCells>
  <phoneticPr fontId="15" type="noConversion"/>
  <conditionalFormatting sqref="S1:S3">
    <cfRule type="cellIs" dxfId="29" priority="1" stopIfTrue="1" operator="equal">
      <formula>"na"</formula>
    </cfRule>
  </conditionalFormatting>
  <hyperlinks>
    <hyperlink ref="B1:R1" location="Index!A1" display="Index!A1" xr:uid="{00000000-0004-0000-4200-000000000000}"/>
  </hyperlinks>
  <pageMargins left="0.5" right="0.5" top="0.5" bottom="0.5" header="0.5" footer="0.25"/>
  <pageSetup scale="98" orientation="landscape" r:id="rId5"/>
  <headerFooter alignWithMargins="0">
    <oddFooter>&amp;R&amp;A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7">
    <pageSetUpPr fitToPage="1"/>
  </sheetPr>
  <dimension ref="A1:P56"/>
  <sheetViews>
    <sheetView showGridLines="0" topLeftCell="C1" zoomScaleNormal="100" workbookViewId="0">
      <selection activeCell="C11" sqref="C11:O12"/>
    </sheetView>
  </sheetViews>
  <sheetFormatPr defaultColWidth="9.42578125" defaultRowHeight="12" x14ac:dyDescent="0.2"/>
  <cols>
    <col min="1" max="2" width="0" style="330" hidden="1" customWidth="1"/>
    <col min="3" max="3" width="2" style="330" customWidth="1"/>
    <col min="4" max="4" width="5.5703125" style="330" customWidth="1"/>
    <col min="5" max="5" width="8.42578125" style="330" customWidth="1"/>
    <col min="6" max="6" width="12.5703125" style="330" customWidth="1"/>
    <col min="7" max="7" width="8.5703125" style="330" customWidth="1"/>
    <col min="8" max="8" width="1.42578125" style="330" customWidth="1"/>
    <col min="9" max="9" width="17.5703125" style="330" customWidth="1"/>
    <col min="10" max="10" width="1.42578125" style="330" customWidth="1"/>
    <col min="11" max="11" width="16.5703125" style="330" customWidth="1"/>
    <col min="12" max="12" width="1.42578125" style="330" customWidth="1"/>
    <col min="13" max="13" width="15.5703125" style="330" customWidth="1"/>
    <col min="14" max="14" width="1.42578125" style="330" customWidth="1"/>
    <col min="15" max="15" width="17.5703125" style="330" customWidth="1"/>
    <col min="16" max="16" width="4.5703125" style="330" customWidth="1"/>
    <col min="17" max="16384" width="9.42578125" style="330"/>
  </cols>
  <sheetData>
    <row r="1" spans="1:16" ht="15.75" x14ac:dyDescent="0.25">
      <c r="A1" s="330" t="str">
        <f t="shared" ref="A1:A32" si="0">AgyIdx</f>
        <v>01</v>
      </c>
      <c r="C1" s="2449" t="str">
        <f>+Index!$A$1</f>
        <v xml:space="preserve">                                                               Office of the State Controller                                                                </v>
      </c>
      <c r="D1" s="2449"/>
      <c r="E1" s="2449"/>
      <c r="F1" s="2449"/>
      <c r="G1" s="2449"/>
      <c r="H1" s="2449"/>
      <c r="I1" s="2449"/>
      <c r="J1" s="2449"/>
      <c r="K1" s="2449"/>
      <c r="L1" s="2449"/>
      <c r="M1" s="2449"/>
      <c r="N1" s="2449"/>
      <c r="O1" s="2449"/>
      <c r="P1" s="2510" t="str">
        <f>IF(Index!$B$93="na","NA","")</f>
        <v/>
      </c>
    </row>
    <row r="2" spans="1:16" ht="15.75" x14ac:dyDescent="0.25">
      <c r="A2" s="330" t="str">
        <f t="shared" si="0"/>
        <v>01</v>
      </c>
      <c r="C2" s="2431" t="str">
        <f>+Index!$A$2</f>
        <v>2022 ACFR Worksheets</v>
      </c>
      <c r="D2" s="2431"/>
      <c r="E2" s="2431"/>
      <c r="F2" s="2431"/>
      <c r="G2" s="2431"/>
      <c r="H2" s="2431"/>
      <c r="I2" s="2431"/>
      <c r="J2" s="2431"/>
      <c r="K2" s="2431"/>
      <c r="L2" s="2431"/>
      <c r="M2" s="2431"/>
      <c r="N2" s="2431"/>
      <c r="O2" s="2431"/>
      <c r="P2" s="2510"/>
    </row>
    <row r="3" spans="1:16" ht="15.75" x14ac:dyDescent="0.25">
      <c r="A3" s="330" t="str">
        <f t="shared" si="0"/>
        <v>01</v>
      </c>
      <c r="C3" s="2431" t="s">
        <v>1075</v>
      </c>
      <c r="D3" s="2431"/>
      <c r="E3" s="2431"/>
      <c r="F3" s="2431"/>
      <c r="G3" s="2431"/>
      <c r="H3" s="2431"/>
      <c r="I3" s="2431"/>
      <c r="J3" s="2431"/>
      <c r="K3" s="2431"/>
      <c r="L3" s="2431"/>
      <c r="M3" s="2431"/>
      <c r="N3" s="2431"/>
      <c r="O3" s="2431"/>
      <c r="P3" s="2510"/>
    </row>
    <row r="4" spans="1:16" ht="15.75" x14ac:dyDescent="0.25">
      <c r="A4" s="330" t="str">
        <f t="shared" si="0"/>
        <v>01</v>
      </c>
      <c r="C4" s="2431" t="s">
        <v>3601</v>
      </c>
      <c r="D4" s="2431"/>
      <c r="E4" s="2431"/>
      <c r="F4" s="2431"/>
      <c r="G4" s="2431"/>
      <c r="H4" s="2431"/>
      <c r="I4" s="2431"/>
      <c r="J4" s="2431"/>
      <c r="K4" s="2431"/>
      <c r="L4" s="2431"/>
      <c r="M4" s="2431"/>
      <c r="N4" s="2431"/>
      <c r="O4" s="2431"/>
      <c r="P4" s="281"/>
    </row>
    <row r="5" spans="1:16" ht="15" customHeight="1" x14ac:dyDescent="0.2">
      <c r="A5" s="330" t="str">
        <f t="shared" si="0"/>
        <v>01</v>
      </c>
    </row>
    <row r="6" spans="1:16" ht="15" customHeight="1" x14ac:dyDescent="0.2">
      <c r="A6" s="330" t="str">
        <f t="shared" si="0"/>
        <v>01</v>
      </c>
      <c r="C6" s="14" t="s">
        <v>430</v>
      </c>
      <c r="F6" s="2596" t="str">
        <f>+Index!$E$10</f>
        <v>01</v>
      </c>
      <c r="G6" s="2596"/>
      <c r="J6" s="9" t="s">
        <v>1154</v>
      </c>
      <c r="K6" s="2927" t="str">
        <f>+Index!$E$11</f>
        <v>North Carolina General Assembly</v>
      </c>
      <c r="L6" s="2927"/>
      <c r="M6" s="2927"/>
      <c r="N6" s="2927"/>
      <c r="O6" s="2927"/>
    </row>
    <row r="7" spans="1:16" ht="15" customHeight="1" x14ac:dyDescent="0.2">
      <c r="A7" s="330" t="str">
        <f t="shared" si="0"/>
        <v>01</v>
      </c>
      <c r="J7" s="9" t="s">
        <v>972</v>
      </c>
      <c r="K7" s="2929" t="str">
        <f>CONCATENATE(Index!$E$12," ",Index!$E$14)</f>
        <v xml:space="preserve"> </v>
      </c>
      <c r="L7" s="2929"/>
      <c r="M7" s="2929"/>
      <c r="N7" s="2929"/>
      <c r="O7" s="2929"/>
    </row>
    <row r="8" spans="1:16" ht="15" customHeight="1" x14ac:dyDescent="0.2">
      <c r="A8" s="330" t="str">
        <f t="shared" si="0"/>
        <v>01</v>
      </c>
      <c r="C8" s="8" t="s">
        <v>477</v>
      </c>
      <c r="F8" s="2921" t="s">
        <v>971</v>
      </c>
      <c r="G8" s="2921"/>
      <c r="J8" s="9" t="s">
        <v>348</v>
      </c>
      <c r="K8" s="2883">
        <f>+Index!$E$13</f>
        <v>0</v>
      </c>
      <c r="L8" s="2883"/>
      <c r="M8" s="2883"/>
      <c r="N8" s="2883"/>
      <c r="O8" s="2883"/>
    </row>
    <row r="9" spans="1:16" ht="15" customHeight="1" thickBot="1" x14ac:dyDescent="0.25">
      <c r="A9" s="330" t="str">
        <f t="shared" si="0"/>
        <v>01</v>
      </c>
      <c r="C9" s="331"/>
      <c r="D9" s="332"/>
      <c r="E9" s="332"/>
      <c r="F9" s="333"/>
      <c r="G9" s="333"/>
      <c r="H9" s="333"/>
      <c r="I9" s="333"/>
      <c r="J9" s="333"/>
      <c r="K9" s="334"/>
      <c r="L9" s="333"/>
      <c r="M9" s="333"/>
      <c r="N9" s="333"/>
      <c r="O9" s="333"/>
    </row>
    <row r="10" spans="1:16" ht="15" customHeight="1" x14ac:dyDescent="0.2">
      <c r="A10" s="330" t="str">
        <f t="shared" si="0"/>
        <v>01</v>
      </c>
    </row>
    <row r="11" spans="1:16" ht="12.75" customHeight="1" x14ac:dyDescent="0.2">
      <c r="A11" s="330" t="str">
        <f t="shared" si="0"/>
        <v>01</v>
      </c>
      <c r="C11" s="2941" t="s">
        <v>4153</v>
      </c>
      <c r="D11" s="2942"/>
      <c r="E11" s="2942"/>
      <c r="F11" s="2942"/>
      <c r="G11" s="2942"/>
      <c r="H11" s="2942"/>
      <c r="I11" s="2942"/>
      <c r="J11" s="2942"/>
      <c r="K11" s="2942"/>
      <c r="L11" s="2942"/>
      <c r="M11" s="2942"/>
      <c r="N11" s="2942"/>
      <c r="O11" s="2942"/>
    </row>
    <row r="12" spans="1:16" ht="12.75" customHeight="1" x14ac:dyDescent="0.2">
      <c r="A12" s="330" t="str">
        <f t="shared" si="0"/>
        <v>01</v>
      </c>
      <c r="C12" s="2942"/>
      <c r="D12" s="2942"/>
      <c r="E12" s="2942"/>
      <c r="F12" s="2942"/>
      <c r="G12" s="2942"/>
      <c r="H12" s="2942"/>
      <c r="I12" s="2942"/>
      <c r="J12" s="2942"/>
      <c r="K12" s="2942"/>
      <c r="L12" s="2942"/>
      <c r="M12" s="2942"/>
      <c r="N12" s="2942"/>
      <c r="O12" s="2942"/>
    </row>
    <row r="13" spans="1:16" ht="10.35" customHeight="1" x14ac:dyDescent="0.2">
      <c r="A13" s="330" t="str">
        <f t="shared" si="0"/>
        <v>01</v>
      </c>
    </row>
    <row r="14" spans="1:16" ht="14.1" customHeight="1" x14ac:dyDescent="0.2">
      <c r="A14" s="330" t="str">
        <f t="shared" si="0"/>
        <v>01</v>
      </c>
      <c r="C14" s="330" t="s">
        <v>189</v>
      </c>
    </row>
    <row r="15" spans="1:16" ht="14.1" customHeight="1" x14ac:dyDescent="0.2">
      <c r="A15" s="330" t="str">
        <f t="shared" si="0"/>
        <v>01</v>
      </c>
      <c r="C15" s="330" t="s">
        <v>140</v>
      </c>
    </row>
    <row r="16" spans="1:16" ht="12" customHeight="1" x14ac:dyDescent="0.2">
      <c r="A16" s="330" t="str">
        <f t="shared" si="0"/>
        <v>01</v>
      </c>
      <c r="C16" s="364" t="s">
        <v>813</v>
      </c>
    </row>
    <row r="17" spans="1:16" ht="15" customHeight="1" x14ac:dyDescent="0.2">
      <c r="A17" s="330" t="str">
        <f t="shared" si="0"/>
        <v>01</v>
      </c>
      <c r="D17" s="352"/>
      <c r="F17" s="352"/>
      <c r="I17" s="352"/>
      <c r="K17" s="751"/>
      <c r="M17" s="352"/>
      <c r="O17" s="751"/>
    </row>
    <row r="18" spans="1:16" ht="10.35" customHeight="1" x14ac:dyDescent="0.2">
      <c r="A18" s="330" t="str">
        <f t="shared" si="0"/>
        <v>01</v>
      </c>
      <c r="D18" s="352"/>
      <c r="F18" s="352"/>
      <c r="I18" s="352"/>
      <c r="K18" s="353"/>
      <c r="M18" s="352"/>
      <c r="O18" s="353"/>
    </row>
    <row r="19" spans="1:16" ht="12" customHeight="1" x14ac:dyDescent="0.2">
      <c r="A19" s="330" t="str">
        <f t="shared" si="0"/>
        <v>01</v>
      </c>
      <c r="C19" s="330" t="s">
        <v>773</v>
      </c>
      <c r="D19" s="352"/>
      <c r="F19" s="352"/>
      <c r="I19" s="352"/>
      <c r="K19" s="353"/>
      <c r="M19" s="352"/>
      <c r="O19" s="353"/>
    </row>
    <row r="20" spans="1:16" ht="12.75" customHeight="1" x14ac:dyDescent="0.2">
      <c r="A20" s="330" t="str">
        <f t="shared" si="0"/>
        <v>01</v>
      </c>
      <c r="D20" s="335"/>
      <c r="E20" s="335"/>
      <c r="F20" s="335"/>
      <c r="G20" s="335"/>
      <c r="H20" s="335"/>
      <c r="I20" s="2934"/>
      <c r="J20" s="2934"/>
      <c r="K20" s="2934"/>
      <c r="L20" s="337"/>
      <c r="M20" s="337"/>
      <c r="N20" s="337"/>
      <c r="O20" s="337"/>
      <c r="P20" s="335"/>
    </row>
    <row r="21" spans="1:16" ht="12.75" customHeight="1" x14ac:dyDescent="0.2">
      <c r="A21" s="330" t="str">
        <f t="shared" si="0"/>
        <v>01</v>
      </c>
      <c r="C21" s="2934" t="s">
        <v>70</v>
      </c>
      <c r="D21" s="2934"/>
      <c r="E21" s="2934"/>
      <c r="F21" s="2934"/>
      <c r="G21" s="2934"/>
      <c r="H21" s="335"/>
      <c r="I21" s="2934" t="s">
        <v>188</v>
      </c>
      <c r="J21" s="2934"/>
      <c r="K21" s="2934"/>
      <c r="L21" s="2934"/>
      <c r="M21" s="2934"/>
      <c r="N21" s="337"/>
      <c r="O21" s="337" t="s">
        <v>1158</v>
      </c>
      <c r="P21" s="335"/>
    </row>
    <row r="22" spans="1:16" ht="12.75" customHeight="1" x14ac:dyDescent="0.2">
      <c r="A22" s="330" t="str">
        <f t="shared" si="0"/>
        <v>01</v>
      </c>
      <c r="C22" s="2939" t="s">
        <v>118</v>
      </c>
      <c r="D22" s="2939"/>
      <c r="E22" s="2939"/>
      <c r="F22" s="2939"/>
      <c r="G22" s="2939"/>
      <c r="H22" s="335"/>
      <c r="I22" s="2939" t="s">
        <v>119</v>
      </c>
      <c r="J22" s="2939"/>
      <c r="K22" s="2939"/>
      <c r="L22" s="2939"/>
      <c r="M22" s="2939"/>
      <c r="N22" s="337"/>
      <c r="O22" s="1144" t="s">
        <v>996</v>
      </c>
      <c r="P22" s="335"/>
    </row>
    <row r="23" spans="1:16" ht="21.75" customHeight="1" x14ac:dyDescent="0.2">
      <c r="A23" s="330" t="str">
        <f t="shared" si="0"/>
        <v>01</v>
      </c>
      <c r="B23" s="330">
        <v>100</v>
      </c>
      <c r="C23" s="2940"/>
      <c r="D23" s="2940"/>
      <c r="E23" s="2940"/>
      <c r="F23" s="2940"/>
      <c r="G23" s="2940"/>
      <c r="H23" s="335"/>
      <c r="I23" s="2940"/>
      <c r="J23" s="2940"/>
      <c r="K23" s="2940"/>
      <c r="L23" s="2940"/>
      <c r="M23" s="2940"/>
      <c r="N23" s="335"/>
      <c r="O23" s="625"/>
      <c r="P23" s="335"/>
    </row>
    <row r="24" spans="1:16" ht="14.85" customHeight="1" x14ac:dyDescent="0.2">
      <c r="A24" s="330" t="str">
        <f t="shared" si="0"/>
        <v>01</v>
      </c>
      <c r="B24" s="330">
        <v>120</v>
      </c>
      <c r="C24" s="2940"/>
      <c r="D24" s="2940"/>
      <c r="E24" s="2940"/>
      <c r="F24" s="2940"/>
      <c r="G24" s="2940"/>
      <c r="H24" s="335"/>
      <c r="I24" s="2940"/>
      <c r="J24" s="2940"/>
      <c r="K24" s="2940"/>
      <c r="L24" s="2940"/>
      <c r="M24" s="2940"/>
      <c r="N24" s="335"/>
      <c r="O24" s="625"/>
      <c r="P24" s="335"/>
    </row>
    <row r="25" spans="1:16" ht="14.85" customHeight="1" x14ac:dyDescent="0.2">
      <c r="A25" s="330" t="str">
        <f t="shared" si="0"/>
        <v>01</v>
      </c>
      <c r="B25" s="330">
        <v>140</v>
      </c>
      <c r="C25" s="2940"/>
      <c r="D25" s="2940"/>
      <c r="E25" s="2940"/>
      <c r="F25" s="2940"/>
      <c r="G25" s="2940"/>
      <c r="H25" s="335"/>
      <c r="I25" s="2940"/>
      <c r="J25" s="2940"/>
      <c r="K25" s="2940"/>
      <c r="L25" s="2940"/>
      <c r="M25" s="2940"/>
      <c r="N25" s="335"/>
      <c r="O25" s="625"/>
      <c r="P25" s="335"/>
    </row>
    <row r="26" spans="1:16" ht="14.85" customHeight="1" x14ac:dyDescent="0.2">
      <c r="A26" s="330" t="str">
        <f t="shared" si="0"/>
        <v>01</v>
      </c>
      <c r="B26" s="330">
        <v>160</v>
      </c>
      <c r="C26" s="2940"/>
      <c r="D26" s="2940"/>
      <c r="E26" s="2940"/>
      <c r="F26" s="2940"/>
      <c r="G26" s="2940"/>
      <c r="H26" s="335"/>
      <c r="I26" s="2940"/>
      <c r="J26" s="2940"/>
      <c r="K26" s="2940"/>
      <c r="L26" s="2940"/>
      <c r="M26" s="2940"/>
      <c r="N26" s="335"/>
      <c r="O26" s="625"/>
      <c r="P26" s="335"/>
    </row>
    <row r="27" spans="1:16" ht="14.85" customHeight="1" x14ac:dyDescent="0.2">
      <c r="A27" s="330" t="str">
        <f t="shared" si="0"/>
        <v>01</v>
      </c>
      <c r="B27" s="330">
        <v>180</v>
      </c>
      <c r="C27" s="2940"/>
      <c r="D27" s="2940"/>
      <c r="E27" s="2940"/>
      <c r="F27" s="2940"/>
      <c r="G27" s="2940"/>
      <c r="H27" s="335"/>
      <c r="I27" s="2940"/>
      <c r="J27" s="2940"/>
      <c r="K27" s="2940"/>
      <c r="L27" s="2940"/>
      <c r="M27" s="2940"/>
      <c r="N27" s="335"/>
      <c r="O27" s="625"/>
      <c r="P27" s="335"/>
    </row>
    <row r="28" spans="1:16" ht="14.85" customHeight="1" x14ac:dyDescent="0.2">
      <c r="A28" s="330" t="str">
        <f t="shared" si="0"/>
        <v>01</v>
      </c>
      <c r="B28" s="330">
        <v>200</v>
      </c>
      <c r="C28" s="2940"/>
      <c r="D28" s="2940"/>
      <c r="E28" s="2940"/>
      <c r="F28" s="2940"/>
      <c r="G28" s="2940"/>
      <c r="H28" s="335"/>
      <c r="I28" s="2940"/>
      <c r="J28" s="2940"/>
      <c r="K28" s="2940"/>
      <c r="L28" s="2940"/>
      <c r="M28" s="2940"/>
      <c r="N28" s="335"/>
      <c r="O28" s="625"/>
      <c r="P28" s="335"/>
    </row>
    <row r="29" spans="1:16" ht="14.85" customHeight="1" x14ac:dyDescent="0.2">
      <c r="A29" s="330" t="str">
        <f t="shared" si="0"/>
        <v>01</v>
      </c>
      <c r="B29" s="330">
        <v>220</v>
      </c>
      <c r="C29" s="2940"/>
      <c r="D29" s="2940"/>
      <c r="E29" s="2940"/>
      <c r="F29" s="2940"/>
      <c r="G29" s="2940"/>
      <c r="H29" s="335"/>
      <c r="I29" s="2940"/>
      <c r="J29" s="2940"/>
      <c r="K29" s="2940"/>
      <c r="L29" s="2940"/>
      <c r="M29" s="2940"/>
      <c r="N29" s="335"/>
      <c r="O29" s="625"/>
      <c r="P29" s="335"/>
    </row>
    <row r="30" spans="1:16" ht="14.85" customHeight="1" x14ac:dyDescent="0.2">
      <c r="A30" s="330" t="str">
        <f t="shared" si="0"/>
        <v>01</v>
      </c>
      <c r="B30" s="330">
        <v>240</v>
      </c>
      <c r="C30" s="2940"/>
      <c r="D30" s="2940"/>
      <c r="E30" s="2940"/>
      <c r="F30" s="2940"/>
      <c r="G30" s="2940"/>
      <c r="H30" s="335"/>
      <c r="I30" s="2940"/>
      <c r="J30" s="2940"/>
      <c r="K30" s="2940"/>
      <c r="L30" s="2940"/>
      <c r="M30" s="2940"/>
      <c r="N30" s="335"/>
      <c r="O30" s="625"/>
      <c r="P30" s="335"/>
    </row>
    <row r="31" spans="1:16" ht="14.85" customHeight="1" x14ac:dyDescent="0.2">
      <c r="A31" s="330" t="str">
        <f t="shared" si="0"/>
        <v>01</v>
      </c>
      <c r="B31" s="330">
        <v>260</v>
      </c>
      <c r="C31" s="2940"/>
      <c r="D31" s="2940"/>
      <c r="E31" s="2940"/>
      <c r="F31" s="2940"/>
      <c r="G31" s="2940"/>
      <c r="H31" s="335"/>
      <c r="I31" s="2940"/>
      <c r="J31" s="2940"/>
      <c r="K31" s="2940"/>
      <c r="L31" s="2940"/>
      <c r="M31" s="2940"/>
      <c r="N31" s="335"/>
      <c r="O31" s="625"/>
      <c r="P31" s="335"/>
    </row>
    <row r="32" spans="1:16" ht="18.75" customHeight="1" thickBot="1" x14ac:dyDescent="0.25">
      <c r="A32" s="330" t="str">
        <f t="shared" si="0"/>
        <v>01</v>
      </c>
      <c r="B32" s="330">
        <v>280</v>
      </c>
      <c r="C32" s="339"/>
      <c r="D32" s="335"/>
      <c r="E32" s="335"/>
      <c r="F32" s="335"/>
      <c r="G32" s="335"/>
      <c r="H32" s="335"/>
      <c r="I32" s="335"/>
      <c r="J32" s="335"/>
      <c r="M32" s="355" t="s">
        <v>84</v>
      </c>
      <c r="N32" s="335"/>
      <c r="O32" s="328">
        <f>SUM(O23:O31)</f>
        <v>0</v>
      </c>
      <c r="P32" s="335"/>
    </row>
    <row r="33" spans="1:16" ht="8.1" customHeight="1" thickTop="1" x14ac:dyDescent="0.2">
      <c r="A33" s="330" t="str">
        <f t="shared" ref="A33:A56" si="1">AgyIdx</f>
        <v>01</v>
      </c>
      <c r="C33" s="339"/>
      <c r="D33" s="335"/>
      <c r="E33" s="335"/>
      <c r="F33" s="335"/>
      <c r="G33" s="335"/>
      <c r="H33" s="335"/>
      <c r="I33" s="335"/>
      <c r="J33" s="335"/>
      <c r="K33" s="355"/>
      <c r="L33" s="335"/>
      <c r="M33" s="335"/>
      <c r="N33" s="335"/>
      <c r="O33" s="335"/>
      <c r="P33" s="335"/>
    </row>
    <row r="34" spans="1:16" ht="8.1" customHeight="1" x14ac:dyDescent="0.2">
      <c r="A34" s="330" t="str">
        <f t="shared" si="1"/>
        <v>01</v>
      </c>
      <c r="C34" s="339"/>
      <c r="D34" s="335"/>
      <c r="E34" s="335"/>
      <c r="F34" s="335"/>
      <c r="G34" s="335"/>
      <c r="H34" s="335"/>
      <c r="I34" s="335"/>
      <c r="J34" s="335"/>
      <c r="K34" s="335"/>
      <c r="L34" s="335"/>
      <c r="M34" s="335"/>
      <c r="N34" s="335"/>
      <c r="O34" s="335"/>
      <c r="P34" s="335"/>
    </row>
    <row r="35" spans="1:16" ht="11.1" customHeight="1" x14ac:dyDescent="0.2">
      <c r="A35" s="330" t="str">
        <f t="shared" si="1"/>
        <v>01</v>
      </c>
      <c r="C35" s="347" t="s">
        <v>517</v>
      </c>
      <c r="D35" s="335" t="s">
        <v>431</v>
      </c>
      <c r="E35" s="335"/>
      <c r="F35" s="335"/>
      <c r="G35" s="335"/>
      <c r="H35" s="335"/>
      <c r="I35" s="335"/>
      <c r="J35" s="335"/>
      <c r="K35" s="335"/>
      <c r="L35" s="335"/>
      <c r="M35" s="335"/>
      <c r="N35" s="335"/>
      <c r="O35" s="335"/>
      <c r="P35" s="335"/>
    </row>
    <row r="36" spans="1:16" ht="11.1" customHeight="1" x14ac:dyDescent="0.25">
      <c r="A36" s="330" t="str">
        <f t="shared" si="1"/>
        <v>01</v>
      </c>
      <c r="C36" s="339"/>
      <c r="D36" s="335"/>
      <c r="E36" s="411" t="s">
        <v>3627</v>
      </c>
      <c r="F36" s="335"/>
      <c r="G36" s="335"/>
      <c r="H36" s="335"/>
      <c r="I36" s="335"/>
      <c r="J36" s="335"/>
      <c r="K36" s="335"/>
      <c r="L36" s="335"/>
      <c r="M36" s="335"/>
      <c r="N36" s="335"/>
      <c r="O36" s="335"/>
      <c r="P36" s="335"/>
    </row>
    <row r="37" spans="1:16" ht="11.1" customHeight="1" x14ac:dyDescent="0.25">
      <c r="A37" s="330" t="str">
        <f t="shared" si="1"/>
        <v>01</v>
      </c>
      <c r="C37" s="339"/>
      <c r="D37" s="335"/>
      <c r="E37" s="900" t="s">
        <v>3628</v>
      </c>
      <c r="F37" s="337"/>
      <c r="G37" s="337"/>
      <c r="H37" s="337"/>
      <c r="I37" s="337"/>
      <c r="J37" s="337"/>
      <c r="K37" s="337"/>
      <c r="L37" s="337"/>
      <c r="M37" s="337"/>
      <c r="N37" s="337"/>
      <c r="O37" s="335"/>
      <c r="P37" s="335"/>
    </row>
    <row r="38" spans="1:16" ht="11.1" customHeight="1" x14ac:dyDescent="0.25">
      <c r="A38" s="330" t="str">
        <f t="shared" si="1"/>
        <v>01</v>
      </c>
      <c r="C38" s="339"/>
      <c r="D38" s="335"/>
      <c r="E38" s="361" t="s">
        <v>187</v>
      </c>
      <c r="F38" s="359"/>
      <c r="G38" s="359"/>
      <c r="H38" s="359"/>
      <c r="I38" s="359"/>
      <c r="J38" s="359"/>
      <c r="K38" s="335"/>
      <c r="L38" s="335"/>
      <c r="M38" s="335"/>
      <c r="N38" s="335"/>
      <c r="O38" s="335"/>
      <c r="P38" s="335"/>
    </row>
    <row r="39" spans="1:16" ht="12" customHeight="1" thickBot="1" x14ac:dyDescent="0.3">
      <c r="A39" s="330" t="str">
        <f t="shared" si="1"/>
        <v>01</v>
      </c>
      <c r="C39" s="339"/>
      <c r="D39" s="335"/>
      <c r="E39" s="362" t="s">
        <v>167</v>
      </c>
      <c r="F39" s="360"/>
      <c r="G39" s="360"/>
      <c r="H39" s="360"/>
      <c r="I39" s="360"/>
      <c r="J39" s="360"/>
      <c r="K39" s="335"/>
      <c r="L39" s="335"/>
      <c r="M39" s="335"/>
      <c r="N39" s="335"/>
      <c r="O39" s="335"/>
      <c r="P39" s="335"/>
    </row>
    <row r="40" spans="1:16" ht="8.1" customHeight="1" thickTop="1" x14ac:dyDescent="0.2">
      <c r="A40" s="330" t="str">
        <f t="shared" si="1"/>
        <v>01</v>
      </c>
      <c r="C40" s="339"/>
      <c r="D40" s="335"/>
      <c r="E40" s="335"/>
      <c r="F40" s="335"/>
      <c r="G40" s="335"/>
      <c r="H40" s="335"/>
      <c r="I40" s="335"/>
      <c r="J40" s="335"/>
      <c r="K40" s="335"/>
      <c r="L40" s="335"/>
      <c r="M40" s="335"/>
      <c r="N40" s="335"/>
      <c r="O40" s="335"/>
      <c r="P40" s="335"/>
    </row>
    <row r="41" spans="1:16" ht="11.1" customHeight="1" x14ac:dyDescent="0.2">
      <c r="A41" s="330" t="str">
        <f t="shared" si="1"/>
        <v>01</v>
      </c>
      <c r="C41" s="347" t="s">
        <v>518</v>
      </c>
      <c r="D41" s="335" t="s">
        <v>774</v>
      </c>
      <c r="E41" s="335"/>
      <c r="F41" s="335"/>
      <c r="G41" s="335"/>
      <c r="H41" s="335"/>
      <c r="I41" s="335"/>
      <c r="J41" s="335"/>
      <c r="K41" s="335"/>
      <c r="L41" s="335"/>
      <c r="M41" s="335"/>
      <c r="N41" s="335"/>
      <c r="O41" s="335"/>
      <c r="P41" s="335"/>
    </row>
    <row r="42" spans="1:16" ht="11.1" customHeight="1" x14ac:dyDescent="0.2">
      <c r="A42" s="330" t="str">
        <f t="shared" si="1"/>
        <v>01</v>
      </c>
      <c r="C42" s="339"/>
      <c r="D42" s="335" t="s">
        <v>1210</v>
      </c>
      <c r="E42" s="335"/>
      <c r="F42" s="335"/>
      <c r="G42" s="335"/>
      <c r="H42" s="335"/>
      <c r="I42" s="335"/>
      <c r="J42" s="335"/>
      <c r="K42" s="335"/>
      <c r="L42" s="335"/>
      <c r="M42" s="335"/>
      <c r="N42" s="335"/>
      <c r="O42" s="335"/>
      <c r="P42" s="335"/>
    </row>
    <row r="43" spans="1:16" ht="10.35" customHeight="1" x14ac:dyDescent="0.2">
      <c r="A43" s="330" t="str">
        <f t="shared" si="1"/>
        <v>01</v>
      </c>
      <c r="C43" s="313"/>
      <c r="D43" s="335"/>
      <c r="E43" s="335"/>
      <c r="F43" s="335"/>
      <c r="G43" s="335"/>
      <c r="H43" s="335"/>
      <c r="I43" s="335"/>
      <c r="J43" s="335"/>
      <c r="K43" s="335"/>
      <c r="L43" s="335"/>
      <c r="M43" s="335"/>
      <c r="N43" s="335"/>
      <c r="O43" s="335"/>
      <c r="P43" s="335"/>
    </row>
    <row r="44" spans="1:16" ht="10.35" customHeight="1" x14ac:dyDescent="0.2">
      <c r="A44" s="330" t="str">
        <f t="shared" si="1"/>
        <v>01</v>
      </c>
      <c r="C44" s="335"/>
      <c r="D44" s="335"/>
      <c r="E44" s="335"/>
      <c r="F44" s="335"/>
      <c r="G44" s="335"/>
    </row>
    <row r="45" spans="1:16" ht="12" customHeight="1" x14ac:dyDescent="0.2">
      <c r="A45" s="330" t="str">
        <f t="shared" si="1"/>
        <v>01</v>
      </c>
      <c r="C45" s="344"/>
      <c r="D45" s="335"/>
      <c r="E45" s="335"/>
      <c r="F45" s="335"/>
      <c r="G45" s="335"/>
    </row>
    <row r="46" spans="1:16" x14ac:dyDescent="0.2">
      <c r="A46" s="330" t="str">
        <f t="shared" si="1"/>
        <v>01</v>
      </c>
    </row>
    <row r="47" spans="1:16" x14ac:dyDescent="0.2">
      <c r="A47" s="330" t="str">
        <f t="shared" si="1"/>
        <v>01</v>
      </c>
    </row>
    <row r="48" spans="1:16" x14ac:dyDescent="0.2">
      <c r="A48" s="330" t="str">
        <f t="shared" si="1"/>
        <v>01</v>
      </c>
    </row>
    <row r="49" spans="1:1" x14ac:dyDescent="0.2">
      <c r="A49" s="330" t="str">
        <f t="shared" si="1"/>
        <v>01</v>
      </c>
    </row>
    <row r="50" spans="1:1" x14ac:dyDescent="0.2">
      <c r="A50" s="330" t="str">
        <f t="shared" si="1"/>
        <v>01</v>
      </c>
    </row>
    <row r="51" spans="1:1" x14ac:dyDescent="0.2">
      <c r="A51" s="330" t="str">
        <f t="shared" si="1"/>
        <v>01</v>
      </c>
    </row>
    <row r="52" spans="1:1" x14ac:dyDescent="0.2">
      <c r="A52" s="330" t="str">
        <f t="shared" si="1"/>
        <v>01</v>
      </c>
    </row>
    <row r="53" spans="1:1" x14ac:dyDescent="0.2">
      <c r="A53" s="330" t="str">
        <f t="shared" si="1"/>
        <v>01</v>
      </c>
    </row>
    <row r="54" spans="1:1" x14ac:dyDescent="0.2">
      <c r="A54" s="330" t="str">
        <f t="shared" si="1"/>
        <v>01</v>
      </c>
    </row>
    <row r="55" spans="1:1" x14ac:dyDescent="0.2">
      <c r="A55" s="330" t="str">
        <f t="shared" si="1"/>
        <v>01</v>
      </c>
    </row>
    <row r="56" spans="1:1" x14ac:dyDescent="0.2">
      <c r="A56" s="330" t="str">
        <f t="shared" si="1"/>
        <v>01</v>
      </c>
    </row>
  </sheetData>
  <sheetProtection algorithmName="SHA-512" hashValue="ZPPG2bvILFzmtYcMytZ0qUMJIEnY8nWVKDEQizN33l9aRY4XRZckyPT8kCFMB3gdr8NnXUL8AtbF/6fRm5Yqlg==" saltValue="B5FKOPvatbTSZ2F9CtJQDg==" spinCount="100000" sheet="1" objects="1" scenarios="1" autoFilter="0"/>
  <customSheetViews>
    <customSheetView guid="{B08879A4-635B-4C39-9937-AC7883D562FC}" showGridLines="0" fitToPage="1" hiddenColumns="1" topLeftCell="C1">
      <selection activeCell="B12" sqref="B12"/>
      <pageMargins left="0.5" right="0.5" top="0.5" bottom="0.5" header="0.5" footer="0.25"/>
      <pageSetup scale="96" orientation="landscape" r:id="rId1"/>
      <headerFooter alignWithMargins="0">
        <oddFooter>&amp;R&amp;A</oddFooter>
      </headerFooter>
    </customSheetView>
    <customSheetView guid="{1250FD07-FF56-4A9D-AF9E-C27124A7EBE9}" showGridLines="0" fitToPage="1" showRuler="0">
      <selection activeCell="D8" sqref="D8:E8"/>
      <pageMargins left="0.5" right="0.5" top="0.5" bottom="0.5" header="0.5" footer="0.25"/>
      <pageSetup orientation="landscape" r:id="rId2"/>
      <headerFooter alignWithMargins="0">
        <oddFooter>&amp;R&amp;A</oddFooter>
      </headerFooter>
    </customSheetView>
    <customSheetView guid="{BEA4BE86-04D1-4C96-9358-7A260B9D2B2D}" showGridLines="0" fitToPage="1" showRuler="0">
      <selection activeCell="D8" sqref="D8:E8"/>
      <pageMargins left="0.5" right="0.5" top="0.5" bottom="0.5" header="0.5" footer="0.25"/>
      <pageSetup orientation="landscape" r:id="rId3"/>
      <headerFooter alignWithMargins="0">
        <oddFooter>&amp;R&amp;A</oddFooter>
      </headerFooter>
    </customSheetView>
    <customSheetView guid="{9FCFC836-1CA5-48BF-958D-24D2EA94B219}" showGridLines="0" fitToPage="1" hiddenColumns="1" topLeftCell="C1">
      <selection activeCell="B12" sqref="B12"/>
      <pageMargins left="0.5" right="0.5" top="0.5" bottom="0.5" header="0.5" footer="0.25"/>
      <pageSetup scale="96" orientation="landscape" r:id="rId4"/>
      <headerFooter alignWithMargins="0">
        <oddFooter>&amp;R&amp;A</oddFooter>
      </headerFooter>
    </customSheetView>
  </customSheetViews>
  <mergeCells count="34">
    <mergeCell ref="P1:P3"/>
    <mergeCell ref="C11:O12"/>
    <mergeCell ref="K6:O6"/>
    <mergeCell ref="K7:O7"/>
    <mergeCell ref="K8:O8"/>
    <mergeCell ref="F8:G8"/>
    <mergeCell ref="C1:O1"/>
    <mergeCell ref="I27:M27"/>
    <mergeCell ref="I28:M28"/>
    <mergeCell ref="C28:G28"/>
    <mergeCell ref="C31:G31"/>
    <mergeCell ref="C30:G30"/>
    <mergeCell ref="I30:M30"/>
    <mergeCell ref="I31:M31"/>
    <mergeCell ref="I29:M29"/>
    <mergeCell ref="C29:G29"/>
    <mergeCell ref="C27:G27"/>
    <mergeCell ref="C21:G21"/>
    <mergeCell ref="I20:K20"/>
    <mergeCell ref="I21:M21"/>
    <mergeCell ref="C2:O2"/>
    <mergeCell ref="C3:O3"/>
    <mergeCell ref="C4:O4"/>
    <mergeCell ref="F6:G6"/>
    <mergeCell ref="C22:G22"/>
    <mergeCell ref="I22:M22"/>
    <mergeCell ref="C26:G26"/>
    <mergeCell ref="I25:M25"/>
    <mergeCell ref="I26:M26"/>
    <mergeCell ref="C23:G23"/>
    <mergeCell ref="C24:G24"/>
    <mergeCell ref="I23:M23"/>
    <mergeCell ref="I24:M24"/>
    <mergeCell ref="C25:G25"/>
  </mergeCells>
  <phoneticPr fontId="15" type="noConversion"/>
  <conditionalFormatting sqref="P1:P3">
    <cfRule type="cellIs" dxfId="28" priority="1" stopIfTrue="1" operator="equal">
      <formula>"na"</formula>
    </cfRule>
  </conditionalFormatting>
  <hyperlinks>
    <hyperlink ref="C1:O1" location="Index!A1" display="Index!A1" xr:uid="{00000000-0004-0000-4300-000000000000}"/>
  </hyperlinks>
  <pageMargins left="0.5" right="0.5" top="0.5" bottom="0.5" header="0.5" footer="0.25"/>
  <pageSetup scale="96" orientation="landscape" r:id="rId5"/>
  <headerFooter alignWithMargins="0">
    <oddFooter>&amp;R&amp;A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pageSetUpPr fitToPage="1"/>
  </sheetPr>
  <dimension ref="A1:R70"/>
  <sheetViews>
    <sheetView showGridLines="0" topLeftCell="C1" zoomScaleNormal="100" workbookViewId="0">
      <selection activeCell="O39" sqref="O39"/>
    </sheetView>
  </sheetViews>
  <sheetFormatPr defaultColWidth="9.42578125" defaultRowHeight="12" x14ac:dyDescent="0.2"/>
  <cols>
    <col min="1" max="2" width="0" style="330" hidden="1" customWidth="1"/>
    <col min="3" max="3" width="2" style="330" customWidth="1"/>
    <col min="4" max="4" width="5.5703125" style="330" customWidth="1"/>
    <col min="5" max="5" width="8.42578125" style="330" customWidth="1"/>
    <col min="6" max="6" width="12.5703125" style="330" customWidth="1"/>
    <col min="7" max="7" width="14.5703125" style="330" bestFit="1" customWidth="1"/>
    <col min="8" max="8" width="12.5703125" style="330" customWidth="1"/>
    <col min="9" max="9" width="8.5703125" style="330" customWidth="1"/>
    <col min="10" max="10" width="1.42578125" style="330" customWidth="1"/>
    <col min="11" max="11" width="17.5703125" style="330" customWidth="1"/>
    <col min="12" max="12" width="1.42578125" style="330" customWidth="1"/>
    <col min="13" max="13" width="16.5703125" style="330" customWidth="1"/>
    <col min="14" max="14" width="1.42578125" style="330" customWidth="1"/>
    <col min="15" max="15" width="17.5703125" style="330" customWidth="1"/>
    <col min="16" max="16" width="4.5703125" style="330" customWidth="1"/>
    <col min="17" max="17" width="9.42578125" style="330"/>
    <col min="18" max="18" width="9.42578125" style="2170"/>
    <col min="19" max="16384" width="9.42578125" style="330"/>
  </cols>
  <sheetData>
    <row r="1" spans="1:18" ht="15.75" x14ac:dyDescent="0.25">
      <c r="A1" s="330" t="str">
        <f t="shared" ref="A1:A42" si="0">AgyIdx</f>
        <v>01</v>
      </c>
      <c r="C1" s="2449" t="str">
        <f>+Index!$A$1</f>
        <v xml:space="preserve">                                                               Office of the State Controller                                                                </v>
      </c>
      <c r="D1" s="2449"/>
      <c r="E1" s="2449"/>
      <c r="F1" s="2449"/>
      <c r="G1" s="2449"/>
      <c r="H1" s="2449"/>
      <c r="I1" s="2449"/>
      <c r="J1" s="2449"/>
      <c r="K1" s="2449"/>
      <c r="L1" s="2449"/>
      <c r="M1" s="2449"/>
      <c r="N1" s="2449"/>
      <c r="O1" s="2449"/>
      <c r="P1" s="2510" t="str">
        <f>IF(Index!$B$94="na","NA","")</f>
        <v/>
      </c>
    </row>
    <row r="2" spans="1:18" ht="15.75" x14ac:dyDescent="0.25">
      <c r="A2" s="330" t="str">
        <f t="shared" si="0"/>
        <v>01</v>
      </c>
      <c r="C2" s="2431" t="str">
        <f>+Index!$A$2</f>
        <v>2022 ACFR Worksheets</v>
      </c>
      <c r="D2" s="2431"/>
      <c r="E2" s="2431"/>
      <c r="F2" s="2431"/>
      <c r="G2" s="2431"/>
      <c r="H2" s="2431"/>
      <c r="I2" s="2431"/>
      <c r="J2" s="2431"/>
      <c r="K2" s="2431"/>
      <c r="L2" s="2431"/>
      <c r="M2" s="2431"/>
      <c r="N2" s="2431"/>
      <c r="O2" s="2431"/>
      <c r="P2" s="2510"/>
    </row>
    <row r="3" spans="1:18" ht="15.75" x14ac:dyDescent="0.25">
      <c r="A3" s="330" t="str">
        <f t="shared" si="0"/>
        <v>01</v>
      </c>
      <c r="C3" s="2431" t="s">
        <v>1075</v>
      </c>
      <c r="D3" s="2431"/>
      <c r="E3" s="2431"/>
      <c r="F3" s="2431"/>
      <c r="G3" s="2431"/>
      <c r="H3" s="2431"/>
      <c r="I3" s="2431"/>
      <c r="J3" s="2431"/>
      <c r="K3" s="2431"/>
      <c r="L3" s="2431"/>
      <c r="M3" s="2431"/>
      <c r="N3" s="2431"/>
      <c r="O3" s="2431"/>
      <c r="P3" s="2510"/>
    </row>
    <row r="4" spans="1:18" ht="15.75" x14ac:dyDescent="0.25">
      <c r="A4" s="330" t="str">
        <f t="shared" si="0"/>
        <v>01</v>
      </c>
      <c r="C4" s="2431" t="s">
        <v>3603</v>
      </c>
      <c r="D4" s="2431"/>
      <c r="E4" s="2431"/>
      <c r="F4" s="2431"/>
      <c r="G4" s="2431"/>
      <c r="H4" s="2431"/>
      <c r="I4" s="2431"/>
      <c r="J4" s="2431"/>
      <c r="K4" s="2431"/>
      <c r="L4" s="2431"/>
      <c r="M4" s="2431"/>
      <c r="N4" s="2431"/>
      <c r="O4" s="2431"/>
      <c r="P4" s="281"/>
    </row>
    <row r="5" spans="1:18" ht="15" customHeight="1" x14ac:dyDescent="0.2">
      <c r="A5" s="330" t="str">
        <f t="shared" si="0"/>
        <v>01</v>
      </c>
      <c r="K5" s="430"/>
    </row>
    <row r="6" spans="1:18" ht="15" customHeight="1" x14ac:dyDescent="0.2">
      <c r="A6" s="330" t="str">
        <f t="shared" si="0"/>
        <v>01</v>
      </c>
      <c r="C6" s="14" t="s">
        <v>327</v>
      </c>
      <c r="F6" s="2596" t="str">
        <f>+Index!$E$10</f>
        <v>01</v>
      </c>
      <c r="G6" s="2596"/>
      <c r="I6" s="9" t="s">
        <v>1154</v>
      </c>
      <c r="K6" s="2927" t="str">
        <f>+Index!$E$11</f>
        <v>North Carolina General Assembly</v>
      </c>
      <c r="L6" s="2927"/>
      <c r="M6" s="2927"/>
      <c r="N6" s="2927"/>
      <c r="O6" s="2927"/>
    </row>
    <row r="7" spans="1:18" ht="15" customHeight="1" x14ac:dyDescent="0.2">
      <c r="A7" s="330" t="str">
        <f t="shared" si="0"/>
        <v>01</v>
      </c>
      <c r="I7" s="9" t="s">
        <v>972</v>
      </c>
      <c r="K7" s="2929" t="str">
        <f>CONCATENATE(Index!$E$12," ",Index!$E$14)</f>
        <v xml:space="preserve"> </v>
      </c>
      <c r="L7" s="2929"/>
      <c r="M7" s="2929"/>
      <c r="N7" s="2929"/>
      <c r="O7" s="2929"/>
    </row>
    <row r="8" spans="1:18" ht="15" customHeight="1" x14ac:dyDescent="0.2">
      <c r="A8" s="330" t="str">
        <f t="shared" si="0"/>
        <v>01</v>
      </c>
      <c r="C8" s="8" t="s">
        <v>477</v>
      </c>
      <c r="D8" s="272"/>
      <c r="F8" s="2921" t="s">
        <v>971</v>
      </c>
      <c r="G8" s="2921"/>
      <c r="H8" s="357"/>
      <c r="I8" s="9" t="s">
        <v>348</v>
      </c>
      <c r="K8" s="2883">
        <f>+Index!$E$13</f>
        <v>0</v>
      </c>
      <c r="L8" s="2883"/>
      <c r="M8" s="2883"/>
      <c r="N8" s="2883"/>
      <c r="O8" s="2883"/>
    </row>
    <row r="9" spans="1:18" ht="15" customHeight="1" thickBot="1" x14ac:dyDescent="0.25">
      <c r="A9" s="330" t="str">
        <f t="shared" si="0"/>
        <v>01</v>
      </c>
      <c r="C9" s="331"/>
      <c r="D9" s="332"/>
      <c r="E9" s="332"/>
      <c r="F9" s="333"/>
      <c r="G9" s="333"/>
      <c r="H9" s="333"/>
      <c r="I9" s="333"/>
      <c r="J9" s="333"/>
      <c r="K9" s="333"/>
      <c r="L9" s="333"/>
      <c r="M9" s="334"/>
      <c r="N9" s="333"/>
      <c r="O9" s="333"/>
    </row>
    <row r="10" spans="1:18" ht="15" customHeight="1" x14ac:dyDescent="0.2">
      <c r="A10" s="330" t="str">
        <f t="shared" si="0"/>
        <v>01</v>
      </c>
      <c r="C10" s="346"/>
      <c r="D10" s="388"/>
      <c r="E10" s="388"/>
      <c r="M10" s="9"/>
    </row>
    <row r="11" spans="1:18" ht="15" customHeight="1" x14ac:dyDescent="0.2">
      <c r="A11" s="330" t="str">
        <f t="shared" si="0"/>
        <v>01</v>
      </c>
      <c r="C11" s="1422" t="s">
        <v>3604</v>
      </c>
      <c r="D11" s="388"/>
      <c r="E11" s="388"/>
      <c r="M11" s="9"/>
    </row>
    <row r="12" spans="1:18" ht="15" customHeight="1" x14ac:dyDescent="0.2">
      <c r="A12" s="330" t="str">
        <f t="shared" si="0"/>
        <v>01</v>
      </c>
      <c r="C12" s="2943" t="s">
        <v>4922</v>
      </c>
      <c r="D12" s="2943"/>
      <c r="E12" s="2943"/>
      <c r="F12" s="2943"/>
      <c r="G12" s="2943"/>
      <c r="H12" s="2943"/>
      <c r="I12" s="2943"/>
      <c r="J12" s="2943"/>
      <c r="K12" s="2943"/>
      <c r="L12" s="2943"/>
      <c r="M12" s="2943"/>
      <c r="N12" s="2943"/>
      <c r="O12" s="2943"/>
    </row>
    <row r="13" spans="1:18" ht="15" customHeight="1" x14ac:dyDescent="0.2">
      <c r="A13" s="330" t="str">
        <f t="shared" si="0"/>
        <v>01</v>
      </c>
      <c r="C13" s="2943"/>
      <c r="D13" s="2943"/>
      <c r="E13" s="2943"/>
      <c r="F13" s="2943"/>
      <c r="G13" s="2943"/>
      <c r="H13" s="2943"/>
      <c r="I13" s="2943"/>
      <c r="J13" s="2943"/>
      <c r="K13" s="2943"/>
      <c r="L13" s="2943"/>
      <c r="M13" s="2943"/>
      <c r="N13" s="2943"/>
      <c r="O13" s="2943"/>
    </row>
    <row r="14" spans="1:18" x14ac:dyDescent="0.2">
      <c r="A14" s="330" t="str">
        <f t="shared" si="0"/>
        <v>01</v>
      </c>
      <c r="D14" s="335"/>
      <c r="E14" s="335"/>
      <c r="F14" s="335"/>
      <c r="G14" s="335"/>
      <c r="H14" s="335"/>
      <c r="I14" s="335"/>
      <c r="J14" s="335"/>
      <c r="K14" s="2934" t="s">
        <v>3914</v>
      </c>
      <c r="L14" s="2934"/>
      <c r="M14" s="2934"/>
      <c r="N14" s="337"/>
      <c r="O14" s="337" t="s">
        <v>1158</v>
      </c>
    </row>
    <row r="15" spans="1:18" ht="12.75" customHeight="1" x14ac:dyDescent="0.2">
      <c r="A15" s="330" t="str">
        <f t="shared" si="0"/>
        <v>01</v>
      </c>
      <c r="C15" s="2934" t="s">
        <v>70</v>
      </c>
      <c r="D15" s="2934"/>
      <c r="E15" s="2934"/>
      <c r="F15" s="2934"/>
      <c r="G15" s="2934"/>
      <c r="H15" s="2934"/>
      <c r="I15" s="2934"/>
      <c r="J15" s="335"/>
      <c r="K15" s="2934" t="s">
        <v>505</v>
      </c>
      <c r="L15" s="2934"/>
      <c r="M15" s="2934"/>
      <c r="N15" s="337"/>
      <c r="O15" s="337" t="s">
        <v>814</v>
      </c>
    </row>
    <row r="16" spans="1:18" ht="22.5" customHeight="1" x14ac:dyDescent="0.2">
      <c r="A16" s="330" t="str">
        <f t="shared" si="0"/>
        <v>01</v>
      </c>
      <c r="C16" s="2945" t="s">
        <v>118</v>
      </c>
      <c r="D16" s="2945"/>
      <c r="E16" s="2945"/>
      <c r="F16" s="2945"/>
      <c r="G16" s="2945"/>
      <c r="H16" s="2945"/>
      <c r="I16" s="2945"/>
      <c r="J16" s="1430"/>
      <c r="K16" s="2945" t="s">
        <v>119</v>
      </c>
      <c r="L16" s="2945"/>
      <c r="M16" s="2945"/>
      <c r="N16" s="1430"/>
      <c r="O16" s="1429" t="s">
        <v>996</v>
      </c>
      <c r="P16" s="335"/>
      <c r="R16" s="2171" t="s">
        <v>5097</v>
      </c>
    </row>
    <row r="17" spans="1:18" ht="14.85" customHeight="1" x14ac:dyDescent="0.2">
      <c r="A17" s="330" t="str">
        <f t="shared" si="0"/>
        <v>01</v>
      </c>
      <c r="B17" s="330">
        <v>100</v>
      </c>
      <c r="C17" s="2944" t="s">
        <v>5140</v>
      </c>
      <c r="D17" s="2944"/>
      <c r="E17" s="2944"/>
      <c r="F17" s="2944"/>
      <c r="G17" s="2944"/>
      <c r="H17" s="2944"/>
      <c r="I17" s="2944"/>
      <c r="J17" s="335"/>
      <c r="K17" s="2944" t="s">
        <v>5159</v>
      </c>
      <c r="L17" s="2944"/>
      <c r="M17" s="2944"/>
      <c r="N17" s="335"/>
      <c r="O17" s="625"/>
      <c r="P17" s="335"/>
      <c r="R17" s="2170" t="str">
        <f>IF(C17="Other hedge funds","Hedge funds",IF(C17="Foreign Common Stock","Foreign stocks",IF(C17="","",C17)))</f>
        <v>Select Investment Type (Click here)</v>
      </c>
    </row>
    <row r="18" spans="1:18" ht="14.85" customHeight="1" x14ac:dyDescent="0.2">
      <c r="A18" s="330" t="str">
        <f t="shared" si="0"/>
        <v>01</v>
      </c>
      <c r="B18" s="330">
        <v>120</v>
      </c>
      <c r="C18" s="2944" t="s">
        <v>5140</v>
      </c>
      <c r="D18" s="2944"/>
      <c r="E18" s="2944"/>
      <c r="F18" s="2944"/>
      <c r="G18" s="2944"/>
      <c r="H18" s="2944"/>
      <c r="I18" s="2944"/>
      <c r="J18" s="335"/>
      <c r="K18" s="2944" t="s">
        <v>5159</v>
      </c>
      <c r="L18" s="2944"/>
      <c r="M18" s="2944"/>
      <c r="N18" s="335"/>
      <c r="O18" s="625"/>
      <c r="P18" s="335"/>
      <c r="R18" s="2170" t="str">
        <f t="shared" ref="R18:R40" si="1">IF(C18="Other hedge funds","Hedge funds",IF(C18="","",C18))</f>
        <v>Select Investment Type (Click here)</v>
      </c>
    </row>
    <row r="19" spans="1:18" ht="14.85" customHeight="1" x14ac:dyDescent="0.2">
      <c r="A19" s="330" t="str">
        <f t="shared" si="0"/>
        <v>01</v>
      </c>
      <c r="B19" s="330">
        <v>140</v>
      </c>
      <c r="C19" s="2944" t="s">
        <v>5140</v>
      </c>
      <c r="D19" s="2944"/>
      <c r="E19" s="2944"/>
      <c r="F19" s="2944"/>
      <c r="G19" s="2944"/>
      <c r="H19" s="2944"/>
      <c r="I19" s="2944"/>
      <c r="J19" s="335"/>
      <c r="K19" s="2944" t="s">
        <v>5159</v>
      </c>
      <c r="L19" s="2944"/>
      <c r="M19" s="2944"/>
      <c r="N19" s="335"/>
      <c r="O19" s="625"/>
      <c r="P19" s="335"/>
      <c r="R19" s="2170" t="str">
        <f t="shared" si="1"/>
        <v>Select Investment Type (Click here)</v>
      </c>
    </row>
    <row r="20" spans="1:18" ht="14.85" customHeight="1" x14ac:dyDescent="0.2">
      <c r="A20" s="330" t="str">
        <f t="shared" si="0"/>
        <v>01</v>
      </c>
      <c r="B20" s="330">
        <v>160</v>
      </c>
      <c r="C20" s="2944" t="s">
        <v>5140</v>
      </c>
      <c r="D20" s="2944"/>
      <c r="E20" s="2944"/>
      <c r="F20" s="2944"/>
      <c r="G20" s="2944"/>
      <c r="H20" s="2944"/>
      <c r="I20" s="2944"/>
      <c r="J20" s="335"/>
      <c r="K20" s="2944" t="s">
        <v>5159</v>
      </c>
      <c r="L20" s="2944"/>
      <c r="M20" s="2944"/>
      <c r="N20" s="335"/>
      <c r="O20" s="625"/>
      <c r="P20" s="335"/>
      <c r="R20" s="2170" t="str">
        <f t="shared" si="1"/>
        <v>Select Investment Type (Click here)</v>
      </c>
    </row>
    <row r="21" spans="1:18" ht="14.85" customHeight="1" x14ac:dyDescent="0.2">
      <c r="A21" s="330" t="str">
        <f t="shared" si="0"/>
        <v>01</v>
      </c>
      <c r="B21" s="330">
        <v>180</v>
      </c>
      <c r="C21" s="2944" t="s">
        <v>5140</v>
      </c>
      <c r="D21" s="2944"/>
      <c r="E21" s="2944"/>
      <c r="F21" s="2944"/>
      <c r="G21" s="2944"/>
      <c r="H21" s="2944"/>
      <c r="I21" s="2944"/>
      <c r="J21" s="335"/>
      <c r="K21" s="2944" t="s">
        <v>5159</v>
      </c>
      <c r="L21" s="2944"/>
      <c r="M21" s="2944"/>
      <c r="N21" s="335"/>
      <c r="O21" s="625"/>
      <c r="P21" s="335"/>
      <c r="R21" s="2170" t="str">
        <f t="shared" si="1"/>
        <v>Select Investment Type (Click here)</v>
      </c>
    </row>
    <row r="22" spans="1:18" ht="14.85" customHeight="1" x14ac:dyDescent="0.2">
      <c r="A22" s="330" t="str">
        <f t="shared" si="0"/>
        <v>01</v>
      </c>
      <c r="B22" s="330">
        <v>200</v>
      </c>
      <c r="C22" s="2944" t="s">
        <v>5140</v>
      </c>
      <c r="D22" s="2944"/>
      <c r="E22" s="2944"/>
      <c r="F22" s="2944"/>
      <c r="G22" s="2944"/>
      <c r="H22" s="2944"/>
      <c r="I22" s="2944"/>
      <c r="J22" s="335"/>
      <c r="K22" s="2944" t="s">
        <v>5159</v>
      </c>
      <c r="L22" s="2944"/>
      <c r="M22" s="2944"/>
      <c r="N22" s="335"/>
      <c r="O22" s="625"/>
      <c r="P22" s="335"/>
      <c r="R22" s="2170" t="str">
        <f t="shared" si="1"/>
        <v>Select Investment Type (Click here)</v>
      </c>
    </row>
    <row r="23" spans="1:18" ht="14.85" customHeight="1" x14ac:dyDescent="0.2">
      <c r="A23" s="330" t="str">
        <f t="shared" si="0"/>
        <v>01</v>
      </c>
      <c r="B23" s="330">
        <v>220</v>
      </c>
      <c r="C23" s="2944" t="s">
        <v>5140</v>
      </c>
      <c r="D23" s="2944"/>
      <c r="E23" s="2944"/>
      <c r="F23" s="2944"/>
      <c r="G23" s="2944"/>
      <c r="H23" s="2944"/>
      <c r="I23" s="2944"/>
      <c r="J23" s="335"/>
      <c r="K23" s="2944" t="s">
        <v>5159</v>
      </c>
      <c r="L23" s="2944"/>
      <c r="M23" s="2944"/>
      <c r="N23" s="335"/>
      <c r="O23" s="625"/>
      <c r="P23" s="335"/>
      <c r="R23" s="2170" t="str">
        <f t="shared" si="1"/>
        <v>Select Investment Type (Click here)</v>
      </c>
    </row>
    <row r="24" spans="1:18" ht="14.85" customHeight="1" x14ac:dyDescent="0.2">
      <c r="A24" s="330" t="str">
        <f t="shared" si="0"/>
        <v>01</v>
      </c>
      <c r="B24" s="330">
        <v>240</v>
      </c>
      <c r="C24" s="2944" t="s">
        <v>5140</v>
      </c>
      <c r="D24" s="2944"/>
      <c r="E24" s="2944"/>
      <c r="F24" s="2944"/>
      <c r="G24" s="2944"/>
      <c r="H24" s="2944"/>
      <c r="I24" s="2944"/>
      <c r="J24" s="335"/>
      <c r="K24" s="2944" t="s">
        <v>5159</v>
      </c>
      <c r="L24" s="2944"/>
      <c r="M24" s="2944"/>
      <c r="N24" s="335"/>
      <c r="O24" s="625"/>
      <c r="P24" s="335"/>
      <c r="R24" s="2170" t="str">
        <f t="shared" si="1"/>
        <v>Select Investment Type (Click here)</v>
      </c>
    </row>
    <row r="25" spans="1:18" ht="14.85" customHeight="1" x14ac:dyDescent="0.2">
      <c r="A25" s="330" t="str">
        <f t="shared" si="0"/>
        <v>01</v>
      </c>
      <c r="B25" s="330">
        <v>260</v>
      </c>
      <c r="C25" s="2944" t="s">
        <v>5140</v>
      </c>
      <c r="D25" s="2944"/>
      <c r="E25" s="2944"/>
      <c r="F25" s="2944"/>
      <c r="G25" s="2944"/>
      <c r="H25" s="2944"/>
      <c r="I25" s="2944"/>
      <c r="J25" s="335"/>
      <c r="K25" s="2944" t="s">
        <v>5159</v>
      </c>
      <c r="L25" s="2944"/>
      <c r="M25" s="2944"/>
      <c r="N25" s="335"/>
      <c r="O25" s="625"/>
      <c r="P25" s="335"/>
      <c r="R25" s="2170" t="str">
        <f t="shared" si="1"/>
        <v>Select Investment Type (Click here)</v>
      </c>
    </row>
    <row r="26" spans="1:18" ht="14.85" customHeight="1" x14ac:dyDescent="0.2">
      <c r="A26" s="330" t="str">
        <f t="shared" si="0"/>
        <v>01</v>
      </c>
      <c r="B26" s="330">
        <v>280</v>
      </c>
      <c r="C26" s="2944" t="s">
        <v>5140</v>
      </c>
      <c r="D26" s="2944"/>
      <c r="E26" s="2944"/>
      <c r="F26" s="2944"/>
      <c r="G26" s="2944"/>
      <c r="H26" s="2944"/>
      <c r="I26" s="2944"/>
      <c r="J26" s="335"/>
      <c r="K26" s="2944" t="s">
        <v>5159</v>
      </c>
      <c r="L26" s="2944"/>
      <c r="M26" s="2944"/>
      <c r="N26" s="335"/>
      <c r="O26" s="625"/>
      <c r="P26" s="335"/>
      <c r="R26" s="2170" t="str">
        <f t="shared" si="1"/>
        <v>Select Investment Type (Click here)</v>
      </c>
    </row>
    <row r="27" spans="1:18" ht="14.85" customHeight="1" x14ac:dyDescent="0.2">
      <c r="A27" s="330" t="str">
        <f t="shared" si="0"/>
        <v>01</v>
      </c>
      <c r="B27" s="330">
        <v>300</v>
      </c>
      <c r="C27" s="2944" t="s">
        <v>5140</v>
      </c>
      <c r="D27" s="2944"/>
      <c r="E27" s="2944"/>
      <c r="F27" s="2944"/>
      <c r="G27" s="2944"/>
      <c r="H27" s="2944"/>
      <c r="I27" s="2944"/>
      <c r="J27" s="335"/>
      <c r="K27" s="2944" t="s">
        <v>5159</v>
      </c>
      <c r="L27" s="2944"/>
      <c r="M27" s="2944"/>
      <c r="N27" s="335"/>
      <c r="O27" s="625"/>
      <c r="P27" s="335"/>
      <c r="R27" s="2170" t="str">
        <f t="shared" si="1"/>
        <v>Select Investment Type (Click here)</v>
      </c>
    </row>
    <row r="28" spans="1:18" ht="14.85" customHeight="1" x14ac:dyDescent="0.2">
      <c r="A28" s="330" t="str">
        <f t="shared" si="0"/>
        <v>01</v>
      </c>
      <c r="B28" s="330">
        <v>320</v>
      </c>
      <c r="C28" s="2944" t="s">
        <v>5140</v>
      </c>
      <c r="D28" s="2944"/>
      <c r="E28" s="2944"/>
      <c r="F28" s="2944"/>
      <c r="G28" s="2944"/>
      <c r="H28" s="2944"/>
      <c r="I28" s="2944"/>
      <c r="J28" s="335"/>
      <c r="K28" s="2944" t="s">
        <v>5159</v>
      </c>
      <c r="L28" s="2944"/>
      <c r="M28" s="2944"/>
      <c r="N28" s="335"/>
      <c r="O28" s="625"/>
      <c r="P28" s="335"/>
      <c r="R28" s="2170" t="str">
        <f t="shared" si="1"/>
        <v>Select Investment Type (Click here)</v>
      </c>
    </row>
    <row r="29" spans="1:18" ht="14.85" customHeight="1" x14ac:dyDescent="0.2">
      <c r="A29" s="330" t="str">
        <f t="shared" si="0"/>
        <v>01</v>
      </c>
      <c r="C29" s="2944" t="s">
        <v>5140</v>
      </c>
      <c r="D29" s="2944"/>
      <c r="E29" s="2944"/>
      <c r="F29" s="2944"/>
      <c r="G29" s="2944"/>
      <c r="H29" s="2944"/>
      <c r="I29" s="2944"/>
      <c r="J29" s="335"/>
      <c r="K29" s="2944" t="s">
        <v>5159</v>
      </c>
      <c r="L29" s="2944"/>
      <c r="M29" s="2944"/>
      <c r="N29" s="335"/>
      <c r="O29" s="625"/>
      <c r="P29" s="335"/>
      <c r="R29" s="2170" t="str">
        <f t="shared" si="1"/>
        <v>Select Investment Type (Click here)</v>
      </c>
    </row>
    <row r="30" spans="1:18" ht="14.85" customHeight="1" x14ac:dyDescent="0.2">
      <c r="A30" s="330" t="str">
        <f t="shared" si="0"/>
        <v>01</v>
      </c>
      <c r="C30" s="2944" t="s">
        <v>5140</v>
      </c>
      <c r="D30" s="2944"/>
      <c r="E30" s="2944"/>
      <c r="F30" s="2944"/>
      <c r="G30" s="2944"/>
      <c r="H30" s="2944"/>
      <c r="I30" s="2944"/>
      <c r="J30" s="335"/>
      <c r="K30" s="2944" t="s">
        <v>5159</v>
      </c>
      <c r="L30" s="2944"/>
      <c r="M30" s="2944"/>
      <c r="N30" s="335"/>
      <c r="O30" s="625"/>
      <c r="P30" s="335"/>
      <c r="R30" s="2170" t="str">
        <f t="shared" si="1"/>
        <v>Select Investment Type (Click here)</v>
      </c>
    </row>
    <row r="31" spans="1:18" ht="14.85" customHeight="1" x14ac:dyDescent="0.2">
      <c r="A31" s="330" t="str">
        <f t="shared" si="0"/>
        <v>01</v>
      </c>
      <c r="C31" s="2944" t="s">
        <v>5140</v>
      </c>
      <c r="D31" s="2944"/>
      <c r="E31" s="2944"/>
      <c r="F31" s="2944"/>
      <c r="G31" s="2944"/>
      <c r="H31" s="2944"/>
      <c r="I31" s="2944"/>
      <c r="J31" s="335"/>
      <c r="K31" s="2944" t="s">
        <v>5159</v>
      </c>
      <c r="L31" s="2944"/>
      <c r="M31" s="2944"/>
      <c r="N31" s="335"/>
      <c r="O31" s="625"/>
      <c r="P31" s="335"/>
      <c r="R31" s="2170" t="str">
        <f t="shared" si="1"/>
        <v>Select Investment Type (Click here)</v>
      </c>
    </row>
    <row r="32" spans="1:18" ht="14.85" customHeight="1" x14ac:dyDescent="0.2">
      <c r="A32" s="330" t="str">
        <f t="shared" si="0"/>
        <v>01</v>
      </c>
      <c r="C32" s="2944" t="s">
        <v>5140</v>
      </c>
      <c r="D32" s="2944"/>
      <c r="E32" s="2944"/>
      <c r="F32" s="2944"/>
      <c r="G32" s="2944"/>
      <c r="H32" s="2944"/>
      <c r="I32" s="2944"/>
      <c r="J32" s="335"/>
      <c r="K32" s="2944" t="s">
        <v>5159</v>
      </c>
      <c r="L32" s="2944"/>
      <c r="M32" s="2944"/>
      <c r="N32" s="335"/>
      <c r="O32" s="625"/>
      <c r="P32" s="335"/>
      <c r="R32" s="2170" t="str">
        <f t="shared" si="1"/>
        <v>Select Investment Type (Click here)</v>
      </c>
    </row>
    <row r="33" spans="1:18" ht="14.85" customHeight="1" x14ac:dyDescent="0.2">
      <c r="A33" s="330" t="str">
        <f t="shared" si="0"/>
        <v>01</v>
      </c>
      <c r="C33" s="2944" t="s">
        <v>5140</v>
      </c>
      <c r="D33" s="2944"/>
      <c r="E33" s="2944"/>
      <c r="F33" s="2944"/>
      <c r="G33" s="2944"/>
      <c r="H33" s="2944"/>
      <c r="I33" s="2944"/>
      <c r="J33" s="335"/>
      <c r="K33" s="2944" t="s">
        <v>5159</v>
      </c>
      <c r="L33" s="2944"/>
      <c r="M33" s="2944"/>
      <c r="N33" s="335"/>
      <c r="O33" s="625"/>
      <c r="P33" s="335"/>
      <c r="R33" s="2170" t="str">
        <f t="shared" si="1"/>
        <v>Select Investment Type (Click here)</v>
      </c>
    </row>
    <row r="34" spans="1:18" ht="14.85" customHeight="1" x14ac:dyDescent="0.2">
      <c r="A34" s="330" t="str">
        <f t="shared" si="0"/>
        <v>01</v>
      </c>
      <c r="C34" s="2944" t="s">
        <v>5140</v>
      </c>
      <c r="D34" s="2944"/>
      <c r="E34" s="2944"/>
      <c r="F34" s="2944"/>
      <c r="G34" s="2944"/>
      <c r="H34" s="2944"/>
      <c r="I34" s="2944"/>
      <c r="J34" s="335"/>
      <c r="K34" s="2944" t="s">
        <v>5159</v>
      </c>
      <c r="L34" s="2944"/>
      <c r="M34" s="2944"/>
      <c r="N34" s="335"/>
      <c r="O34" s="625"/>
      <c r="P34" s="335"/>
      <c r="R34" s="2170" t="str">
        <f t="shared" si="1"/>
        <v>Select Investment Type (Click here)</v>
      </c>
    </row>
    <row r="35" spans="1:18" ht="14.85" customHeight="1" x14ac:dyDescent="0.2">
      <c r="A35" s="330" t="str">
        <f t="shared" si="0"/>
        <v>01</v>
      </c>
      <c r="C35" s="2944" t="s">
        <v>5140</v>
      </c>
      <c r="D35" s="2944"/>
      <c r="E35" s="2944"/>
      <c r="F35" s="2944"/>
      <c r="G35" s="2944"/>
      <c r="H35" s="2944"/>
      <c r="I35" s="2944"/>
      <c r="J35" s="335"/>
      <c r="K35" s="2944" t="s">
        <v>5159</v>
      </c>
      <c r="L35" s="2944"/>
      <c r="M35" s="2944"/>
      <c r="N35" s="335"/>
      <c r="O35" s="625"/>
      <c r="P35" s="335"/>
      <c r="R35" s="2170" t="str">
        <f t="shared" si="1"/>
        <v>Select Investment Type (Click here)</v>
      </c>
    </row>
    <row r="36" spans="1:18" ht="14.85" customHeight="1" x14ac:dyDescent="0.2">
      <c r="A36" s="330" t="str">
        <f t="shared" si="0"/>
        <v>01</v>
      </c>
      <c r="C36" s="2944" t="s">
        <v>5140</v>
      </c>
      <c r="D36" s="2944"/>
      <c r="E36" s="2944"/>
      <c r="F36" s="2944"/>
      <c r="G36" s="2944"/>
      <c r="H36" s="2944"/>
      <c r="I36" s="2944"/>
      <c r="J36" s="335"/>
      <c r="K36" s="2944" t="s">
        <v>5159</v>
      </c>
      <c r="L36" s="2944"/>
      <c r="M36" s="2944"/>
      <c r="N36" s="335"/>
      <c r="O36" s="625"/>
      <c r="P36" s="335"/>
      <c r="R36" s="2170" t="str">
        <f t="shared" si="1"/>
        <v>Select Investment Type (Click here)</v>
      </c>
    </row>
    <row r="37" spans="1:18" ht="14.85" customHeight="1" x14ac:dyDescent="0.2">
      <c r="A37" s="330" t="str">
        <f t="shared" si="0"/>
        <v>01</v>
      </c>
      <c r="B37" s="330">
        <v>340</v>
      </c>
      <c r="C37" s="2944" t="s">
        <v>5140</v>
      </c>
      <c r="D37" s="2944"/>
      <c r="E37" s="2944"/>
      <c r="F37" s="2944"/>
      <c r="G37" s="2944"/>
      <c r="H37" s="2944"/>
      <c r="I37" s="2944"/>
      <c r="J37" s="335"/>
      <c r="K37" s="2944" t="s">
        <v>5159</v>
      </c>
      <c r="L37" s="2944"/>
      <c r="M37" s="2944"/>
      <c r="N37" s="335"/>
      <c r="O37" s="625"/>
      <c r="P37" s="335"/>
      <c r="R37" s="2170" t="str">
        <f t="shared" si="1"/>
        <v>Select Investment Type (Click here)</v>
      </c>
    </row>
    <row r="38" spans="1:18" ht="14.85" customHeight="1" x14ac:dyDescent="0.2">
      <c r="A38" s="330" t="str">
        <f t="shared" si="0"/>
        <v>01</v>
      </c>
      <c r="B38" s="330">
        <v>360</v>
      </c>
      <c r="C38" s="2944" t="s">
        <v>5140</v>
      </c>
      <c r="D38" s="2944"/>
      <c r="E38" s="2944"/>
      <c r="F38" s="2944"/>
      <c r="G38" s="2944"/>
      <c r="H38" s="2944"/>
      <c r="I38" s="2944"/>
      <c r="J38" s="335"/>
      <c r="K38" s="2944" t="s">
        <v>5159</v>
      </c>
      <c r="L38" s="2944"/>
      <c r="M38" s="2944"/>
      <c r="N38" s="335"/>
      <c r="O38" s="625">
        <v>0</v>
      </c>
      <c r="P38" s="335"/>
      <c r="R38" s="2170" t="str">
        <f t="shared" si="1"/>
        <v>Select Investment Type (Click here)</v>
      </c>
    </row>
    <row r="39" spans="1:18" ht="14.85" customHeight="1" x14ac:dyDescent="0.2">
      <c r="A39" s="330" t="str">
        <f t="shared" si="0"/>
        <v>01</v>
      </c>
      <c r="C39" s="2944" t="s">
        <v>5140</v>
      </c>
      <c r="D39" s="2944"/>
      <c r="E39" s="2944"/>
      <c r="F39" s="2944"/>
      <c r="G39" s="2944"/>
      <c r="H39" s="2944"/>
      <c r="I39" s="2944"/>
      <c r="J39" s="335"/>
      <c r="K39" s="2944" t="s">
        <v>5159</v>
      </c>
      <c r="L39" s="2944"/>
      <c r="M39" s="2944"/>
      <c r="N39" s="335"/>
      <c r="O39" s="625"/>
      <c r="P39" s="335"/>
      <c r="R39" s="2170" t="str">
        <f t="shared" si="1"/>
        <v>Select Investment Type (Click here)</v>
      </c>
    </row>
    <row r="40" spans="1:18" ht="14.85" customHeight="1" x14ac:dyDescent="0.2">
      <c r="A40" s="330" t="str">
        <f t="shared" si="0"/>
        <v>01</v>
      </c>
      <c r="B40" s="330">
        <v>380</v>
      </c>
      <c r="C40" s="2944" t="s">
        <v>5140</v>
      </c>
      <c r="D40" s="2944"/>
      <c r="E40" s="2944"/>
      <c r="F40" s="2944"/>
      <c r="G40" s="2944"/>
      <c r="H40" s="2944"/>
      <c r="I40" s="2944"/>
      <c r="J40" s="335"/>
      <c r="K40" s="2944" t="s">
        <v>5159</v>
      </c>
      <c r="L40" s="2944"/>
      <c r="M40" s="2944"/>
      <c r="N40" s="335"/>
      <c r="O40" s="625"/>
      <c r="P40" s="335"/>
      <c r="R40" s="2170" t="str">
        <f t="shared" si="1"/>
        <v>Select Investment Type (Click here)</v>
      </c>
    </row>
    <row r="41" spans="1:18" ht="18.75" customHeight="1" thickBot="1" x14ac:dyDescent="0.25">
      <c r="A41" s="330" t="str">
        <f t="shared" si="0"/>
        <v>01</v>
      </c>
      <c r="B41" s="330">
        <v>400</v>
      </c>
      <c r="C41" s="339"/>
      <c r="D41" s="335"/>
      <c r="E41" s="335"/>
      <c r="F41" s="335"/>
      <c r="G41" s="335"/>
      <c r="H41" s="335"/>
      <c r="I41" s="335"/>
      <c r="J41" s="335"/>
      <c r="K41" s="335"/>
      <c r="L41" s="335"/>
      <c r="M41" s="355" t="s">
        <v>84</v>
      </c>
      <c r="N41" s="335"/>
      <c r="O41" s="328">
        <f>SUM(O16:O40)</f>
        <v>0</v>
      </c>
      <c r="P41" s="335"/>
    </row>
    <row r="42" spans="1:18" ht="8.1" customHeight="1" thickTop="1" x14ac:dyDescent="0.2">
      <c r="A42" s="330" t="str">
        <f t="shared" si="0"/>
        <v>01</v>
      </c>
      <c r="C42" s="339"/>
      <c r="D42" s="335"/>
      <c r="E42" s="335"/>
      <c r="F42" s="335"/>
      <c r="G42" s="335"/>
      <c r="H42" s="335"/>
      <c r="I42" s="335"/>
      <c r="J42" s="335"/>
      <c r="K42" s="335"/>
      <c r="L42" s="335"/>
      <c r="M42" s="335"/>
      <c r="N42" s="335"/>
      <c r="O42" s="335"/>
      <c r="P42" s="335"/>
    </row>
    <row r="43" spans="1:18" ht="12.75" x14ac:dyDescent="0.2">
      <c r="A43" s="330" t="str">
        <f t="shared" ref="A43:A70" si="2">AgyIdx</f>
        <v>01</v>
      </c>
      <c r="C43" s="1422" t="s">
        <v>3605</v>
      </c>
      <c r="D43" s="335"/>
      <c r="E43" s="335"/>
      <c r="F43" s="335"/>
      <c r="G43" s="335"/>
      <c r="H43" s="335"/>
      <c r="I43" s="335"/>
      <c r="J43" s="335"/>
      <c r="K43" s="335"/>
      <c r="L43" s="335"/>
      <c r="M43" s="335"/>
      <c r="N43" s="335"/>
      <c r="O43" s="335"/>
      <c r="P43" s="335"/>
    </row>
    <row r="44" spans="1:18" x14ac:dyDescent="0.2">
      <c r="A44" s="330" t="str">
        <f t="shared" si="2"/>
        <v>01</v>
      </c>
      <c r="C44" s="627" t="s">
        <v>3607</v>
      </c>
      <c r="D44" s="335"/>
      <c r="E44" s="335"/>
      <c r="F44" s="335"/>
      <c r="G44" s="335"/>
      <c r="H44" s="335"/>
      <c r="I44" s="335"/>
      <c r="J44" s="335"/>
      <c r="K44" s="335"/>
      <c r="L44" s="335"/>
      <c r="M44" s="335"/>
      <c r="N44" s="335"/>
      <c r="O44" s="335"/>
      <c r="P44" s="335"/>
    </row>
    <row r="45" spans="1:18" x14ac:dyDescent="0.2">
      <c r="A45" s="330" t="str">
        <f t="shared" si="2"/>
        <v>01</v>
      </c>
      <c r="C45" s="330" t="s">
        <v>4923</v>
      </c>
      <c r="D45" s="335"/>
      <c r="E45" s="335"/>
      <c r="F45" s="335"/>
      <c r="G45" s="335"/>
      <c r="H45" s="335"/>
      <c r="I45" s="335"/>
      <c r="J45" s="335"/>
      <c r="K45" s="335"/>
      <c r="L45" s="335"/>
      <c r="M45" s="335"/>
      <c r="N45" s="335"/>
      <c r="O45" s="335"/>
      <c r="P45" s="335"/>
    </row>
    <row r="46" spans="1:18" x14ac:dyDescent="0.2">
      <c r="A46" s="330" t="str">
        <f t="shared" si="2"/>
        <v>01</v>
      </c>
      <c r="C46" s="347"/>
      <c r="D46" s="335"/>
      <c r="E46" s="335"/>
      <c r="F46" s="335"/>
      <c r="G46" s="335"/>
      <c r="H46" s="335"/>
      <c r="I46" s="335"/>
      <c r="J46" s="335"/>
      <c r="K46" s="335"/>
      <c r="L46" s="335"/>
      <c r="M46" s="335"/>
      <c r="N46" s="335"/>
      <c r="O46" s="335"/>
      <c r="P46" s="335"/>
    </row>
    <row r="47" spans="1:18" x14ac:dyDescent="0.2">
      <c r="A47" s="330" t="str">
        <f t="shared" si="2"/>
        <v>01</v>
      </c>
      <c r="C47" s="627" t="s">
        <v>3729</v>
      </c>
      <c r="D47" s="335"/>
      <c r="E47" s="335"/>
      <c r="F47" s="335"/>
      <c r="G47" s="335"/>
      <c r="H47" s="335"/>
      <c r="I47" s="335"/>
      <c r="J47" s="335"/>
      <c r="K47" s="335"/>
      <c r="L47" s="335"/>
      <c r="M47" s="335"/>
      <c r="N47" s="335"/>
      <c r="O47" s="335"/>
      <c r="P47" s="335"/>
    </row>
    <row r="48" spans="1:18" x14ac:dyDescent="0.2">
      <c r="A48" s="330" t="str">
        <f t="shared" si="2"/>
        <v>01</v>
      </c>
      <c r="C48" s="347"/>
      <c r="D48" s="330" t="s">
        <v>4631</v>
      </c>
      <c r="E48" s="335"/>
      <c r="F48" s="335"/>
      <c r="G48" s="335"/>
      <c r="H48" s="335"/>
      <c r="I48" s="335"/>
      <c r="J48" s="335"/>
      <c r="K48" s="335"/>
      <c r="L48" s="335"/>
      <c r="M48" s="335"/>
      <c r="N48" s="335"/>
      <c r="O48" s="335"/>
      <c r="P48" s="335"/>
    </row>
    <row r="49" spans="1:16" x14ac:dyDescent="0.2">
      <c r="C49" s="347"/>
      <c r="E49" s="335"/>
      <c r="F49" s="335"/>
      <c r="G49" s="335"/>
      <c r="H49" s="335"/>
      <c r="I49" s="335"/>
      <c r="J49" s="335"/>
      <c r="K49" s="335"/>
      <c r="L49" s="335"/>
      <c r="M49" s="335"/>
      <c r="N49" s="335"/>
      <c r="O49" s="335"/>
      <c r="P49" s="335"/>
    </row>
    <row r="50" spans="1:16" ht="12.75" x14ac:dyDescent="0.2">
      <c r="A50" s="330" t="str">
        <f t="shared" si="2"/>
        <v>01</v>
      </c>
      <c r="F50" s="352" t="s">
        <v>3728</v>
      </c>
      <c r="G50" s="1448"/>
      <c r="J50" s="352"/>
      <c r="K50" s="1449"/>
      <c r="L50" s="335"/>
      <c r="M50" s="1447" t="str">
        <f>IF(O41&gt;0,IF(ISBLANK(G50),"Response Required"," ")," ")</f>
        <v xml:space="preserve"> </v>
      </c>
      <c r="N50" s="335"/>
      <c r="O50" s="1420"/>
      <c r="P50"/>
    </row>
    <row r="51" spans="1:16" ht="12.75" x14ac:dyDescent="0.2">
      <c r="F51" s="1450" t="s">
        <v>3941</v>
      </c>
      <c r="J51" s="352"/>
      <c r="K51" s="1449"/>
      <c r="L51" s="335"/>
      <c r="M51" s="1447"/>
      <c r="N51" s="335"/>
      <c r="O51" s="1420"/>
      <c r="P51"/>
    </row>
    <row r="52" spans="1:16" ht="11.1" customHeight="1" x14ac:dyDescent="0.2">
      <c r="A52" s="330" t="str">
        <f t="shared" si="2"/>
        <v>01</v>
      </c>
      <c r="C52" s="339"/>
      <c r="D52" s="335"/>
      <c r="E52" s="335"/>
      <c r="F52" s="335"/>
      <c r="G52" s="335"/>
      <c r="H52" s="335"/>
      <c r="I52" s="335"/>
      <c r="J52" s="335"/>
      <c r="K52" s="335"/>
      <c r="L52" s="335"/>
      <c r="M52" s="335"/>
      <c r="N52" s="335"/>
      <c r="O52" s="335"/>
      <c r="P52" s="335"/>
    </row>
    <row r="53" spans="1:16" ht="12" customHeight="1" x14ac:dyDescent="0.2">
      <c r="A53" s="330" t="str">
        <f t="shared" si="2"/>
        <v>01</v>
      </c>
      <c r="C53" s="626" t="s">
        <v>3608</v>
      </c>
      <c r="D53" s="335"/>
      <c r="E53" s="335"/>
      <c r="F53" s="335"/>
      <c r="G53" s="335"/>
      <c r="H53" s="335"/>
      <c r="I53" s="335"/>
      <c r="J53" s="335"/>
      <c r="K53" s="335"/>
      <c r="L53" s="335"/>
      <c r="M53" s="335"/>
      <c r="N53" s="335"/>
      <c r="O53" s="335"/>
      <c r="P53" s="335"/>
    </row>
    <row r="54" spans="1:16" ht="12.75" customHeight="1" x14ac:dyDescent="0.2">
      <c r="A54" s="330" t="str">
        <f t="shared" si="2"/>
        <v>01</v>
      </c>
      <c r="C54" s="339"/>
      <c r="D54" s="335"/>
      <c r="E54" s="335"/>
      <c r="F54" s="335"/>
      <c r="G54" s="335"/>
      <c r="H54" s="335"/>
      <c r="I54" s="335"/>
      <c r="J54" s="335"/>
      <c r="K54" s="335"/>
      <c r="L54" s="335"/>
      <c r="M54" s="335"/>
      <c r="N54" s="335"/>
      <c r="O54" s="335"/>
      <c r="P54" s="335"/>
    </row>
    <row r="55" spans="1:16" ht="12.75" customHeight="1" x14ac:dyDescent="0.2">
      <c r="A55" s="330" t="str">
        <f t="shared" si="2"/>
        <v>01</v>
      </c>
      <c r="C55" s="626"/>
      <c r="F55" s="352" t="s">
        <v>3606</v>
      </c>
      <c r="G55" s="1448"/>
      <c r="J55" s="352" t="s">
        <v>4174</v>
      </c>
      <c r="K55" s="1248"/>
      <c r="M55" s="1447" t="str">
        <f>IF(O41&gt;0,IF(ISBLANK(G55),IF(ISBLANK(K55),"Response Required"," ")," ")," ")</f>
        <v xml:space="preserve"> </v>
      </c>
      <c r="N55" s="335"/>
      <c r="O55" s="1420"/>
      <c r="P55" s="335"/>
    </row>
    <row r="56" spans="1:16" ht="10.35" customHeight="1" x14ac:dyDescent="0.2">
      <c r="A56" s="330" t="str">
        <f t="shared" si="2"/>
        <v>01</v>
      </c>
      <c r="C56" s="335"/>
      <c r="D56" s="335"/>
      <c r="E56" s="335"/>
      <c r="F56" s="335"/>
      <c r="G56" s="335"/>
      <c r="H56" s="335"/>
      <c r="I56" s="335"/>
    </row>
    <row r="57" spans="1:16" x14ac:dyDescent="0.2">
      <c r="A57" s="330" t="str">
        <f t="shared" si="2"/>
        <v>01</v>
      </c>
      <c r="D57" s="335"/>
      <c r="E57" s="335"/>
      <c r="F57" s="335"/>
      <c r="G57" s="335"/>
      <c r="H57" s="335"/>
      <c r="I57" s="335"/>
    </row>
    <row r="58" spans="1:16" x14ac:dyDescent="0.2">
      <c r="A58" s="330" t="str">
        <f t="shared" si="2"/>
        <v>01</v>
      </c>
    </row>
    <row r="59" spans="1:16" x14ac:dyDescent="0.2">
      <c r="A59" s="330" t="str">
        <f t="shared" si="2"/>
        <v>01</v>
      </c>
    </row>
    <row r="60" spans="1:16" x14ac:dyDescent="0.2">
      <c r="A60" s="330" t="str">
        <f t="shared" si="2"/>
        <v>01</v>
      </c>
    </row>
    <row r="61" spans="1:16" x14ac:dyDescent="0.2">
      <c r="A61" s="330" t="str">
        <f t="shared" si="2"/>
        <v>01</v>
      </c>
    </row>
    <row r="62" spans="1:16" x14ac:dyDescent="0.2">
      <c r="A62" s="330" t="str">
        <f t="shared" si="2"/>
        <v>01</v>
      </c>
    </row>
    <row r="63" spans="1:16" x14ac:dyDescent="0.2">
      <c r="A63" s="330" t="str">
        <f t="shared" si="2"/>
        <v>01</v>
      </c>
    </row>
    <row r="64" spans="1:16" x14ac:dyDescent="0.2">
      <c r="A64" s="330" t="str">
        <f t="shared" si="2"/>
        <v>01</v>
      </c>
    </row>
    <row r="65" spans="1:1" x14ac:dyDescent="0.2">
      <c r="A65" s="330" t="str">
        <f t="shared" si="2"/>
        <v>01</v>
      </c>
    </row>
    <row r="66" spans="1:1" x14ac:dyDescent="0.2">
      <c r="A66" s="330" t="str">
        <f t="shared" si="2"/>
        <v>01</v>
      </c>
    </row>
    <row r="67" spans="1:1" x14ac:dyDescent="0.2">
      <c r="A67" s="330" t="str">
        <f t="shared" si="2"/>
        <v>01</v>
      </c>
    </row>
    <row r="68" spans="1:1" x14ac:dyDescent="0.2">
      <c r="A68" s="330" t="str">
        <f t="shared" si="2"/>
        <v>01</v>
      </c>
    </row>
    <row r="69" spans="1:1" x14ac:dyDescent="0.2">
      <c r="A69" s="330" t="str">
        <f t="shared" si="2"/>
        <v>01</v>
      </c>
    </row>
    <row r="70" spans="1:1" x14ac:dyDescent="0.2">
      <c r="A70" s="330" t="str">
        <f t="shared" si="2"/>
        <v>01</v>
      </c>
    </row>
  </sheetData>
  <sheetProtection algorithmName="SHA-512" hashValue="ZfqcX6VbYepCyiHMxH8MQQiLQJCQ3lgxH/47XasdixHtQNNPIjzbswhy8P+J6zPypd3gmdKtwybIHig3MUEYGw==" saltValue="eETyq7WDRrxwMjQcP1sV+g==" spinCount="100000" sheet="1" objects="1" scenarios="1" autoFilter="0"/>
  <customSheetViews>
    <customSheetView guid="{B08879A4-635B-4C39-9937-AC7883D562FC}" showGridLines="0" fitToPage="1" hiddenColumns="1" topLeftCell="C1">
      <selection activeCell="C1" sqref="C1:O1"/>
      <pageMargins left="0.5" right="0.5" top="0.5" bottom="0.5" header="0.5" footer="0.25"/>
      <pageSetup orientation="landscape" r:id="rId1"/>
      <headerFooter alignWithMargins="0">
        <oddFooter>&amp;R&amp;A</oddFooter>
      </headerFooter>
    </customSheetView>
    <customSheetView guid="{1250FD07-FF56-4A9D-AF9E-C27124A7EBE9}" showGridLines="0" fitToPage="1" showRuler="0">
      <selection activeCell="D8" sqref="D8:E8"/>
      <pageMargins left="0.5" right="0.5" top="0.5" bottom="0.5" header="0.5" footer="0.25"/>
      <pageSetup orientation="landscape" r:id="rId2"/>
      <headerFooter alignWithMargins="0">
        <oddFooter>&amp;R&amp;A</oddFooter>
      </headerFooter>
    </customSheetView>
    <customSheetView guid="{BEA4BE86-04D1-4C96-9358-7A260B9D2B2D}" showGridLines="0" fitToPage="1" showRuler="0">
      <selection activeCell="D8" sqref="D8:E8"/>
      <pageMargins left="0.5" right="0.5" top="0.5" bottom="0.5" header="0.5" footer="0.25"/>
      <pageSetup orientation="landscape" r:id="rId3"/>
      <headerFooter alignWithMargins="0">
        <oddFooter>&amp;R&amp;A</oddFooter>
      </headerFooter>
    </customSheetView>
    <customSheetView guid="{9FCFC836-1CA5-48BF-958D-24D2EA94B219}" showGridLines="0" fitToPage="1" hiddenColumns="1" topLeftCell="C1">
      <selection activeCell="C1" sqref="C1:O1"/>
      <pageMargins left="0.5" right="0.5" top="0.5" bottom="0.5" header="0.5" footer="0.25"/>
      <pageSetup orientation="landscape" r:id="rId4"/>
      <headerFooter alignWithMargins="0">
        <oddFooter>&amp;R&amp;A</oddFooter>
      </headerFooter>
    </customSheetView>
  </customSheetViews>
  <mergeCells count="64">
    <mergeCell ref="C35:I35"/>
    <mergeCell ref="C36:I36"/>
    <mergeCell ref="C39:I39"/>
    <mergeCell ref="K29:M29"/>
    <mergeCell ref="K30:M30"/>
    <mergeCell ref="K31:M31"/>
    <mergeCell ref="K32:M32"/>
    <mergeCell ref="K33:M33"/>
    <mergeCell ref="K34:M34"/>
    <mergeCell ref="K35:M35"/>
    <mergeCell ref="K36:M36"/>
    <mergeCell ref="K39:M39"/>
    <mergeCell ref="C4:O4"/>
    <mergeCell ref="F8:G8"/>
    <mergeCell ref="P1:P3"/>
    <mergeCell ref="K6:O6"/>
    <mergeCell ref="K7:O7"/>
    <mergeCell ref="K8:O8"/>
    <mergeCell ref="C1:O1"/>
    <mergeCell ref="C2:O2"/>
    <mergeCell ref="F6:G6"/>
    <mergeCell ref="C3:O3"/>
    <mergeCell ref="K16:M16"/>
    <mergeCell ref="K14:M14"/>
    <mergeCell ref="K15:M15"/>
    <mergeCell ref="C17:I17"/>
    <mergeCell ref="C23:I23"/>
    <mergeCell ref="K23:M23"/>
    <mergeCell ref="C19:I19"/>
    <mergeCell ref="K19:M19"/>
    <mergeCell ref="C22:I22"/>
    <mergeCell ref="K22:M22"/>
    <mergeCell ref="C40:I40"/>
    <mergeCell ref="K40:M40"/>
    <mergeCell ref="C38:I38"/>
    <mergeCell ref="K38:M38"/>
    <mergeCell ref="C27:I27"/>
    <mergeCell ref="K27:M27"/>
    <mergeCell ref="C37:I37"/>
    <mergeCell ref="K37:M37"/>
    <mergeCell ref="C28:I28"/>
    <mergeCell ref="K28:M28"/>
    <mergeCell ref="C29:I29"/>
    <mergeCell ref="C30:I30"/>
    <mergeCell ref="C31:I31"/>
    <mergeCell ref="C32:I32"/>
    <mergeCell ref="C33:I33"/>
    <mergeCell ref="C34:I34"/>
    <mergeCell ref="C12:O13"/>
    <mergeCell ref="C26:I26"/>
    <mergeCell ref="K26:M26"/>
    <mergeCell ref="C24:I24"/>
    <mergeCell ref="K24:M24"/>
    <mergeCell ref="C25:I25"/>
    <mergeCell ref="K25:M25"/>
    <mergeCell ref="K18:M18"/>
    <mergeCell ref="K20:M20"/>
    <mergeCell ref="C21:I21"/>
    <mergeCell ref="K21:M21"/>
    <mergeCell ref="C20:I20"/>
    <mergeCell ref="C18:I18"/>
    <mergeCell ref="C15:I15"/>
    <mergeCell ref="K17:M17"/>
    <mergeCell ref="C16:I16"/>
  </mergeCells>
  <phoneticPr fontId="15" type="noConversion"/>
  <conditionalFormatting sqref="P1:P3">
    <cfRule type="cellIs" dxfId="27" priority="11" stopIfTrue="1" operator="equal">
      <formula>"na"</formula>
    </cfRule>
  </conditionalFormatting>
  <conditionalFormatting sqref="O50:P51">
    <cfRule type="containsText" dxfId="26" priority="10" stopIfTrue="1" operator="containsText" text="Answer Missing">
      <formula>NOT(ISERROR(SEARCH("Answer Missing",O50)))</formula>
    </cfRule>
  </conditionalFormatting>
  <conditionalFormatting sqref="O55">
    <cfRule type="containsText" dxfId="25" priority="9" stopIfTrue="1" operator="containsText" text="Answer Missing">
      <formula>NOT(ISERROR(SEARCH("Answer Missing",O55)))</formula>
    </cfRule>
  </conditionalFormatting>
  <conditionalFormatting sqref="M50:M51">
    <cfRule type="containsText" dxfId="24" priority="6" stopIfTrue="1" operator="containsText" text="Response Required">
      <formula>NOT(ISERROR(SEARCH("Response Required",M50)))</formula>
    </cfRule>
  </conditionalFormatting>
  <conditionalFormatting sqref="M55">
    <cfRule type="containsText" dxfId="23" priority="1" stopIfTrue="1" operator="containsText" text="Response Required">
      <formula>NOT(ISERROR(SEARCH("Response Required",M55)))</formula>
    </cfRule>
  </conditionalFormatting>
  <hyperlinks>
    <hyperlink ref="C1:O1" location="Index!A1" display="Index!A1" xr:uid="{00000000-0004-0000-4400-000000000000}"/>
  </hyperlinks>
  <pageMargins left="0.5" right="0.5" top="0.5" bottom="0.5" header="0.5" footer="0.25"/>
  <pageSetup scale="59" orientation="portrait" r:id="rId5"/>
  <headerFooter alignWithMargins="0">
    <oddFooter>&amp;R&amp;A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CBB1CA4E-87A4-4F62-BF5D-DD5EEDB36E7F}">
          <x14:formula1>
            <xm:f>Notes!$AJ$3:$AJ$11</xm:f>
          </x14:formula1>
          <xm:sqref>C17:I40</xm:sqref>
        </x14:dataValidation>
        <x14:dataValidation type="list" allowBlank="1" showInputMessage="1" showErrorMessage="1" xr:uid="{D3F1AAB8-6930-4B45-BEA6-62F6664DF95B}">
          <x14:formula1>
            <xm:f>Notes!$AN$3:$AN$29</xm:f>
          </x14:formula1>
          <xm:sqref>K17:M40</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S55"/>
  <sheetViews>
    <sheetView showGridLines="0" topLeftCell="C1" zoomScaleNormal="100" workbookViewId="0">
      <selection activeCell="C2" sqref="C2:R2"/>
    </sheetView>
  </sheetViews>
  <sheetFormatPr defaultColWidth="9.42578125" defaultRowHeight="12" x14ac:dyDescent="0.2"/>
  <cols>
    <col min="1" max="2" width="0" style="330" hidden="1" customWidth="1"/>
    <col min="3" max="4" width="2" style="330" customWidth="1"/>
    <col min="5" max="5" width="4.42578125" style="330" customWidth="1"/>
    <col min="6" max="6" width="8.42578125" style="330" customWidth="1"/>
    <col min="7" max="7" width="14.5703125" style="330" customWidth="1"/>
    <col min="8" max="8" width="8.5703125" style="330" customWidth="1"/>
    <col min="9" max="9" width="2.42578125" style="330" customWidth="1"/>
    <col min="10" max="10" width="15.5703125" style="330" customWidth="1"/>
    <col min="11" max="11" width="2.42578125" style="330" customWidth="1"/>
    <col min="12" max="12" width="14.5703125" style="330" customWidth="1"/>
    <col min="13" max="13" width="2.42578125" style="330" customWidth="1"/>
    <col min="14" max="14" width="15.5703125" style="330" customWidth="1"/>
    <col min="15" max="15" width="1.42578125" style="330" customWidth="1"/>
    <col min="16" max="16" width="18.5703125" style="330" customWidth="1"/>
    <col min="17" max="17" width="1.42578125" style="330" customWidth="1"/>
    <col min="18" max="18" width="9.42578125" style="330" customWidth="1"/>
    <col min="19" max="19" width="4.5703125" style="330" customWidth="1"/>
    <col min="20" max="16384" width="9.42578125" style="330"/>
  </cols>
  <sheetData>
    <row r="1" spans="1:19" ht="15.75" x14ac:dyDescent="0.25">
      <c r="A1" s="330" t="str">
        <f t="shared" ref="A1:A31" si="0">AgyIdx</f>
        <v>01</v>
      </c>
      <c r="C1" s="2449" t="str">
        <f>+Index!$A$1</f>
        <v xml:space="preserve">                                                               Office of the State Controller                                                                </v>
      </c>
      <c r="D1" s="2449"/>
      <c r="E1" s="2449"/>
      <c r="F1" s="2449"/>
      <c r="G1" s="2449"/>
      <c r="H1" s="2449"/>
      <c r="I1" s="2449"/>
      <c r="J1" s="2449"/>
      <c r="K1" s="2449"/>
      <c r="L1" s="2449"/>
      <c r="M1" s="2449"/>
      <c r="N1" s="2449"/>
      <c r="O1" s="2449"/>
      <c r="P1" s="2449"/>
      <c r="Q1" s="2449"/>
      <c r="R1" s="2449"/>
      <c r="S1" s="2510" t="str">
        <f>IF(Index!$B$95="na","NA","")</f>
        <v/>
      </c>
    </row>
    <row r="2" spans="1:19" ht="15.75" x14ac:dyDescent="0.25">
      <c r="A2" s="330" t="str">
        <f t="shared" si="0"/>
        <v>01</v>
      </c>
      <c r="C2" s="2431" t="str">
        <f>+Index!$A$2</f>
        <v>2022 ACFR Worksheets</v>
      </c>
      <c r="D2" s="2431"/>
      <c r="E2" s="2431"/>
      <c r="F2" s="2431"/>
      <c r="G2" s="2431"/>
      <c r="H2" s="2431"/>
      <c r="I2" s="2431"/>
      <c r="J2" s="2431"/>
      <c r="K2" s="2431"/>
      <c r="L2" s="2431"/>
      <c r="M2" s="2431"/>
      <c r="N2" s="2431"/>
      <c r="O2" s="2431"/>
      <c r="P2" s="2431"/>
      <c r="Q2" s="2431"/>
      <c r="R2" s="2431"/>
      <c r="S2" s="2510"/>
    </row>
    <row r="3" spans="1:19" ht="15.75" x14ac:dyDescent="0.25">
      <c r="A3" s="330" t="str">
        <f t="shared" si="0"/>
        <v>01</v>
      </c>
      <c r="C3" s="2431" t="s">
        <v>1075</v>
      </c>
      <c r="D3" s="2431"/>
      <c r="E3" s="2431"/>
      <c r="F3" s="2431"/>
      <c r="G3" s="2431"/>
      <c r="H3" s="2431"/>
      <c r="I3" s="2431"/>
      <c r="J3" s="2431"/>
      <c r="K3" s="2431"/>
      <c r="L3" s="2431"/>
      <c r="M3" s="2431"/>
      <c r="N3" s="2431"/>
      <c r="O3" s="2431"/>
      <c r="P3" s="2431"/>
      <c r="Q3" s="2431"/>
      <c r="R3" s="2431"/>
      <c r="S3" s="2510"/>
    </row>
    <row r="4" spans="1:19" ht="15.75" x14ac:dyDescent="0.25">
      <c r="A4" s="330" t="str">
        <f t="shared" si="0"/>
        <v>01</v>
      </c>
      <c r="C4" s="2431" t="s">
        <v>3609</v>
      </c>
      <c r="D4" s="2431"/>
      <c r="E4" s="2431"/>
      <c r="F4" s="2431"/>
      <c r="G4" s="2431"/>
      <c r="H4" s="2431"/>
      <c r="I4" s="2431"/>
      <c r="J4" s="2431"/>
      <c r="K4" s="2431"/>
      <c r="L4" s="2431"/>
      <c r="M4" s="2431"/>
      <c r="N4" s="2431"/>
      <c r="O4" s="2431"/>
      <c r="P4" s="2431"/>
      <c r="Q4" s="2431"/>
      <c r="R4" s="2431"/>
      <c r="S4" s="281"/>
    </row>
    <row r="5" spans="1:19" ht="15" customHeight="1" x14ac:dyDescent="0.2">
      <c r="A5" s="330" t="str">
        <f t="shared" si="0"/>
        <v>01</v>
      </c>
    </row>
    <row r="6" spans="1:19" ht="15" customHeight="1" x14ac:dyDescent="0.2">
      <c r="A6" s="330" t="str">
        <f t="shared" si="0"/>
        <v>01</v>
      </c>
      <c r="C6" s="14" t="s">
        <v>327</v>
      </c>
      <c r="G6" s="2596" t="str">
        <f>+Index!$E$10</f>
        <v>01</v>
      </c>
      <c r="H6" s="2596"/>
      <c r="L6" s="9" t="s">
        <v>1154</v>
      </c>
      <c r="N6" s="2927" t="str">
        <f>+Index!$E$11</f>
        <v>North Carolina General Assembly</v>
      </c>
      <c r="O6" s="2927"/>
      <c r="P6" s="2927"/>
      <c r="Q6" s="2927"/>
      <c r="R6" s="2927"/>
    </row>
    <row r="7" spans="1:19" ht="15" customHeight="1" x14ac:dyDescent="0.2">
      <c r="A7" s="330" t="str">
        <f t="shared" si="0"/>
        <v>01</v>
      </c>
      <c r="L7" s="9" t="s">
        <v>972</v>
      </c>
      <c r="N7" s="2883" t="str">
        <f>CONCATENATE(Index!$E$12," ",Index!$E$14)</f>
        <v xml:space="preserve"> </v>
      </c>
      <c r="O7" s="2883"/>
      <c r="P7" s="2883"/>
      <c r="Q7" s="2883"/>
      <c r="R7" s="2883"/>
    </row>
    <row r="8" spans="1:19" ht="15" customHeight="1" x14ac:dyDescent="0.2">
      <c r="A8" s="330" t="str">
        <f t="shared" si="0"/>
        <v>01</v>
      </c>
      <c r="C8" s="8" t="s">
        <v>477</v>
      </c>
      <c r="D8" s="8"/>
      <c r="E8" s="272"/>
      <c r="G8" s="2921" t="s">
        <v>971</v>
      </c>
      <c r="H8" s="2921"/>
      <c r="L8" s="9" t="s">
        <v>348</v>
      </c>
      <c r="N8" s="2883">
        <f>+Index!$E$13</f>
        <v>0</v>
      </c>
      <c r="O8" s="2883"/>
      <c r="P8" s="2883"/>
      <c r="Q8" s="2883"/>
      <c r="R8" s="2883"/>
    </row>
    <row r="9" spans="1:19" ht="15" customHeight="1" thickBot="1" x14ac:dyDescent="0.25">
      <c r="A9" s="330" t="str">
        <f t="shared" si="0"/>
        <v>01</v>
      </c>
      <c r="C9" s="331"/>
      <c r="D9" s="331"/>
      <c r="E9" s="332"/>
      <c r="F9" s="332"/>
      <c r="G9" s="333"/>
      <c r="H9" s="333"/>
      <c r="I9" s="333"/>
      <c r="J9" s="333"/>
      <c r="K9" s="333"/>
      <c r="L9" s="334"/>
      <c r="M9" s="333"/>
      <c r="N9" s="333"/>
      <c r="O9" s="333"/>
      <c r="P9" s="333"/>
      <c r="Q9" s="333"/>
      <c r="R9" s="333"/>
    </row>
    <row r="10" spans="1:19" ht="12" customHeight="1" x14ac:dyDescent="0.2">
      <c r="A10" s="330" t="str">
        <f t="shared" si="0"/>
        <v>01</v>
      </c>
    </row>
    <row r="11" spans="1:19" ht="14.1" customHeight="1" x14ac:dyDescent="0.2">
      <c r="A11" s="330" t="str">
        <f t="shared" si="0"/>
        <v>01</v>
      </c>
      <c r="C11" s="2941" t="s">
        <v>4352</v>
      </c>
      <c r="D11" s="2942"/>
      <c r="E11" s="2942"/>
      <c r="F11" s="2942"/>
      <c r="G11" s="2942"/>
      <c r="H11" s="2942"/>
      <c r="I11" s="2942"/>
      <c r="J11" s="2942"/>
      <c r="K11" s="2942"/>
      <c r="L11" s="2942"/>
      <c r="M11" s="2942"/>
      <c r="N11" s="2942"/>
      <c r="O11" s="2942"/>
      <c r="P11" s="2942"/>
      <c r="Q11" s="2942"/>
      <c r="R11" s="2942"/>
    </row>
    <row r="12" spans="1:19" ht="14.1" customHeight="1" x14ac:dyDescent="0.2">
      <c r="A12" s="330" t="str">
        <f t="shared" si="0"/>
        <v>01</v>
      </c>
      <c r="C12" s="2942"/>
      <c r="D12" s="2942"/>
      <c r="E12" s="2942"/>
      <c r="F12" s="2942"/>
      <c r="G12" s="2942"/>
      <c r="H12" s="2942"/>
      <c r="I12" s="2942"/>
      <c r="J12" s="2942"/>
      <c r="K12" s="2942"/>
      <c r="L12" s="2942"/>
      <c r="M12" s="2942"/>
      <c r="N12" s="2942"/>
      <c r="O12" s="2942"/>
      <c r="P12" s="2942"/>
      <c r="Q12" s="2942"/>
      <c r="R12" s="2942"/>
    </row>
    <row r="13" spans="1:19" ht="11.1" customHeight="1" x14ac:dyDescent="0.2">
      <c r="A13" s="330" t="str">
        <f t="shared" si="0"/>
        <v>01</v>
      </c>
      <c r="E13" s="335"/>
      <c r="F13" s="335"/>
      <c r="G13" s="335"/>
      <c r="H13" s="335"/>
      <c r="I13" s="335"/>
      <c r="J13" s="337"/>
      <c r="K13" s="337"/>
      <c r="L13" s="337"/>
      <c r="M13" s="337"/>
      <c r="N13" s="337"/>
      <c r="O13" s="337"/>
      <c r="P13" s="337"/>
      <c r="Q13" s="337"/>
      <c r="R13" s="337"/>
      <c r="S13" s="335"/>
    </row>
    <row r="14" spans="1:19" ht="14.25" customHeight="1" x14ac:dyDescent="0.2">
      <c r="A14" s="330" t="str">
        <f t="shared" si="0"/>
        <v>01</v>
      </c>
      <c r="C14" s="626" t="s">
        <v>223</v>
      </c>
      <c r="D14" s="626"/>
      <c r="E14" s="353"/>
      <c r="F14" s="353"/>
      <c r="G14" s="353"/>
      <c r="H14" s="353"/>
      <c r="J14" s="353"/>
      <c r="K14" s="353"/>
      <c r="L14" s="353"/>
      <c r="M14" s="353"/>
      <c r="N14" s="353"/>
      <c r="O14" s="353"/>
      <c r="P14" s="353"/>
      <c r="Q14" s="353"/>
      <c r="R14" s="353"/>
      <c r="S14" s="335"/>
    </row>
    <row r="15" spans="1:19" ht="11.1" customHeight="1" x14ac:dyDescent="0.2">
      <c r="A15" s="330" t="str">
        <f t="shared" si="0"/>
        <v>01</v>
      </c>
      <c r="C15" s="626"/>
      <c r="D15" s="626"/>
      <c r="E15" s="353"/>
      <c r="F15" s="353"/>
      <c r="G15" s="353"/>
      <c r="H15" s="353"/>
      <c r="J15" s="353"/>
      <c r="K15" s="353"/>
      <c r="L15" s="353"/>
      <c r="M15" s="353"/>
      <c r="N15" s="353"/>
      <c r="O15" s="353"/>
      <c r="P15" s="353"/>
      <c r="Q15" s="353"/>
      <c r="R15" s="353"/>
      <c r="S15" s="335"/>
    </row>
    <row r="16" spans="1:19" ht="12" customHeight="1" x14ac:dyDescent="0.2">
      <c r="A16" s="330" t="str">
        <f t="shared" si="0"/>
        <v>01</v>
      </c>
      <c r="C16" s="626"/>
      <c r="D16" s="626"/>
      <c r="E16" s="353"/>
      <c r="F16" s="353"/>
      <c r="G16" s="353"/>
      <c r="H16" s="353"/>
      <c r="J16" s="2946" t="s">
        <v>514</v>
      </c>
      <c r="K16" s="2946"/>
      <c r="L16" s="2946"/>
      <c r="M16" s="2946"/>
      <c r="N16" s="2946"/>
      <c r="O16" s="353"/>
      <c r="P16" s="353"/>
      <c r="Q16" s="353"/>
      <c r="R16" s="353"/>
      <c r="S16" s="335"/>
    </row>
    <row r="17" spans="1:19" customFormat="1" ht="15" customHeight="1" x14ac:dyDescent="0.2">
      <c r="A17" s="330" t="str">
        <f t="shared" si="0"/>
        <v>01</v>
      </c>
      <c r="F17" s="2946" t="s">
        <v>519</v>
      </c>
      <c r="G17" s="2946"/>
      <c r="H17" s="2946"/>
      <c r="J17" s="621" t="s">
        <v>969</v>
      </c>
      <c r="K17" s="290"/>
      <c r="L17" s="621" t="s">
        <v>693</v>
      </c>
      <c r="M17" s="290"/>
      <c r="N17" s="621" t="s">
        <v>694</v>
      </c>
      <c r="O17" s="290"/>
      <c r="P17" s="290"/>
      <c r="Q17" s="290"/>
      <c r="R17" s="330"/>
    </row>
    <row r="18" spans="1:19" ht="16.350000000000001" customHeight="1" x14ac:dyDescent="0.2">
      <c r="A18" s="330" t="str">
        <f t="shared" si="0"/>
        <v>01</v>
      </c>
      <c r="B18" s="330">
        <v>100</v>
      </c>
      <c r="F18" s="330" t="s">
        <v>947</v>
      </c>
      <c r="H18" s="352"/>
      <c r="J18" s="624"/>
      <c r="L18" s="624"/>
      <c r="N18" s="624"/>
      <c r="P18" s="352"/>
      <c r="S18" s="335"/>
    </row>
    <row r="19" spans="1:19" ht="12" customHeight="1" x14ac:dyDescent="0.2">
      <c r="A19" s="330" t="str">
        <f t="shared" si="0"/>
        <v>01</v>
      </c>
      <c r="B19" s="330">
        <v>120</v>
      </c>
      <c r="F19" s="626" t="s">
        <v>362</v>
      </c>
      <c r="H19" s="352"/>
      <c r="J19" s="624"/>
      <c r="L19" s="624"/>
      <c r="N19" s="631"/>
      <c r="P19" s="352"/>
      <c r="S19" s="335"/>
    </row>
    <row r="20" spans="1:19" ht="12" customHeight="1" x14ac:dyDescent="0.2">
      <c r="A20" s="330" t="str">
        <f t="shared" si="0"/>
        <v>01</v>
      </c>
      <c r="B20" s="330">
        <v>140</v>
      </c>
      <c r="F20" s="626" t="s">
        <v>513</v>
      </c>
      <c r="H20" s="352"/>
      <c r="J20" s="624"/>
      <c r="L20" s="624"/>
      <c r="N20" s="631"/>
      <c r="P20" s="352"/>
      <c r="S20" s="335"/>
    </row>
    <row r="21" spans="1:19" ht="12" customHeight="1" x14ac:dyDescent="0.2">
      <c r="A21" s="330" t="str">
        <f t="shared" si="0"/>
        <v>01</v>
      </c>
      <c r="B21" s="330">
        <v>160</v>
      </c>
      <c r="F21" s="626" t="s">
        <v>954</v>
      </c>
      <c r="H21" s="352"/>
      <c r="J21" s="624"/>
      <c r="L21" s="624"/>
      <c r="N21" s="631"/>
      <c r="P21" s="352"/>
      <c r="S21" s="335"/>
    </row>
    <row r="22" spans="1:19" ht="12" customHeight="1" x14ac:dyDescent="0.2">
      <c r="A22" s="330" t="str">
        <f t="shared" si="0"/>
        <v>01</v>
      </c>
      <c r="B22" s="330">
        <v>180</v>
      </c>
      <c r="F22" s="626" t="s">
        <v>141</v>
      </c>
      <c r="H22" s="352"/>
      <c r="J22" s="624"/>
      <c r="L22" s="624"/>
      <c r="N22" s="631"/>
      <c r="P22" s="352"/>
      <c r="S22" s="335"/>
    </row>
    <row r="23" spans="1:19" ht="12" customHeight="1" x14ac:dyDescent="0.2">
      <c r="A23" s="330" t="str">
        <f t="shared" si="0"/>
        <v>01</v>
      </c>
      <c r="B23" s="330">
        <v>200</v>
      </c>
      <c r="F23" s="626" t="s">
        <v>142</v>
      </c>
      <c r="H23" s="352"/>
      <c r="J23" s="624"/>
      <c r="L23" s="624"/>
      <c r="N23" s="631"/>
      <c r="P23" s="352"/>
      <c r="S23" s="335"/>
    </row>
    <row r="24" spans="1:19" ht="11.1" customHeight="1" x14ac:dyDescent="0.2">
      <c r="A24" s="330" t="str">
        <f t="shared" si="0"/>
        <v>01</v>
      </c>
      <c r="C24" s="353"/>
      <c r="D24" s="353"/>
      <c r="E24" s="626"/>
      <c r="F24" s="353"/>
      <c r="G24" s="353"/>
      <c r="H24" s="353"/>
      <c r="J24" s="353"/>
      <c r="K24" s="353"/>
      <c r="L24" s="353"/>
      <c r="S24" s="335"/>
    </row>
    <row r="25" spans="1:19" ht="15" customHeight="1" x14ac:dyDescent="0.2">
      <c r="A25" s="330" t="str">
        <f t="shared" si="0"/>
        <v>01</v>
      </c>
      <c r="C25" s="626" t="s">
        <v>5531</v>
      </c>
      <c r="D25" s="626"/>
      <c r="E25" s="626"/>
      <c r="F25" s="353"/>
      <c r="G25" s="353"/>
      <c r="H25" s="353"/>
      <c r="J25" s="353"/>
      <c r="K25" s="353"/>
      <c r="L25" s="353"/>
      <c r="S25" s="335"/>
    </row>
    <row r="26" spans="1:19" ht="10.35" customHeight="1" x14ac:dyDescent="0.2">
      <c r="A26" s="330" t="str">
        <f t="shared" si="0"/>
        <v>01</v>
      </c>
      <c r="C26" s="626"/>
      <c r="D26" s="626"/>
      <c r="E26" s="626"/>
      <c r="F26" s="353"/>
      <c r="G26" s="353"/>
      <c r="H26" s="353"/>
      <c r="J26" s="353"/>
      <c r="K26" s="353"/>
      <c r="L26" s="353"/>
      <c r="S26" s="335"/>
    </row>
    <row r="27" spans="1:19" ht="10.35" customHeight="1" x14ac:dyDescent="0.2">
      <c r="A27" s="330" t="str">
        <f t="shared" si="0"/>
        <v>01</v>
      </c>
      <c r="C27" s="14"/>
      <c r="D27" s="626"/>
      <c r="F27" s="353"/>
      <c r="G27" s="353"/>
      <c r="H27" s="353"/>
      <c r="J27" s="353"/>
      <c r="K27" s="353"/>
      <c r="L27" s="353"/>
      <c r="S27" s="335"/>
    </row>
    <row r="28" spans="1:19" ht="10.35" customHeight="1" x14ac:dyDescent="0.2">
      <c r="A28" s="330" t="str">
        <f t="shared" si="0"/>
        <v>01</v>
      </c>
      <c r="C28" s="14"/>
      <c r="D28" s="626"/>
      <c r="F28" s="353"/>
      <c r="G28" s="353"/>
      <c r="H28" s="353"/>
      <c r="J28" s="353"/>
      <c r="K28" s="353"/>
      <c r="L28" s="353"/>
      <c r="S28" s="335"/>
    </row>
    <row r="29" spans="1:19" ht="11.1" customHeight="1" x14ac:dyDescent="0.2">
      <c r="A29" s="330" t="str">
        <f t="shared" si="0"/>
        <v>01</v>
      </c>
      <c r="C29" s="627" t="s">
        <v>517</v>
      </c>
      <c r="D29" s="628" t="s">
        <v>213</v>
      </c>
      <c r="E29" s="626" t="s">
        <v>837</v>
      </c>
      <c r="F29" s="353"/>
      <c r="G29" s="353"/>
      <c r="H29" s="353"/>
      <c r="J29" s="353"/>
      <c r="K29" s="353"/>
      <c r="L29" s="353"/>
      <c r="S29" s="335"/>
    </row>
    <row r="30" spans="1:19" ht="11.1" customHeight="1" x14ac:dyDescent="0.2">
      <c r="A30" s="330" t="str">
        <f t="shared" si="0"/>
        <v>01</v>
      </c>
      <c r="C30" s="627"/>
      <c r="D30" s="628"/>
      <c r="E30" s="626" t="s">
        <v>838</v>
      </c>
      <c r="F30" s="353"/>
      <c r="G30" s="353"/>
      <c r="H30" s="353"/>
      <c r="J30" s="353"/>
      <c r="K30" s="353"/>
      <c r="L30" s="353"/>
      <c r="S30" s="335"/>
    </row>
    <row r="31" spans="1:19" ht="11.1" customHeight="1" x14ac:dyDescent="0.2">
      <c r="A31" s="330" t="str">
        <f t="shared" si="0"/>
        <v>01</v>
      </c>
      <c r="C31" s="627"/>
      <c r="D31" s="628"/>
      <c r="E31" s="626" t="s">
        <v>4733</v>
      </c>
      <c r="F31" s="353"/>
      <c r="G31" s="353"/>
      <c r="H31" s="353"/>
      <c r="J31" s="353"/>
      <c r="K31" s="353"/>
      <c r="L31" s="353"/>
      <c r="S31" s="335"/>
    </row>
    <row r="32" spans="1:19" ht="4.3499999999999996" customHeight="1" x14ac:dyDescent="0.2">
      <c r="A32" s="330" t="str">
        <f t="shared" ref="A32:A55" si="1">AgyIdx</f>
        <v>01</v>
      </c>
      <c r="C32" s="627"/>
      <c r="D32" s="628"/>
      <c r="F32" s="353"/>
      <c r="G32" s="353"/>
      <c r="H32" s="353"/>
      <c r="J32" s="353"/>
      <c r="K32" s="353"/>
      <c r="L32" s="353"/>
      <c r="S32" s="335"/>
    </row>
    <row r="33" spans="1:19" ht="10.5" customHeight="1" x14ac:dyDescent="0.2">
      <c r="A33" s="330" t="str">
        <f t="shared" si="1"/>
        <v>01</v>
      </c>
      <c r="C33" s="627"/>
      <c r="D33" s="628" t="s">
        <v>214</v>
      </c>
      <c r="E33" s="330" t="s">
        <v>4734</v>
      </c>
      <c r="F33" s="353"/>
      <c r="G33" s="353"/>
      <c r="H33" s="353"/>
      <c r="J33" s="353"/>
      <c r="K33" s="353"/>
      <c r="L33" s="353"/>
      <c r="S33" s="335"/>
    </row>
    <row r="34" spans="1:19" ht="10.5" customHeight="1" x14ac:dyDescent="0.2">
      <c r="A34" s="330" t="str">
        <f t="shared" si="1"/>
        <v>01</v>
      </c>
      <c r="C34" s="627"/>
      <c r="D34" s="628"/>
      <c r="E34" s="330" t="s">
        <v>4735</v>
      </c>
      <c r="F34" s="353"/>
      <c r="G34" s="353"/>
      <c r="H34" s="353"/>
      <c r="J34" s="353"/>
      <c r="K34" s="353"/>
      <c r="L34" s="353"/>
      <c r="S34" s="335"/>
    </row>
    <row r="35" spans="1:19" ht="4.3499999999999996" customHeight="1" x14ac:dyDescent="0.2">
      <c r="A35" s="330" t="str">
        <f t="shared" si="1"/>
        <v>01</v>
      </c>
      <c r="C35" s="627"/>
      <c r="D35" s="628"/>
      <c r="F35" s="353"/>
      <c r="G35" s="353"/>
      <c r="H35" s="353"/>
      <c r="J35" s="353"/>
      <c r="K35" s="353"/>
      <c r="L35" s="353"/>
      <c r="S35" s="335"/>
    </row>
    <row r="36" spans="1:19" ht="11.1" customHeight="1" x14ac:dyDescent="0.2">
      <c r="A36" s="330" t="str">
        <f t="shared" si="1"/>
        <v>01</v>
      </c>
      <c r="C36" s="627"/>
      <c r="D36" s="628" t="s">
        <v>143</v>
      </c>
      <c r="E36" s="330" t="s">
        <v>918</v>
      </c>
      <c r="F36" s="353"/>
      <c r="G36" s="353"/>
      <c r="H36" s="353"/>
      <c r="J36" s="353"/>
      <c r="K36" s="353"/>
      <c r="L36" s="353"/>
      <c r="S36" s="335"/>
    </row>
    <row r="37" spans="1:19" ht="11.1" customHeight="1" x14ac:dyDescent="0.2">
      <c r="A37" s="330" t="str">
        <f t="shared" si="1"/>
        <v>01</v>
      </c>
      <c r="C37" s="627"/>
      <c r="D37" s="628"/>
      <c r="E37" s="330" t="s">
        <v>13</v>
      </c>
      <c r="F37" s="353"/>
      <c r="G37" s="353"/>
      <c r="H37" s="353"/>
      <c r="J37" s="353"/>
      <c r="K37" s="353"/>
      <c r="L37" s="353"/>
      <c r="S37" s="335"/>
    </row>
    <row r="38" spans="1:19" ht="11.1" customHeight="1" x14ac:dyDescent="0.2">
      <c r="A38" s="330" t="str">
        <f t="shared" si="1"/>
        <v>01</v>
      </c>
      <c r="C38" s="626"/>
      <c r="E38" s="330" t="s">
        <v>4736</v>
      </c>
      <c r="F38" s="353"/>
      <c r="G38" s="353"/>
      <c r="H38" s="353"/>
      <c r="J38" s="353"/>
      <c r="K38" s="353"/>
      <c r="L38" s="353"/>
      <c r="S38" s="335"/>
    </row>
    <row r="39" spans="1:19" ht="6" customHeight="1" x14ac:dyDescent="0.2">
      <c r="A39" s="330" t="str">
        <f t="shared" si="1"/>
        <v>01</v>
      </c>
      <c r="C39" s="626"/>
      <c r="E39" s="626"/>
      <c r="F39" s="353"/>
      <c r="G39" s="353"/>
      <c r="H39" s="353"/>
      <c r="J39" s="353"/>
      <c r="K39" s="353"/>
      <c r="L39" s="353"/>
      <c r="S39" s="335"/>
    </row>
    <row r="40" spans="1:19" ht="11.1" customHeight="1" x14ac:dyDescent="0.2">
      <c r="A40" s="330" t="str">
        <f t="shared" si="1"/>
        <v>01</v>
      </c>
      <c r="C40" s="627" t="s">
        <v>518</v>
      </c>
      <c r="D40" s="628"/>
      <c r="E40" s="626" t="s">
        <v>129</v>
      </c>
      <c r="F40" s="353"/>
      <c r="G40" s="353"/>
      <c r="H40" s="353"/>
      <c r="J40" s="353"/>
      <c r="K40" s="353"/>
      <c r="L40" s="353"/>
      <c r="S40" s="335"/>
    </row>
    <row r="41" spans="1:19" ht="6" customHeight="1" x14ac:dyDescent="0.2">
      <c r="A41" s="330" t="str">
        <f t="shared" si="1"/>
        <v>01</v>
      </c>
      <c r="C41" s="627"/>
      <c r="D41" s="628"/>
      <c r="E41" s="626"/>
      <c r="F41" s="353"/>
      <c r="G41" s="353"/>
      <c r="H41" s="353"/>
      <c r="J41" s="353"/>
      <c r="K41" s="353"/>
      <c r="L41" s="353"/>
      <c r="S41" s="335"/>
    </row>
    <row r="42" spans="1:19" ht="11.1" customHeight="1" x14ac:dyDescent="0.2">
      <c r="A42" s="330" t="str">
        <f t="shared" si="1"/>
        <v>01</v>
      </c>
      <c r="C42" s="627" t="s">
        <v>421</v>
      </c>
      <c r="D42" s="628"/>
      <c r="E42" s="626" t="s">
        <v>245</v>
      </c>
      <c r="F42" s="353"/>
      <c r="G42" s="353"/>
      <c r="H42" s="353"/>
      <c r="J42" s="353"/>
      <c r="K42" s="353"/>
      <c r="L42" s="353"/>
      <c r="S42" s="335"/>
    </row>
    <row r="43" spans="1:19" ht="6" customHeight="1" x14ac:dyDescent="0.2">
      <c r="A43" s="330" t="str">
        <f t="shared" si="1"/>
        <v>01</v>
      </c>
      <c r="C43" s="353"/>
      <c r="D43" s="353"/>
      <c r="E43" s="626"/>
      <c r="F43" s="353"/>
      <c r="G43" s="353"/>
      <c r="H43" s="353"/>
      <c r="J43" s="353"/>
      <c r="K43" s="353"/>
      <c r="L43" s="353"/>
      <c r="S43" s="335"/>
    </row>
    <row r="44" spans="1:19" ht="11.1" customHeight="1" x14ac:dyDescent="0.2">
      <c r="A44" s="330" t="str">
        <f t="shared" si="1"/>
        <v>01</v>
      </c>
      <c r="C44" s="627" t="s">
        <v>363</v>
      </c>
      <c r="D44" s="353"/>
      <c r="E44" s="629" t="s">
        <v>955</v>
      </c>
      <c r="F44" s="353"/>
      <c r="G44" s="353"/>
      <c r="H44" s="353"/>
      <c r="J44" s="353"/>
      <c r="K44" s="353"/>
      <c r="L44" s="353"/>
      <c r="S44" s="335"/>
    </row>
    <row r="45" spans="1:19" ht="11.1" customHeight="1" x14ac:dyDescent="0.2">
      <c r="A45" s="330" t="str">
        <f t="shared" si="1"/>
        <v>01</v>
      </c>
      <c r="C45" s="353"/>
      <c r="D45" s="353"/>
      <c r="E45" s="626" t="s">
        <v>836</v>
      </c>
      <c r="F45" s="353"/>
      <c r="G45" s="353"/>
      <c r="H45" s="353"/>
      <c r="J45" s="353"/>
      <c r="K45" s="353"/>
      <c r="L45" s="353"/>
      <c r="S45" s="335"/>
    </row>
    <row r="46" spans="1:19" ht="11.1" customHeight="1" x14ac:dyDescent="0.2">
      <c r="A46" s="330" t="str">
        <f t="shared" si="1"/>
        <v>01</v>
      </c>
      <c r="C46" s="353"/>
      <c r="D46" s="353"/>
      <c r="E46" s="626" t="s">
        <v>4737</v>
      </c>
      <c r="F46" s="353"/>
      <c r="G46" s="353"/>
      <c r="H46" s="353"/>
      <c r="J46" s="353"/>
      <c r="K46" s="353"/>
      <c r="L46" s="353"/>
      <c r="S46" s="335"/>
    </row>
    <row r="47" spans="1:19" ht="12" customHeight="1" x14ac:dyDescent="0.2">
      <c r="A47" s="330" t="str">
        <f t="shared" si="1"/>
        <v>01</v>
      </c>
      <c r="C47" s="353"/>
      <c r="D47" s="353"/>
      <c r="E47" s="353"/>
      <c r="F47" s="353"/>
      <c r="G47" s="353"/>
      <c r="H47" s="353"/>
      <c r="J47" s="353"/>
      <c r="K47" s="353"/>
      <c r="L47" s="353"/>
      <c r="S47" s="335"/>
    </row>
    <row r="48" spans="1:19" ht="12" customHeight="1" x14ac:dyDescent="0.2">
      <c r="A48" s="330" t="str">
        <f t="shared" si="1"/>
        <v>01</v>
      </c>
      <c r="C48" s="353"/>
      <c r="D48" s="353"/>
      <c r="E48" s="353"/>
      <c r="F48" s="353"/>
      <c r="G48" s="353"/>
      <c r="H48" s="353"/>
      <c r="J48" s="353"/>
      <c r="K48" s="353"/>
      <c r="L48" s="353"/>
      <c r="S48" s="335"/>
    </row>
    <row r="49" spans="1:19" ht="12" customHeight="1" x14ac:dyDescent="0.2">
      <c r="A49" s="330" t="str">
        <f t="shared" si="1"/>
        <v>01</v>
      </c>
      <c r="C49" s="353"/>
      <c r="D49" s="353"/>
      <c r="E49" s="353"/>
      <c r="F49" s="353"/>
      <c r="G49" s="353"/>
      <c r="H49" s="353"/>
      <c r="J49" s="353"/>
      <c r="K49" s="353"/>
      <c r="L49" s="353"/>
      <c r="S49" s="335"/>
    </row>
    <row r="50" spans="1:19" ht="12" customHeight="1" x14ac:dyDescent="0.2">
      <c r="A50" s="330" t="str">
        <f t="shared" si="1"/>
        <v>01</v>
      </c>
      <c r="C50" s="353"/>
      <c r="D50" s="353"/>
      <c r="E50" s="353"/>
      <c r="F50" s="353"/>
      <c r="G50" s="353"/>
      <c r="H50" s="353"/>
      <c r="J50" s="353"/>
      <c r="K50" s="353"/>
      <c r="L50" s="353"/>
      <c r="S50" s="335"/>
    </row>
    <row r="51" spans="1:19" ht="12" customHeight="1" x14ac:dyDescent="0.2">
      <c r="A51" s="330" t="str">
        <f t="shared" si="1"/>
        <v>01</v>
      </c>
      <c r="C51" s="353"/>
      <c r="D51" s="353"/>
      <c r="E51" s="353"/>
      <c r="F51" s="353"/>
      <c r="G51" s="353"/>
      <c r="H51" s="353"/>
      <c r="J51" s="353"/>
      <c r="K51" s="353"/>
      <c r="L51" s="353"/>
      <c r="S51" s="335"/>
    </row>
    <row r="52" spans="1:19" ht="10.35" customHeight="1" x14ac:dyDescent="0.2">
      <c r="A52" s="330" t="str">
        <f t="shared" si="1"/>
        <v>01</v>
      </c>
    </row>
    <row r="53" spans="1:19" ht="12" customHeight="1" x14ac:dyDescent="0.2">
      <c r="A53" s="330" t="str">
        <f t="shared" si="1"/>
        <v>01</v>
      </c>
      <c r="C53" s="630"/>
      <c r="D53" s="630"/>
    </row>
    <row r="54" spans="1:19" x14ac:dyDescent="0.2">
      <c r="A54" s="330" t="str">
        <f t="shared" si="1"/>
        <v>01</v>
      </c>
    </row>
    <row r="55" spans="1:19" x14ac:dyDescent="0.2">
      <c r="A55" s="330" t="str">
        <f t="shared" si="1"/>
        <v>01</v>
      </c>
    </row>
  </sheetData>
  <sheetProtection algorithmName="SHA-512" hashValue="N940fdDOGKx6f9UbvFDILYwOfGeMJaXlxtwDb47X1HHHN29/3wbek5Ph1FoHIRxi2ttdePDA9EW+jIvsWpDwkg==" saltValue="H+zmy4nY8vDB1ulmvV1NCg==" spinCount="100000" sheet="1" objects="1" scenarios="1" autoFilter="0"/>
  <customSheetViews>
    <customSheetView guid="{B08879A4-635B-4C39-9937-AC7883D562FC}" showGridLines="0" fitToPage="1" hiddenColumns="1" topLeftCell="C1">
      <selection activeCell="F37" sqref="F37"/>
      <pageMargins left="0.5" right="0.5" top="0.5" bottom="0.5" header="0.5" footer="0.25"/>
      <pageSetup orientation="landscape" r:id="rId1"/>
      <headerFooter alignWithMargins="0">
        <oddFooter>&amp;R&amp;A</oddFooter>
      </headerFooter>
    </customSheetView>
    <customSheetView guid="{1250FD07-FF56-4A9D-AF9E-C27124A7EBE9}" showGridLines="0" fitToPage="1" showRuler="0">
      <selection activeCell="E8" sqref="E8:F8"/>
      <pageMargins left="0.5" right="0.5" top="0.5" bottom="0.5" header="0.5" footer="0.25"/>
      <pageSetup orientation="landscape" r:id="rId2"/>
      <headerFooter alignWithMargins="0">
        <oddFooter>&amp;R&amp;A</oddFooter>
      </headerFooter>
    </customSheetView>
    <customSheetView guid="{BEA4BE86-04D1-4C96-9358-7A260B9D2B2D}" showGridLines="0" fitToPage="1" showRuler="0">
      <selection activeCell="E8" sqref="E8:F8"/>
      <pageMargins left="0.5" right="0.5" top="0.5" bottom="0.5" header="0.5" footer="0.25"/>
      <pageSetup orientation="landscape" r:id="rId3"/>
      <headerFooter alignWithMargins="0">
        <oddFooter>&amp;R&amp;A</oddFooter>
      </headerFooter>
    </customSheetView>
    <customSheetView guid="{9FCFC836-1CA5-48BF-958D-24D2EA94B219}" showGridLines="0" fitToPage="1" hiddenColumns="1" topLeftCell="C1">
      <selection activeCell="F37" sqref="F37"/>
      <pageMargins left="0.5" right="0.5" top="0.5" bottom="0.5" header="0.5" footer="0.25"/>
      <pageSetup orientation="landscape" r:id="rId4"/>
      <headerFooter alignWithMargins="0">
        <oddFooter>&amp;R&amp;A</oddFooter>
      </headerFooter>
    </customSheetView>
  </customSheetViews>
  <mergeCells count="13">
    <mergeCell ref="F17:H17"/>
    <mergeCell ref="J16:N16"/>
    <mergeCell ref="C4:R4"/>
    <mergeCell ref="G8:H8"/>
    <mergeCell ref="S1:S3"/>
    <mergeCell ref="C11:R12"/>
    <mergeCell ref="N6:R6"/>
    <mergeCell ref="N7:R7"/>
    <mergeCell ref="N8:R8"/>
    <mergeCell ref="C1:R1"/>
    <mergeCell ref="G6:H6"/>
    <mergeCell ref="C2:R2"/>
    <mergeCell ref="C3:R3"/>
  </mergeCells>
  <phoneticPr fontId="15" type="noConversion"/>
  <conditionalFormatting sqref="S1:S3">
    <cfRule type="cellIs" dxfId="22" priority="1" stopIfTrue="1" operator="equal">
      <formula>"na"</formula>
    </cfRule>
  </conditionalFormatting>
  <hyperlinks>
    <hyperlink ref="C1:R1" location="Index!A1" display="Index!A1" xr:uid="{00000000-0004-0000-4500-000000000000}"/>
  </hyperlinks>
  <pageMargins left="0.5" right="0.5" top="0.5" bottom="0.5" header="0.5" footer="0.25"/>
  <pageSetup scale="95" orientation="landscape" r:id="rId5"/>
  <headerFooter alignWithMargins="0">
    <oddFooter xml:space="preserve">&amp;R&amp;A </oddFooter>
  </headerFooter>
  <ignoredErrors>
    <ignoredError sqref="C29 C40 C42 C44" numberStoredAsText="1"/>
  </ignoredError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9"/>
  <dimension ref="A1:AK113"/>
  <sheetViews>
    <sheetView showGridLines="0" topLeftCell="B1" zoomScaleNormal="100" workbookViewId="0">
      <selection activeCell="U6" sqref="U6"/>
    </sheetView>
  </sheetViews>
  <sheetFormatPr defaultColWidth="9.42578125" defaultRowHeight="12.75" x14ac:dyDescent="0.2"/>
  <cols>
    <col min="1" max="1" width="9.42578125" style="8" hidden="1" customWidth="1"/>
    <col min="2" max="2" width="6.5703125" style="8" customWidth="1"/>
    <col min="3" max="3" width="1.5703125" style="8" customWidth="1"/>
    <col min="4" max="4" width="10.140625" style="8" customWidth="1"/>
    <col min="5" max="5" width="12.28515625" style="8" customWidth="1"/>
    <col min="6" max="6" width="1.5703125" style="8" customWidth="1"/>
    <col min="7" max="7" width="8.140625" style="8" customWidth="1"/>
    <col min="8" max="8" width="0.5703125" style="8" customWidth="1"/>
    <col min="9" max="9" width="5.5703125" style="8" hidden="1" customWidth="1"/>
    <col min="10" max="10" width="2" style="8" customWidth="1"/>
    <col min="11" max="11" width="13.5703125" style="8" customWidth="1"/>
    <col min="12" max="12" width="2.5703125" style="8" customWidth="1"/>
    <col min="13" max="13" width="13.5703125" style="8" customWidth="1"/>
    <col min="14" max="14" width="1.42578125" style="8" customWidth="1"/>
    <col min="15" max="15" width="13.5703125" style="8" customWidth="1"/>
    <col min="16" max="16" width="1.42578125" style="8" customWidth="1"/>
    <col min="17" max="17" width="13.5703125" style="8" customWidth="1"/>
    <col min="18" max="18" width="0.5703125" style="8" customWidth="1"/>
    <col min="19" max="19" width="12.5703125" style="8" customWidth="1"/>
    <col min="20" max="20" width="0.5703125" style="8" customWidth="1"/>
    <col min="21" max="21" width="21.5703125" style="8" customWidth="1"/>
    <col min="22" max="22" width="0.5703125" style="8" customWidth="1"/>
    <col min="23" max="23" width="2.5703125" style="8" customWidth="1"/>
    <col min="24" max="24" width="7" style="8" hidden="1" customWidth="1"/>
    <col min="25" max="25" width="16.42578125" style="8" customWidth="1"/>
    <col min="26" max="27" width="2.42578125" style="8" customWidth="1"/>
    <col min="28" max="28" width="39.42578125" style="8" customWidth="1"/>
    <col min="29" max="31" width="39" style="8" customWidth="1"/>
    <col min="32" max="36" width="9.42578125" style="8" customWidth="1"/>
    <col min="37" max="37" width="9.42578125" style="2172"/>
    <col min="38" max="16384" width="9.42578125" style="8"/>
  </cols>
  <sheetData>
    <row r="1" spans="1:37" ht="25.15" customHeight="1" x14ac:dyDescent="0.25">
      <c r="A1" s="8" t="str">
        <f t="shared" ref="A1:A73" si="0">AgyIdx</f>
        <v>01</v>
      </c>
      <c r="B1" s="2449" t="str">
        <f>+Index!$A$1</f>
        <v xml:space="preserve">                                                               Office of the State Controller                                                                </v>
      </c>
      <c r="C1" s="2449"/>
      <c r="D1" s="2449"/>
      <c r="E1" s="2449"/>
      <c r="F1" s="2449"/>
      <c r="G1" s="2449"/>
      <c r="H1" s="2449"/>
      <c r="I1" s="2449"/>
      <c r="J1" s="2449"/>
      <c r="K1" s="2449"/>
      <c r="L1" s="2449"/>
      <c r="M1" s="2449"/>
      <c r="N1" s="2449"/>
      <c r="O1" s="2449"/>
      <c r="P1" s="2449"/>
      <c r="Q1" s="2449"/>
      <c r="R1" s="2449"/>
      <c r="S1" s="2449"/>
      <c r="T1" s="2449"/>
      <c r="U1" s="182" t="str">
        <f>IF(Index!$B$97="na","NA","")</f>
        <v/>
      </c>
      <c r="V1" s="776"/>
      <c r="W1" s="776"/>
      <c r="Y1" s="2510"/>
    </row>
    <row r="2" spans="1:37" ht="15" customHeight="1" x14ac:dyDescent="0.25">
      <c r="A2" s="8" t="str">
        <f t="shared" si="0"/>
        <v>01</v>
      </c>
      <c r="B2" s="2913" t="str">
        <f>+Index!$A$2</f>
        <v>2022 ACFR Worksheets</v>
      </c>
      <c r="C2" s="2913"/>
      <c r="D2" s="2913"/>
      <c r="E2" s="2913"/>
      <c r="F2" s="2913"/>
      <c r="G2" s="2913"/>
      <c r="H2" s="2913"/>
      <c r="I2" s="2913"/>
      <c r="J2" s="2913"/>
      <c r="K2" s="2913"/>
      <c r="L2" s="2913"/>
      <c r="M2" s="2913"/>
      <c r="N2" s="2913"/>
      <c r="O2" s="2913"/>
      <c r="P2" s="2913"/>
      <c r="Q2" s="2913"/>
      <c r="R2" s="2913"/>
      <c r="S2" s="2913"/>
      <c r="T2" s="2913"/>
      <c r="U2" s="182"/>
      <c r="V2" s="776"/>
      <c r="W2" s="776"/>
      <c r="Y2" s="2510"/>
    </row>
    <row r="3" spans="1:37" ht="15" customHeight="1" x14ac:dyDescent="0.25">
      <c r="A3" s="8" t="str">
        <f t="shared" si="0"/>
        <v>01</v>
      </c>
      <c r="B3" s="2913" t="s">
        <v>4082</v>
      </c>
      <c r="C3" s="2913"/>
      <c r="D3" s="2913"/>
      <c r="E3" s="2913"/>
      <c r="F3" s="2913"/>
      <c r="G3" s="2913"/>
      <c r="H3" s="2913"/>
      <c r="I3" s="2913"/>
      <c r="J3" s="2913"/>
      <c r="K3" s="2913"/>
      <c r="L3" s="2913"/>
      <c r="M3" s="2913"/>
      <c r="N3" s="2913"/>
      <c r="O3" s="2913"/>
      <c r="P3" s="2913"/>
      <c r="Q3" s="2913"/>
      <c r="R3" s="2913"/>
      <c r="S3" s="2913"/>
      <c r="T3" s="2913"/>
      <c r="U3" s="182"/>
      <c r="V3" s="776"/>
      <c r="W3" s="776"/>
      <c r="Y3" s="2510"/>
    </row>
    <row r="4" spans="1:37" ht="15" customHeight="1" x14ac:dyDescent="0.25">
      <c r="A4" s="8" t="str">
        <f t="shared" si="0"/>
        <v>01</v>
      </c>
      <c r="B4" s="2913" t="s">
        <v>4083</v>
      </c>
      <c r="C4" s="2913"/>
      <c r="D4" s="2913"/>
      <c r="E4" s="2913"/>
      <c r="F4" s="2913"/>
      <c r="G4" s="2913"/>
      <c r="H4" s="2913"/>
      <c r="I4" s="2913"/>
      <c r="J4" s="2913"/>
      <c r="K4" s="2913"/>
      <c r="L4" s="2913"/>
      <c r="M4" s="2913"/>
      <c r="N4" s="2913"/>
      <c r="O4" s="2913"/>
      <c r="P4" s="2913"/>
      <c r="Q4" s="2913"/>
      <c r="R4" s="2913"/>
      <c r="S4" s="2913"/>
      <c r="T4" s="2913"/>
      <c r="U4" s="1815"/>
      <c r="V4" s="1815"/>
      <c r="W4" s="776"/>
    </row>
    <row r="5" spans="1:37" ht="6" customHeight="1" x14ac:dyDescent="0.2">
      <c r="A5" s="8" t="str">
        <f t="shared" si="0"/>
        <v>01</v>
      </c>
      <c r="B5" s="776"/>
      <c r="C5" s="776"/>
      <c r="D5" s="776"/>
      <c r="E5" s="776"/>
      <c r="F5" s="776"/>
      <c r="G5" s="776"/>
      <c r="H5" s="776"/>
      <c r="I5" s="776"/>
      <c r="J5" s="776"/>
      <c r="K5" s="776"/>
      <c r="L5" s="776"/>
      <c r="M5" s="776"/>
      <c r="N5" s="776"/>
      <c r="O5" s="776"/>
      <c r="P5" s="776"/>
      <c r="Q5" s="776"/>
      <c r="R5" s="776"/>
      <c r="S5" s="776"/>
      <c r="T5" s="776"/>
      <c r="U5" s="776"/>
      <c r="V5" s="776"/>
      <c r="W5" s="776"/>
    </row>
    <row r="6" spans="1:37" ht="15" customHeight="1" x14ac:dyDescent="0.2">
      <c r="A6" s="8" t="str">
        <f t="shared" si="0"/>
        <v>01</v>
      </c>
      <c r="B6" s="776"/>
      <c r="C6" s="776"/>
      <c r="D6" s="776"/>
      <c r="E6" s="776"/>
      <c r="F6" s="776"/>
      <c r="G6" s="776"/>
      <c r="H6" s="776"/>
      <c r="I6" s="776"/>
      <c r="J6" s="776"/>
      <c r="K6" s="776"/>
      <c r="L6" s="9" t="s">
        <v>327</v>
      </c>
      <c r="M6" s="2947" t="str">
        <f>+Index!$E$10</f>
        <v>01</v>
      </c>
      <c r="N6" s="2947"/>
      <c r="O6" s="2947"/>
      <c r="P6" s="2947"/>
      <c r="Q6" s="2947"/>
      <c r="R6" s="776"/>
      <c r="S6" s="776"/>
      <c r="T6" s="776"/>
      <c r="U6" s="776"/>
      <c r="V6" s="776"/>
      <c r="W6" s="776"/>
    </row>
    <row r="7" spans="1:37" ht="15" customHeight="1" x14ac:dyDescent="0.2">
      <c r="A7" s="8" t="str">
        <f t="shared" si="0"/>
        <v>01</v>
      </c>
      <c r="B7" s="776"/>
      <c r="C7" s="776"/>
      <c r="D7" s="776"/>
      <c r="E7" s="776"/>
      <c r="F7" s="776"/>
      <c r="G7" s="776"/>
      <c r="H7" s="776"/>
      <c r="I7" s="776"/>
      <c r="J7" s="776"/>
      <c r="K7" s="776"/>
      <c r="L7" s="9" t="s">
        <v>1154</v>
      </c>
      <c r="M7" s="2947" t="str">
        <f>+Index!$E$11</f>
        <v>North Carolina General Assembly</v>
      </c>
      <c r="N7" s="2947"/>
      <c r="O7" s="2947"/>
      <c r="P7" s="2947"/>
      <c r="Q7" s="2947"/>
      <c r="R7" s="776"/>
      <c r="S7" s="776"/>
      <c r="T7" s="776"/>
      <c r="U7" s="776"/>
      <c r="V7" s="776"/>
      <c r="W7" s="776"/>
    </row>
    <row r="8" spans="1:37" ht="15" customHeight="1" x14ac:dyDescent="0.2">
      <c r="A8" s="8" t="str">
        <f t="shared" si="0"/>
        <v>01</v>
      </c>
      <c r="B8" s="791" t="s">
        <v>477</v>
      </c>
      <c r="C8" s="776"/>
      <c r="D8" s="776"/>
      <c r="E8" s="2915" t="s">
        <v>971</v>
      </c>
      <c r="F8" s="2915"/>
      <c r="G8" s="2915"/>
      <c r="H8" s="1623"/>
      <c r="I8" s="1623"/>
      <c r="J8" s="776"/>
      <c r="K8" s="776"/>
      <c r="L8" s="9" t="s">
        <v>972</v>
      </c>
      <c r="M8" s="2948" t="str">
        <f>CONCATENATE(Index!$E$12," ",Index!$E$14)</f>
        <v xml:space="preserve"> </v>
      </c>
      <c r="N8" s="2948"/>
      <c r="O8" s="2948"/>
      <c r="P8" s="2948"/>
      <c r="Q8" s="2948"/>
      <c r="R8" s="776"/>
      <c r="S8" s="776"/>
      <c r="T8" s="776"/>
      <c r="U8" s="776"/>
      <c r="V8" s="776"/>
      <c r="W8" s="776"/>
    </row>
    <row r="9" spans="1:37" ht="15" customHeight="1" x14ac:dyDescent="0.2">
      <c r="A9" s="8" t="str">
        <f t="shared" si="0"/>
        <v>01</v>
      </c>
      <c r="B9" s="776"/>
      <c r="C9" s="776"/>
      <c r="D9" s="776"/>
      <c r="E9" s="776"/>
      <c r="F9" s="776"/>
      <c r="G9" s="776"/>
      <c r="H9" s="1623"/>
      <c r="I9" s="1623"/>
      <c r="J9" s="776"/>
      <c r="K9" s="776"/>
      <c r="L9" s="9" t="s">
        <v>348</v>
      </c>
      <c r="M9" s="2949">
        <f>+Index!$E$13</f>
        <v>0</v>
      </c>
      <c r="N9" s="2949"/>
      <c r="O9" s="2949"/>
      <c r="P9" s="2949"/>
      <c r="Q9" s="2949"/>
      <c r="R9" s="776"/>
      <c r="S9" s="776"/>
      <c r="T9" s="776"/>
      <c r="U9" s="776"/>
      <c r="V9" s="776"/>
      <c r="W9" s="776"/>
    </row>
    <row r="10" spans="1:37" ht="5.25" customHeight="1" thickBot="1" x14ac:dyDescent="0.25">
      <c r="A10" s="8" t="str">
        <f t="shared" si="0"/>
        <v>01</v>
      </c>
      <c r="B10" s="1624"/>
      <c r="C10" s="1624"/>
      <c r="D10" s="1624"/>
      <c r="E10" s="1624"/>
      <c r="F10" s="1624"/>
      <c r="G10" s="1624"/>
      <c r="H10" s="1624"/>
      <c r="I10" s="1624"/>
      <c r="J10" s="1624"/>
      <c r="K10" s="1624"/>
      <c r="L10" s="1624"/>
      <c r="M10" s="1624"/>
      <c r="N10" s="1624"/>
      <c r="O10" s="1624"/>
      <c r="P10" s="1624"/>
      <c r="Q10" s="1624"/>
      <c r="R10" s="1624"/>
      <c r="S10" s="1624"/>
      <c r="T10" s="1624"/>
      <c r="U10" s="1624"/>
      <c r="V10" s="1624"/>
      <c r="W10" s="776"/>
    </row>
    <row r="11" spans="1:37" ht="3" customHeight="1" x14ac:dyDescent="0.2">
      <c r="A11" s="8" t="str">
        <f t="shared" si="0"/>
        <v>01</v>
      </c>
    </row>
    <row r="12" spans="1:37" ht="13.35" customHeight="1" thickBot="1" x14ac:dyDescent="0.3">
      <c r="A12" s="8" t="str">
        <f t="shared" si="0"/>
        <v>01</v>
      </c>
      <c r="B12" s="1625"/>
      <c r="C12" s="1625"/>
      <c r="D12" s="1625"/>
      <c r="E12" s="1625"/>
      <c r="F12" s="1625"/>
      <c r="G12" s="1625"/>
      <c r="H12" s="1625"/>
      <c r="I12" s="1625"/>
      <c r="J12" s="1625"/>
      <c r="K12" s="300"/>
      <c r="L12" s="1626"/>
      <c r="M12" s="2917" t="s">
        <v>4084</v>
      </c>
      <c r="N12" s="2917"/>
      <c r="O12" s="2917"/>
      <c r="P12" s="2917"/>
      <c r="Q12" s="2917"/>
      <c r="R12" s="149"/>
      <c r="S12" s="149"/>
      <c r="T12" s="149"/>
      <c r="U12" s="149"/>
    </row>
    <row r="13" spans="1:37" ht="13.35" customHeight="1" x14ac:dyDescent="0.25">
      <c r="B13" s="1625"/>
      <c r="C13" s="1625"/>
      <c r="D13" s="1625"/>
      <c r="E13" s="1625"/>
      <c r="F13" s="1625"/>
      <c r="G13" s="1625"/>
      <c r="H13" s="1625"/>
      <c r="I13" s="1625"/>
      <c r="J13" s="1625"/>
      <c r="K13" s="300"/>
      <c r="L13" s="1626"/>
      <c r="M13" s="2128" t="s">
        <v>5098</v>
      </c>
      <c r="N13" s="2128"/>
      <c r="O13" s="2128" t="s">
        <v>5099</v>
      </c>
      <c r="P13" s="2128"/>
      <c r="Q13" s="2128" t="s">
        <v>5100</v>
      </c>
      <c r="R13" s="2128"/>
      <c r="S13" s="2128" t="s">
        <v>5101</v>
      </c>
      <c r="T13" s="149"/>
      <c r="U13" s="149"/>
    </row>
    <row r="14" spans="1:37" ht="12" customHeight="1" x14ac:dyDescent="0.25">
      <c r="A14" s="8" t="str">
        <f t="shared" si="0"/>
        <v>01</v>
      </c>
      <c r="B14" s="1625"/>
      <c r="C14" s="1625"/>
      <c r="D14" s="1625"/>
      <c r="E14" s="1625"/>
      <c r="F14" s="1625"/>
      <c r="G14" s="1625"/>
      <c r="H14" s="1625"/>
      <c r="I14" s="1625"/>
      <c r="J14" s="1625"/>
      <c r="K14" s="300"/>
      <c r="L14" s="1626"/>
      <c r="M14" s="1627" t="s">
        <v>4085</v>
      </c>
      <c r="N14" s="1627"/>
      <c r="O14" s="1627" t="s">
        <v>4086</v>
      </c>
      <c r="P14" s="1628"/>
      <c r="Q14" s="1627" t="s">
        <v>4087</v>
      </c>
      <c r="R14" s="149"/>
      <c r="S14" s="149"/>
      <c r="T14" s="149"/>
      <c r="U14" s="1627" t="s">
        <v>4088</v>
      </c>
      <c r="AK14"/>
    </row>
    <row r="15" spans="1:37" ht="12" customHeight="1" x14ac:dyDescent="0.25">
      <c r="A15" s="8" t="str">
        <f t="shared" si="0"/>
        <v>01</v>
      </c>
      <c r="B15" s="1625"/>
      <c r="C15" s="1625"/>
      <c r="D15" s="1625"/>
      <c r="E15" s="1625"/>
      <c r="F15" s="1625"/>
      <c r="G15" s="1625"/>
      <c r="H15" s="1625"/>
      <c r="I15" s="1625"/>
      <c r="J15" s="1625"/>
      <c r="K15" s="1627"/>
      <c r="L15" s="1626"/>
      <c r="M15" s="1627" t="s">
        <v>4089</v>
      </c>
      <c r="N15" s="1628"/>
      <c r="O15" s="1627" t="s">
        <v>4090</v>
      </c>
      <c r="P15" s="1628"/>
      <c r="Q15" s="1627" t="s">
        <v>4091</v>
      </c>
      <c r="R15" s="149"/>
      <c r="S15" s="1627" t="s">
        <v>1156</v>
      </c>
      <c r="T15" s="149"/>
      <c r="U15" s="1627" t="s">
        <v>4092</v>
      </c>
    </row>
    <row r="16" spans="1:37" ht="12" customHeight="1" x14ac:dyDescent="0.25">
      <c r="A16" s="8" t="str">
        <f t="shared" si="0"/>
        <v>01</v>
      </c>
      <c r="B16" s="1625"/>
      <c r="C16" s="1627"/>
      <c r="D16" s="1625"/>
      <c r="E16" s="298" t="s">
        <v>973</v>
      </c>
      <c r="F16" s="298"/>
      <c r="G16" s="1625"/>
      <c r="H16" s="1625"/>
      <c r="I16" s="1625"/>
      <c r="J16" s="1625"/>
      <c r="K16" s="1627"/>
      <c r="L16" s="1625"/>
      <c r="M16" s="1627" t="s">
        <v>4093</v>
      </c>
      <c r="N16" s="1628"/>
      <c r="O16" s="1627" t="s">
        <v>4094</v>
      </c>
      <c r="P16" s="1628"/>
      <c r="Q16" s="1627" t="s">
        <v>4094</v>
      </c>
      <c r="R16" s="149"/>
      <c r="S16" s="1627" t="s">
        <v>4095</v>
      </c>
      <c r="T16" s="1629"/>
      <c r="U16" s="1627" t="s">
        <v>4143</v>
      </c>
      <c r="AB16" s="1627" t="s">
        <v>4145</v>
      </c>
      <c r="AC16" s="1627" t="s">
        <v>4145</v>
      </c>
      <c r="AD16" s="1627" t="s">
        <v>4145</v>
      </c>
      <c r="AE16" s="1627" t="s">
        <v>4145</v>
      </c>
    </row>
    <row r="17" spans="1:37" ht="12" customHeight="1" x14ac:dyDescent="0.25">
      <c r="A17" s="8" t="str">
        <f t="shared" si="0"/>
        <v>01</v>
      </c>
      <c r="B17" s="304" t="s">
        <v>653</v>
      </c>
      <c r="C17" s="1630"/>
      <c r="D17" s="1630"/>
      <c r="E17" s="1630"/>
      <c r="F17" s="304"/>
      <c r="G17" s="1630"/>
      <c r="H17" s="1625"/>
      <c r="I17" s="1625"/>
      <c r="J17" s="1625"/>
      <c r="K17" s="1631">
        <v>44742</v>
      </c>
      <c r="L17" s="1625"/>
      <c r="M17" s="1632" t="s">
        <v>4096</v>
      </c>
      <c r="N17" s="307"/>
      <c r="O17" s="1632" t="s">
        <v>4097</v>
      </c>
      <c r="P17" s="307"/>
      <c r="Q17" s="1632" t="s">
        <v>4098</v>
      </c>
      <c r="R17" s="149"/>
      <c r="S17" s="1632" t="s">
        <v>4099</v>
      </c>
      <c r="T17" s="1629"/>
      <c r="U17" s="1632" t="s">
        <v>4144</v>
      </c>
      <c r="Y17" s="1138" t="s">
        <v>1673</v>
      </c>
      <c r="AB17" s="1632" t="s">
        <v>4146</v>
      </c>
      <c r="AC17" s="1632" t="s">
        <v>4146</v>
      </c>
      <c r="AD17" s="1632" t="s">
        <v>4146</v>
      </c>
      <c r="AE17" s="1632" t="s">
        <v>4146</v>
      </c>
    </row>
    <row r="18" spans="1:37" ht="12" customHeight="1" x14ac:dyDescent="0.2">
      <c r="A18" s="8" t="str">
        <f t="shared" si="0"/>
        <v>01</v>
      </c>
      <c r="B18" s="149"/>
      <c r="C18" s="149"/>
      <c r="D18" s="149"/>
      <c r="E18" s="149"/>
      <c r="F18" s="149"/>
      <c r="G18" s="149"/>
      <c r="H18" s="149"/>
      <c r="I18" s="1633"/>
      <c r="J18" s="1633"/>
      <c r="K18" s="1634" t="s">
        <v>118</v>
      </c>
      <c r="L18" s="1634"/>
      <c r="M18" s="1634" t="s">
        <v>119</v>
      </c>
      <c r="N18" s="1634"/>
      <c r="O18" s="1634" t="s">
        <v>996</v>
      </c>
      <c r="P18" s="149"/>
      <c r="Q18" s="1634" t="s">
        <v>997</v>
      </c>
      <c r="R18" s="1634"/>
      <c r="S18" s="1634" t="s">
        <v>998</v>
      </c>
      <c r="T18" s="1634"/>
      <c r="U18" s="1634" t="s">
        <v>999</v>
      </c>
      <c r="Y18" s="1139" t="s">
        <v>1160</v>
      </c>
      <c r="AB18" s="1634" t="s">
        <v>321</v>
      </c>
      <c r="AC18" s="1634" t="s">
        <v>322</v>
      </c>
      <c r="AD18" s="1634" t="s">
        <v>320</v>
      </c>
      <c r="AE18" s="1634" t="s">
        <v>564</v>
      </c>
    </row>
    <row r="19" spans="1:37" ht="12" customHeight="1" x14ac:dyDescent="0.2">
      <c r="A19" s="8" t="str">
        <f t="shared" si="0"/>
        <v>01</v>
      </c>
      <c r="B19" s="309" t="s">
        <v>4100</v>
      </c>
      <c r="C19" s="1437"/>
      <c r="D19" s="149"/>
      <c r="E19" s="149"/>
      <c r="F19" s="149"/>
      <c r="G19" s="149"/>
      <c r="H19" s="149"/>
      <c r="I19" s="1633"/>
      <c r="J19" s="1633"/>
      <c r="K19" s="1635"/>
      <c r="L19" s="1635"/>
      <c r="M19" s="1635"/>
      <c r="N19" s="1635"/>
      <c r="O19" s="1635"/>
      <c r="P19" s="1635"/>
      <c r="Q19" s="1635"/>
      <c r="R19" s="1635"/>
      <c r="S19" s="149"/>
      <c r="T19" s="149"/>
      <c r="U19" s="149"/>
    </row>
    <row r="20" spans="1:37" ht="12" customHeight="1" x14ac:dyDescent="0.25">
      <c r="A20" s="8" t="str">
        <f t="shared" si="0"/>
        <v>01</v>
      </c>
      <c r="B20" s="313" t="s">
        <v>1208</v>
      </c>
      <c r="C20" s="1274"/>
      <c r="D20" s="149"/>
      <c r="E20" s="149"/>
      <c r="F20" s="149"/>
      <c r="G20" s="149"/>
      <c r="H20" s="149"/>
      <c r="I20" s="1273" t="s">
        <v>4187</v>
      </c>
      <c r="J20" s="1275"/>
      <c r="K20" s="1145">
        <f>SUMIF('710'!$B$21:$B$61,B20,'710'!$K$21:$K$61)</f>
        <v>0</v>
      </c>
      <c r="L20" s="1637"/>
      <c r="M20" s="1409"/>
      <c r="N20" s="1637"/>
      <c r="O20" s="1409"/>
      <c r="P20" s="1637"/>
      <c r="Q20" s="1409"/>
      <c r="R20" s="1635"/>
      <c r="S20" s="1638"/>
      <c r="T20" s="1639"/>
      <c r="U20" s="1515" t="str">
        <f>CONCATENATE(AF20,AG20,AH20,AI20)</f>
        <v/>
      </c>
      <c r="W20" s="609" t="str">
        <f>IF(X20=FALSE,"*","")</f>
        <v/>
      </c>
      <c r="X20" s="610" t="b">
        <f>+K20=SUM(M20,O20,Q20,S20)</f>
        <v>1</v>
      </c>
      <c r="Y20" s="1137">
        <f>K20-SUM(M20,O20,Q20, S20)</f>
        <v>0</v>
      </c>
      <c r="AB20" s="1665" t="s">
        <v>4177</v>
      </c>
      <c r="AC20" s="1665" t="s">
        <v>4177</v>
      </c>
      <c r="AD20" s="1665" t="s">
        <v>4177</v>
      </c>
      <c r="AE20" s="1665" t="s">
        <v>4177</v>
      </c>
      <c r="AF20" s="1662" t="str">
        <f>IF(AB20="—","",RIGHT(AB20,7))</f>
        <v/>
      </c>
      <c r="AG20" s="1662" t="str">
        <f>IF(AC20="—","",RIGHT(AC20,7))</f>
        <v/>
      </c>
      <c r="AH20" s="1662" t="str">
        <f>IF(AD20="—","",RIGHT(AD20,7))</f>
        <v/>
      </c>
      <c r="AI20" s="1662" t="str">
        <f>IF(AE20="—","",RIGHT(AE20,7))</f>
        <v/>
      </c>
      <c r="AK20" s="2172" t="s">
        <v>1208</v>
      </c>
    </row>
    <row r="21" spans="1:37" ht="12" customHeight="1" x14ac:dyDescent="0.25">
      <c r="A21" s="8" t="str">
        <f t="shared" si="0"/>
        <v>01</v>
      </c>
      <c r="B21" s="313" t="s">
        <v>921</v>
      </c>
      <c r="C21" s="1274"/>
      <c r="D21" s="149"/>
      <c r="E21" s="149"/>
      <c r="F21" s="149"/>
      <c r="G21" s="149"/>
      <c r="H21" s="149"/>
      <c r="I21" s="1273" t="s">
        <v>4188</v>
      </c>
      <c r="J21" s="1275"/>
      <c r="K21" s="1145">
        <f>SUMIF('710'!$B$21:$B$61,B21,'710'!$K$21:$K$61)</f>
        <v>0</v>
      </c>
      <c r="L21" s="1637"/>
      <c r="M21" s="1409"/>
      <c r="N21" s="1637"/>
      <c r="O21" s="1409"/>
      <c r="P21" s="1637"/>
      <c r="Q21" s="1409"/>
      <c r="R21" s="1635"/>
      <c r="S21" s="1638"/>
      <c r="T21" s="1639"/>
      <c r="U21" s="1515" t="str">
        <f t="shared" ref="U21:U77" si="1">CONCATENATE(AF21,AG21,AH21,AI21)</f>
        <v/>
      </c>
      <c r="W21" s="609" t="str">
        <f>IF(X21=FALSE,"*","")</f>
        <v/>
      </c>
      <c r="X21" s="610" t="b">
        <f>+K21=SUM(M21,O21,Q21,S21)</f>
        <v>1</v>
      </c>
      <c r="Y21" s="1137">
        <f t="shared" ref="Y21:Y47" si="2">K21-SUM(M21,O21,Q21, S21)</f>
        <v>0</v>
      </c>
      <c r="AB21" s="1665" t="s">
        <v>4177</v>
      </c>
      <c r="AC21" s="1665" t="s">
        <v>4177</v>
      </c>
      <c r="AD21" s="1665" t="s">
        <v>4177</v>
      </c>
      <c r="AE21" s="1665" t="s">
        <v>4177</v>
      </c>
      <c r="AF21" s="1662" t="str">
        <f t="shared" ref="AF21:AF77" si="3">IF(AB21="—","",RIGHT(AB21,7))</f>
        <v/>
      </c>
      <c r="AG21" s="1662" t="str">
        <f t="shared" ref="AG21:AG77" si="4">IF(AC21="—","",RIGHT(AC21,7))</f>
        <v/>
      </c>
      <c r="AH21" s="1662" t="str">
        <f t="shared" ref="AH21:AH77" si="5">IF(AD21="—","",RIGHT(AD21,7))</f>
        <v/>
      </c>
      <c r="AI21" s="1662" t="str">
        <f t="shared" ref="AI21:AI77" si="6">IF(AE21="—","",RIGHT(AE21,7))</f>
        <v/>
      </c>
      <c r="AK21" s="2172" t="s">
        <v>921</v>
      </c>
    </row>
    <row r="22" spans="1:37" ht="12" customHeight="1" x14ac:dyDescent="0.25">
      <c r="A22" s="8" t="str">
        <f t="shared" si="0"/>
        <v>01</v>
      </c>
      <c r="B22" s="313" t="s">
        <v>1851</v>
      </c>
      <c r="C22" s="1274"/>
      <c r="D22" s="149"/>
      <c r="E22" s="149"/>
      <c r="F22" s="149"/>
      <c r="G22" s="149"/>
      <c r="H22" s="149"/>
      <c r="I22" s="1273" t="s">
        <v>4189</v>
      </c>
      <c r="J22" s="1275"/>
      <c r="K22" s="1145">
        <f>SUMIF('710'!$B$21:$B$61,B22,'710'!$K$21:$K$61)</f>
        <v>0</v>
      </c>
      <c r="L22" s="1637"/>
      <c r="M22" s="1409"/>
      <c r="N22" s="1637"/>
      <c r="O22" s="1409"/>
      <c r="P22" s="1637"/>
      <c r="Q22" s="1409"/>
      <c r="R22" s="1635"/>
      <c r="S22" s="1638"/>
      <c r="T22" s="1639"/>
      <c r="U22" s="1515" t="str">
        <f t="shared" si="1"/>
        <v/>
      </c>
      <c r="W22" s="609" t="str">
        <f t="shared" ref="W22:W47" si="7">IF(X22=FALSE,"*","")</f>
        <v/>
      </c>
      <c r="X22" s="610" t="b">
        <f t="shared" ref="X22:X47" si="8">+K22=SUM(M22,O22,Q22,S22)</f>
        <v>1</v>
      </c>
      <c r="Y22" s="1137">
        <f t="shared" si="2"/>
        <v>0</v>
      </c>
      <c r="AB22" s="1665" t="s">
        <v>4177</v>
      </c>
      <c r="AC22" s="1665" t="s">
        <v>4177</v>
      </c>
      <c r="AD22" s="1665" t="s">
        <v>4177</v>
      </c>
      <c r="AE22" s="1665" t="s">
        <v>4177</v>
      </c>
      <c r="AF22" s="1662" t="str">
        <f t="shared" si="3"/>
        <v/>
      </c>
      <c r="AG22" s="1662" t="str">
        <f t="shared" si="4"/>
        <v/>
      </c>
      <c r="AH22" s="1662" t="str">
        <f t="shared" si="5"/>
        <v/>
      </c>
      <c r="AI22" s="1662" t="str">
        <f t="shared" si="6"/>
        <v/>
      </c>
      <c r="AK22" s="2172" t="s">
        <v>1851</v>
      </c>
    </row>
    <row r="23" spans="1:37" ht="12" customHeight="1" x14ac:dyDescent="0.25">
      <c r="A23" s="8" t="str">
        <f t="shared" si="0"/>
        <v>01</v>
      </c>
      <c r="B23" s="313" t="s">
        <v>1852</v>
      </c>
      <c r="C23" s="1274"/>
      <c r="D23" s="149"/>
      <c r="E23" s="149"/>
      <c r="F23" s="149"/>
      <c r="G23" s="149"/>
      <c r="H23" s="149"/>
      <c r="I23" s="1273" t="s">
        <v>4190</v>
      </c>
      <c r="J23" s="1275"/>
      <c r="K23" s="1145">
        <f>SUMIF('710'!$B$21:$B$61,B23,'710'!$K$21:$K$61)</f>
        <v>0</v>
      </c>
      <c r="L23" s="1637"/>
      <c r="M23" s="1409"/>
      <c r="N23" s="1637"/>
      <c r="O23" s="1409"/>
      <c r="P23" s="1637"/>
      <c r="Q23" s="1409"/>
      <c r="R23" s="1635"/>
      <c r="S23" s="1638"/>
      <c r="T23" s="1639"/>
      <c r="U23" s="1515" t="str">
        <f t="shared" si="1"/>
        <v/>
      </c>
      <c r="W23" s="609" t="str">
        <f t="shared" si="7"/>
        <v/>
      </c>
      <c r="X23" s="610" t="b">
        <f t="shared" si="8"/>
        <v>1</v>
      </c>
      <c r="Y23" s="1137">
        <f t="shared" si="2"/>
        <v>0</v>
      </c>
      <c r="AB23" s="1665" t="s">
        <v>4177</v>
      </c>
      <c r="AC23" s="1665" t="s">
        <v>4177</v>
      </c>
      <c r="AD23" s="1665" t="s">
        <v>4177</v>
      </c>
      <c r="AE23" s="1665" t="s">
        <v>4177</v>
      </c>
      <c r="AF23" s="1662" t="str">
        <f t="shared" si="3"/>
        <v/>
      </c>
      <c r="AG23" s="1662" t="str">
        <f t="shared" si="4"/>
        <v/>
      </c>
      <c r="AH23" s="1662" t="str">
        <f t="shared" si="5"/>
        <v/>
      </c>
      <c r="AI23" s="1662" t="str">
        <f t="shared" si="6"/>
        <v/>
      </c>
      <c r="AK23" s="2172" t="s">
        <v>1852</v>
      </c>
    </row>
    <row r="24" spans="1:37" ht="12" customHeight="1" x14ac:dyDescent="0.25">
      <c r="A24" s="8" t="str">
        <f t="shared" si="0"/>
        <v>01</v>
      </c>
      <c r="B24" s="313" t="s">
        <v>1853</v>
      </c>
      <c r="C24" s="1274"/>
      <c r="D24" s="149"/>
      <c r="E24" s="149"/>
      <c r="F24" s="149"/>
      <c r="G24" s="149"/>
      <c r="H24" s="149"/>
      <c r="I24" s="1273" t="s">
        <v>4191</v>
      </c>
      <c r="J24" s="1275"/>
      <c r="K24" s="1145">
        <f>SUMIF('710'!$B$21:$B$61,B24,'710'!$K$21:$K$61)</f>
        <v>0</v>
      </c>
      <c r="L24" s="1637"/>
      <c r="M24" s="1409"/>
      <c r="N24" s="1637"/>
      <c r="O24" s="1409"/>
      <c r="P24" s="1637"/>
      <c r="Q24" s="1409"/>
      <c r="R24" s="1635"/>
      <c r="S24" s="1638"/>
      <c r="T24" s="1639"/>
      <c r="U24" s="1515" t="str">
        <f t="shared" si="1"/>
        <v/>
      </c>
      <c r="W24" s="609" t="str">
        <f t="shared" si="7"/>
        <v/>
      </c>
      <c r="X24" s="610" t="b">
        <f t="shared" si="8"/>
        <v>1</v>
      </c>
      <c r="Y24" s="1137">
        <f t="shared" si="2"/>
        <v>0</v>
      </c>
      <c r="AB24" s="1665" t="s">
        <v>4177</v>
      </c>
      <c r="AC24" s="1665" t="s">
        <v>4177</v>
      </c>
      <c r="AD24" s="1665" t="s">
        <v>4177</v>
      </c>
      <c r="AE24" s="1665" t="s">
        <v>4177</v>
      </c>
      <c r="AF24" s="1662" t="str">
        <f t="shared" si="3"/>
        <v/>
      </c>
      <c r="AG24" s="1662" t="str">
        <f t="shared" si="4"/>
        <v/>
      </c>
      <c r="AH24" s="1662" t="str">
        <f t="shared" si="5"/>
        <v/>
      </c>
      <c r="AI24" s="1662" t="str">
        <f t="shared" si="6"/>
        <v/>
      </c>
      <c r="AK24" s="2172" t="s">
        <v>1853</v>
      </c>
    </row>
    <row r="25" spans="1:37" ht="12" customHeight="1" x14ac:dyDescent="0.25">
      <c r="A25" s="8" t="str">
        <f t="shared" si="0"/>
        <v>01</v>
      </c>
      <c r="B25" s="313" t="s">
        <v>1854</v>
      </c>
      <c r="C25" s="1274"/>
      <c r="D25" s="149"/>
      <c r="E25" s="149"/>
      <c r="F25" s="149"/>
      <c r="G25" s="149"/>
      <c r="H25" s="149"/>
      <c r="I25" s="1273" t="s">
        <v>4192</v>
      </c>
      <c r="J25" s="1275"/>
      <c r="K25" s="1145">
        <f>SUMIF('710'!$B$21:$B$61,B25,'710'!$K$21:$K$61)</f>
        <v>0</v>
      </c>
      <c r="L25" s="1637"/>
      <c r="M25" s="1409"/>
      <c r="N25" s="1637"/>
      <c r="O25" s="1409"/>
      <c r="P25" s="1637"/>
      <c r="Q25" s="1409"/>
      <c r="R25" s="1635"/>
      <c r="S25" s="1638"/>
      <c r="T25" s="1639"/>
      <c r="U25" s="1515" t="str">
        <f t="shared" si="1"/>
        <v/>
      </c>
      <c r="W25" s="609" t="str">
        <f t="shared" si="7"/>
        <v/>
      </c>
      <c r="X25" s="610" t="b">
        <f t="shared" si="8"/>
        <v>1</v>
      </c>
      <c r="Y25" s="1137">
        <f t="shared" si="2"/>
        <v>0</v>
      </c>
      <c r="AB25" s="1665" t="s">
        <v>4177</v>
      </c>
      <c r="AC25" s="1665" t="s">
        <v>4177</v>
      </c>
      <c r="AD25" s="1665" t="s">
        <v>4177</v>
      </c>
      <c r="AE25" s="1665" t="s">
        <v>4177</v>
      </c>
      <c r="AF25" s="1662" t="str">
        <f t="shared" si="3"/>
        <v/>
      </c>
      <c r="AG25" s="1662" t="str">
        <f t="shared" si="4"/>
        <v/>
      </c>
      <c r="AH25" s="1662" t="str">
        <f t="shared" si="5"/>
        <v/>
      </c>
      <c r="AI25" s="1662" t="str">
        <f t="shared" si="6"/>
        <v/>
      </c>
      <c r="AK25" s="2172" t="s">
        <v>1854</v>
      </c>
    </row>
    <row r="26" spans="1:37" ht="12" customHeight="1" x14ac:dyDescent="0.25">
      <c r="A26" s="8" t="str">
        <f t="shared" si="0"/>
        <v>01</v>
      </c>
      <c r="B26" s="313" t="s">
        <v>1855</v>
      </c>
      <c r="C26" s="1274"/>
      <c r="D26" s="149"/>
      <c r="E26" s="149"/>
      <c r="F26" s="149"/>
      <c r="G26" s="149"/>
      <c r="H26" s="149"/>
      <c r="I26" s="1273" t="s">
        <v>4193</v>
      </c>
      <c r="J26" s="1275"/>
      <c r="K26" s="1145">
        <f>SUMIF('710'!$B$21:$B$61,B26,'710'!$K$21:$K$61)</f>
        <v>0</v>
      </c>
      <c r="L26" s="1637"/>
      <c r="M26" s="1409"/>
      <c r="N26" s="1637"/>
      <c r="O26" s="1409"/>
      <c r="P26" s="1637"/>
      <c r="Q26" s="1409"/>
      <c r="R26" s="1635"/>
      <c r="S26" s="1638"/>
      <c r="T26" s="1639"/>
      <c r="U26" s="1515" t="str">
        <f t="shared" si="1"/>
        <v/>
      </c>
      <c r="W26" s="609" t="str">
        <f t="shared" si="7"/>
        <v/>
      </c>
      <c r="X26" s="610" t="b">
        <f t="shared" si="8"/>
        <v>1</v>
      </c>
      <c r="Y26" s="1137">
        <f t="shared" si="2"/>
        <v>0</v>
      </c>
      <c r="AB26" s="1665" t="s">
        <v>4177</v>
      </c>
      <c r="AC26" s="1665" t="s">
        <v>4177</v>
      </c>
      <c r="AD26" s="1665" t="s">
        <v>4177</v>
      </c>
      <c r="AE26" s="1665" t="s">
        <v>4177</v>
      </c>
      <c r="AF26" s="1662" t="str">
        <f t="shared" si="3"/>
        <v/>
      </c>
      <c r="AG26" s="1662" t="str">
        <f t="shared" si="4"/>
        <v/>
      </c>
      <c r="AH26" s="1662" t="str">
        <f t="shared" si="5"/>
        <v/>
      </c>
      <c r="AI26" s="1662" t="str">
        <f t="shared" si="6"/>
        <v/>
      </c>
      <c r="AK26" s="2172" t="s">
        <v>1855</v>
      </c>
    </row>
    <row r="27" spans="1:37" ht="12" customHeight="1" x14ac:dyDescent="0.25">
      <c r="A27" s="8" t="str">
        <f t="shared" si="0"/>
        <v>01</v>
      </c>
      <c r="B27" s="313" t="s">
        <v>1856</v>
      </c>
      <c r="C27" s="1274"/>
      <c r="D27" s="149"/>
      <c r="E27" s="149"/>
      <c r="F27" s="149"/>
      <c r="G27" s="149"/>
      <c r="H27" s="149"/>
      <c r="I27" s="1273" t="s">
        <v>4194</v>
      </c>
      <c r="J27" s="1275"/>
      <c r="K27" s="1145">
        <f>SUMIF('710'!$B$21:$B$61,B27,'710'!$K$21:$K$61)</f>
        <v>0</v>
      </c>
      <c r="L27" s="1637"/>
      <c r="M27" s="1409"/>
      <c r="N27" s="1637"/>
      <c r="O27" s="1409"/>
      <c r="P27" s="1637"/>
      <c r="Q27" s="1409"/>
      <c r="R27" s="1635"/>
      <c r="S27" s="1409"/>
      <c r="T27" s="1639"/>
      <c r="U27" s="1515" t="str">
        <f t="shared" si="1"/>
        <v/>
      </c>
      <c r="W27" s="609" t="str">
        <f t="shared" si="7"/>
        <v/>
      </c>
      <c r="X27" s="610" t="b">
        <f t="shared" si="8"/>
        <v>1</v>
      </c>
      <c r="Y27" s="1137">
        <f t="shared" si="2"/>
        <v>0</v>
      </c>
      <c r="AB27" s="1665" t="s">
        <v>4177</v>
      </c>
      <c r="AC27" s="1665" t="s">
        <v>4177</v>
      </c>
      <c r="AD27" s="1665" t="s">
        <v>4177</v>
      </c>
      <c r="AE27" s="1665" t="s">
        <v>4177</v>
      </c>
      <c r="AF27" s="1662" t="str">
        <f t="shared" si="3"/>
        <v/>
      </c>
      <c r="AG27" s="1662" t="str">
        <f t="shared" si="4"/>
        <v/>
      </c>
      <c r="AH27" s="1662" t="str">
        <f t="shared" si="5"/>
        <v/>
      </c>
      <c r="AI27" s="1662" t="str">
        <f t="shared" si="6"/>
        <v/>
      </c>
      <c r="AK27" s="2172" t="s">
        <v>1856</v>
      </c>
    </row>
    <row r="28" spans="1:37" ht="12" customHeight="1" x14ac:dyDescent="0.25">
      <c r="A28" s="8" t="str">
        <f t="shared" si="0"/>
        <v>01</v>
      </c>
      <c r="B28" s="313" t="s">
        <v>1857</v>
      </c>
      <c r="C28" s="1274"/>
      <c r="D28" s="149"/>
      <c r="E28" s="149"/>
      <c r="F28" s="149"/>
      <c r="G28" s="149"/>
      <c r="H28" s="149"/>
      <c r="I28" s="1273" t="s">
        <v>4195</v>
      </c>
      <c r="J28" s="1275"/>
      <c r="K28" s="1145">
        <f>SUMIF('710'!$B$21:$B$61,B28,'710'!$K$21:$K$61)</f>
        <v>0</v>
      </c>
      <c r="L28" s="1637"/>
      <c r="M28" s="1409"/>
      <c r="N28" s="1637"/>
      <c r="O28" s="1409"/>
      <c r="P28" s="1637"/>
      <c r="Q28" s="1409"/>
      <c r="R28" s="1635"/>
      <c r="S28" s="1409"/>
      <c r="T28" s="1639"/>
      <c r="U28" s="1515" t="str">
        <f t="shared" si="1"/>
        <v/>
      </c>
      <c r="W28" s="609" t="str">
        <f t="shared" si="7"/>
        <v/>
      </c>
      <c r="X28" s="610" t="b">
        <f t="shared" si="8"/>
        <v>1</v>
      </c>
      <c r="Y28" s="1137">
        <f t="shared" si="2"/>
        <v>0</v>
      </c>
      <c r="AB28" s="1665" t="s">
        <v>4177</v>
      </c>
      <c r="AC28" s="1665" t="s">
        <v>4177</v>
      </c>
      <c r="AD28" s="1665" t="s">
        <v>4177</v>
      </c>
      <c r="AE28" s="1665" t="s">
        <v>4177</v>
      </c>
      <c r="AF28" s="1662" t="str">
        <f t="shared" si="3"/>
        <v/>
      </c>
      <c r="AG28" s="1662" t="str">
        <f t="shared" si="4"/>
        <v/>
      </c>
      <c r="AH28" s="1662" t="str">
        <f t="shared" si="5"/>
        <v/>
      </c>
      <c r="AI28" s="1662" t="str">
        <f t="shared" si="6"/>
        <v/>
      </c>
      <c r="AK28" s="2172" t="s">
        <v>1857</v>
      </c>
    </row>
    <row r="29" spans="1:37" ht="12" customHeight="1" x14ac:dyDescent="0.25">
      <c r="A29" s="8" t="str">
        <f t="shared" si="0"/>
        <v>01</v>
      </c>
      <c r="B29" s="313" t="s">
        <v>655</v>
      </c>
      <c r="C29" s="1274"/>
      <c r="D29" s="149"/>
      <c r="E29" s="149"/>
      <c r="F29" s="149"/>
      <c r="G29" s="149"/>
      <c r="H29" s="149"/>
      <c r="I29" s="1273" t="s">
        <v>4197</v>
      </c>
      <c r="J29" s="1275"/>
      <c r="K29" s="1145">
        <f>SUMIF('710'!$B$21:$B$61,B29,'710'!$K$21:$K$61)</f>
        <v>0</v>
      </c>
      <c r="L29" s="1637"/>
      <c r="M29" s="1409"/>
      <c r="N29" s="1637"/>
      <c r="O29" s="1409"/>
      <c r="P29" s="1637"/>
      <c r="Q29" s="1409"/>
      <c r="R29" s="1635"/>
      <c r="S29" s="1641"/>
      <c r="T29" s="1639"/>
      <c r="U29" s="1515" t="str">
        <f t="shared" si="1"/>
        <v/>
      </c>
      <c r="W29" s="609" t="str">
        <f t="shared" si="7"/>
        <v/>
      </c>
      <c r="X29" s="610" t="b">
        <f t="shared" si="8"/>
        <v>1</v>
      </c>
      <c r="Y29" s="1137">
        <f t="shared" si="2"/>
        <v>0</v>
      </c>
      <c r="AB29" s="1665" t="s">
        <v>4177</v>
      </c>
      <c r="AC29" s="1665" t="s">
        <v>4177</v>
      </c>
      <c r="AD29" s="1665" t="s">
        <v>4177</v>
      </c>
      <c r="AE29" s="1665" t="s">
        <v>4177</v>
      </c>
      <c r="AF29" s="1662" t="str">
        <f t="shared" si="3"/>
        <v/>
      </c>
      <c r="AG29" s="1662" t="str">
        <f t="shared" si="4"/>
        <v/>
      </c>
      <c r="AH29" s="1662" t="str">
        <f t="shared" si="5"/>
        <v/>
      </c>
      <c r="AI29" s="1662" t="str">
        <f t="shared" si="6"/>
        <v/>
      </c>
      <c r="AK29" s="2172" t="s">
        <v>655</v>
      </c>
    </row>
    <row r="30" spans="1:37" ht="12" customHeight="1" x14ac:dyDescent="0.25">
      <c r="A30" s="8" t="str">
        <f t="shared" si="0"/>
        <v>01</v>
      </c>
      <c r="B30" s="149" t="s">
        <v>1871</v>
      </c>
      <c r="C30" s="1274"/>
      <c r="D30" s="149"/>
      <c r="E30" s="149"/>
      <c r="F30" s="149"/>
      <c r="G30" s="149"/>
      <c r="H30" s="149"/>
      <c r="I30" s="1273" t="s">
        <v>4196</v>
      </c>
      <c r="J30" s="1275"/>
      <c r="K30" s="1145">
        <f>SUMIF('710'!$B$21:$B$61,B30,'710'!$K$21:$K$61)</f>
        <v>0</v>
      </c>
      <c r="L30" s="1637"/>
      <c r="M30" s="1409"/>
      <c r="N30" s="1637"/>
      <c r="O30" s="1409"/>
      <c r="P30" s="1637"/>
      <c r="Q30" s="1409"/>
      <c r="R30" s="1635"/>
      <c r="S30" s="1638"/>
      <c r="T30" s="1639"/>
      <c r="U30" s="1515" t="str">
        <f t="shared" si="1"/>
        <v/>
      </c>
      <c r="W30" s="609" t="str">
        <f t="shared" si="7"/>
        <v/>
      </c>
      <c r="X30" s="610" t="b">
        <f t="shared" si="8"/>
        <v>1</v>
      </c>
      <c r="Y30" s="1137">
        <f t="shared" si="2"/>
        <v>0</v>
      </c>
      <c r="AB30" s="1665" t="s">
        <v>4177</v>
      </c>
      <c r="AC30" s="1665" t="s">
        <v>4177</v>
      </c>
      <c r="AD30" s="1665" t="s">
        <v>4177</v>
      </c>
      <c r="AE30" s="1665" t="s">
        <v>4177</v>
      </c>
      <c r="AF30" s="1662" t="str">
        <f t="shared" si="3"/>
        <v/>
      </c>
      <c r="AG30" s="1662" t="str">
        <f t="shared" si="4"/>
        <v/>
      </c>
      <c r="AH30" s="1662" t="str">
        <f t="shared" si="5"/>
        <v/>
      </c>
      <c r="AI30" s="1662" t="str">
        <f t="shared" si="6"/>
        <v/>
      </c>
      <c r="AK30" s="2172" t="s">
        <v>1871</v>
      </c>
    </row>
    <row r="31" spans="1:37" ht="12" customHeight="1" x14ac:dyDescent="0.25">
      <c r="A31" s="8" t="str">
        <f t="shared" si="0"/>
        <v>01</v>
      </c>
      <c r="B31" s="313" t="s">
        <v>1866</v>
      </c>
      <c r="C31" s="1274"/>
      <c r="D31" s="149"/>
      <c r="E31" s="149"/>
      <c r="F31" s="149"/>
      <c r="G31" s="149"/>
      <c r="H31" s="149"/>
      <c r="I31" s="1273" t="s">
        <v>4353</v>
      </c>
      <c r="J31" s="1275"/>
      <c r="K31" s="1145">
        <f>SUMIF('710'!$B$21:$B$61,B31,'710'!$K$21:$K$61)</f>
        <v>0</v>
      </c>
      <c r="L31" s="1637"/>
      <c r="M31" s="1409"/>
      <c r="N31" s="1637"/>
      <c r="O31" s="1409"/>
      <c r="P31" s="1637"/>
      <c r="Q31" s="1409"/>
      <c r="R31" s="1635"/>
      <c r="S31" s="1638"/>
      <c r="T31" s="1639"/>
      <c r="U31" s="1515" t="str">
        <f t="shared" si="1"/>
        <v/>
      </c>
      <c r="W31" s="609" t="str">
        <f t="shared" si="7"/>
        <v/>
      </c>
      <c r="X31" s="610" t="b">
        <f t="shared" si="8"/>
        <v>1</v>
      </c>
      <c r="Y31" s="1137">
        <f t="shared" si="2"/>
        <v>0</v>
      </c>
      <c r="AB31" s="1665" t="s">
        <v>4177</v>
      </c>
      <c r="AC31" s="1665" t="s">
        <v>4177</v>
      </c>
      <c r="AD31" s="1665" t="s">
        <v>4177</v>
      </c>
      <c r="AE31" s="1665" t="s">
        <v>4177</v>
      </c>
      <c r="AF31" s="1662" t="str">
        <f t="shared" si="3"/>
        <v/>
      </c>
      <c r="AG31" s="1662" t="str">
        <f t="shared" si="4"/>
        <v/>
      </c>
      <c r="AH31" s="1662" t="str">
        <f t="shared" si="5"/>
        <v/>
      </c>
      <c r="AI31" s="1662" t="str">
        <f t="shared" si="6"/>
        <v/>
      </c>
      <c r="AK31" s="2172" t="s">
        <v>1866</v>
      </c>
    </row>
    <row r="32" spans="1:37" ht="12" customHeight="1" x14ac:dyDescent="0.25">
      <c r="A32" s="8" t="str">
        <f t="shared" si="0"/>
        <v>01</v>
      </c>
      <c r="B32" s="149" t="s">
        <v>1877</v>
      </c>
      <c r="C32" s="1274"/>
      <c r="D32" s="149"/>
      <c r="E32" s="149"/>
      <c r="F32" s="149"/>
      <c r="G32" s="149"/>
      <c r="H32" s="149"/>
      <c r="I32" s="1273" t="s">
        <v>4198</v>
      </c>
      <c r="J32" s="1275"/>
      <c r="K32" s="1145">
        <f>SUMIF('710'!$B$21:$B$61,B32,'710'!$K$21:$K$61)</f>
        <v>0</v>
      </c>
      <c r="L32" s="1637"/>
      <c r="M32" s="1409"/>
      <c r="N32" s="1637"/>
      <c r="O32" s="1409"/>
      <c r="P32" s="1637"/>
      <c r="Q32" s="1409"/>
      <c r="R32" s="1635"/>
      <c r="S32" s="1409"/>
      <c r="T32" s="1639"/>
      <c r="U32" s="1515" t="str">
        <f t="shared" si="1"/>
        <v/>
      </c>
      <c r="W32" s="609" t="str">
        <f t="shared" si="7"/>
        <v/>
      </c>
      <c r="X32" s="610" t="b">
        <f t="shared" si="8"/>
        <v>1</v>
      </c>
      <c r="Y32" s="1137">
        <f t="shared" si="2"/>
        <v>0</v>
      </c>
      <c r="AB32" s="1665" t="s">
        <v>4177</v>
      </c>
      <c r="AC32" s="1665" t="s">
        <v>4177</v>
      </c>
      <c r="AD32" s="1665" t="s">
        <v>4177</v>
      </c>
      <c r="AE32" s="1665" t="s">
        <v>4177</v>
      </c>
      <c r="AF32" s="1662" t="str">
        <f t="shared" si="3"/>
        <v/>
      </c>
      <c r="AG32" s="1662" t="str">
        <f t="shared" si="4"/>
        <v/>
      </c>
      <c r="AH32" s="1662" t="str">
        <f t="shared" si="5"/>
        <v/>
      </c>
      <c r="AI32" s="1662" t="str">
        <f t="shared" si="6"/>
        <v/>
      </c>
      <c r="AK32" s="2172" t="s">
        <v>1877</v>
      </c>
    </row>
    <row r="33" spans="1:37" ht="12" customHeight="1" x14ac:dyDescent="0.25">
      <c r="A33" s="8" t="str">
        <f t="shared" si="0"/>
        <v>01</v>
      </c>
      <c r="B33" s="149" t="s">
        <v>1870</v>
      </c>
      <c r="C33" s="1274"/>
      <c r="D33" s="149"/>
      <c r="E33" s="149"/>
      <c r="F33" s="149"/>
      <c r="G33" s="149"/>
      <c r="H33" s="149"/>
      <c r="I33" s="1273" t="s">
        <v>4199</v>
      </c>
      <c r="J33" s="1275"/>
      <c r="K33" s="1145">
        <f>SUMIF('710'!$B$21:$B$61,B33,'710'!$K$21:$K$61)</f>
        <v>0</v>
      </c>
      <c r="L33" s="1637"/>
      <c r="M33" s="1409"/>
      <c r="N33" s="1637"/>
      <c r="O33" s="1409"/>
      <c r="P33" s="1637"/>
      <c r="Q33" s="1409"/>
      <c r="R33" s="1635"/>
      <c r="S33" s="1638"/>
      <c r="T33" s="1639"/>
      <c r="U33" s="1515" t="str">
        <f t="shared" si="1"/>
        <v/>
      </c>
      <c r="W33" s="609" t="str">
        <f t="shared" si="7"/>
        <v/>
      </c>
      <c r="X33" s="610" t="b">
        <f t="shared" si="8"/>
        <v>1</v>
      </c>
      <c r="Y33" s="1137">
        <f t="shared" si="2"/>
        <v>0</v>
      </c>
      <c r="AB33" s="1665" t="s">
        <v>4177</v>
      </c>
      <c r="AC33" s="1665" t="s">
        <v>4177</v>
      </c>
      <c r="AD33" s="1665" t="s">
        <v>4177</v>
      </c>
      <c r="AE33" s="1665" t="s">
        <v>4177</v>
      </c>
      <c r="AF33" s="1662" t="str">
        <f t="shared" si="3"/>
        <v/>
      </c>
      <c r="AG33" s="1662" t="str">
        <f t="shared" si="4"/>
        <v/>
      </c>
      <c r="AH33" s="1662" t="str">
        <f t="shared" si="5"/>
        <v/>
      </c>
      <c r="AI33" s="1662" t="str">
        <f t="shared" si="6"/>
        <v/>
      </c>
      <c r="AK33" s="2172" t="s">
        <v>1870</v>
      </c>
    </row>
    <row r="34" spans="1:37" ht="12" customHeight="1" x14ac:dyDescent="0.25">
      <c r="A34" s="8" t="str">
        <f t="shared" si="0"/>
        <v>01</v>
      </c>
      <c r="B34" s="313" t="s">
        <v>1867</v>
      </c>
      <c r="C34" s="1274"/>
      <c r="D34" s="149"/>
      <c r="E34" s="149"/>
      <c r="F34" s="149"/>
      <c r="G34" s="149"/>
      <c r="H34" s="149"/>
      <c r="I34" s="1273" t="s">
        <v>4200</v>
      </c>
      <c r="J34" s="1275"/>
      <c r="K34" s="1145">
        <f>SUMIF('710'!$B$21:$B$61,B34,'710'!$K$21:$K$61)</f>
        <v>0</v>
      </c>
      <c r="L34" s="1637"/>
      <c r="M34" s="1409"/>
      <c r="N34" s="1637"/>
      <c r="O34" s="1409"/>
      <c r="P34" s="1637"/>
      <c r="Q34" s="1409"/>
      <c r="R34" s="1635"/>
      <c r="S34" s="1638"/>
      <c r="T34" s="1639"/>
      <c r="U34" s="1515" t="str">
        <f t="shared" si="1"/>
        <v/>
      </c>
      <c r="W34" s="609" t="str">
        <f t="shared" si="7"/>
        <v/>
      </c>
      <c r="X34" s="610" t="b">
        <f t="shared" si="8"/>
        <v>1</v>
      </c>
      <c r="Y34" s="1137">
        <f t="shared" si="2"/>
        <v>0</v>
      </c>
      <c r="AB34" s="1665" t="s">
        <v>4177</v>
      </c>
      <c r="AC34" s="1665" t="s">
        <v>4177</v>
      </c>
      <c r="AD34" s="1665" t="s">
        <v>4177</v>
      </c>
      <c r="AE34" s="1665" t="s">
        <v>4177</v>
      </c>
      <c r="AF34" s="1662" t="str">
        <f t="shared" si="3"/>
        <v/>
      </c>
      <c r="AG34" s="1662" t="str">
        <f t="shared" si="4"/>
        <v/>
      </c>
      <c r="AH34" s="1662" t="str">
        <f t="shared" si="5"/>
        <v/>
      </c>
      <c r="AI34" s="1662" t="str">
        <f t="shared" si="6"/>
        <v/>
      </c>
      <c r="AK34" s="2172" t="s">
        <v>1867</v>
      </c>
    </row>
    <row r="35" spans="1:37" ht="12" customHeight="1" x14ac:dyDescent="0.25">
      <c r="A35" s="8" t="str">
        <f t="shared" si="0"/>
        <v>01</v>
      </c>
      <c r="B35" s="149" t="s">
        <v>1868</v>
      </c>
      <c r="C35" s="1274"/>
      <c r="D35" s="149"/>
      <c r="E35" s="149"/>
      <c r="F35" s="149"/>
      <c r="G35" s="149"/>
      <c r="H35" s="149"/>
      <c r="I35" s="1273" t="s">
        <v>4201</v>
      </c>
      <c r="J35" s="1275"/>
      <c r="K35" s="1145">
        <f>SUMIF('710'!$B$21:$B$61,B35,'710'!$K$21:$K$61)</f>
        <v>0</v>
      </c>
      <c r="L35" s="1637"/>
      <c r="M35" s="1409"/>
      <c r="N35" s="1637"/>
      <c r="O35" s="1409"/>
      <c r="P35" s="1637"/>
      <c r="Q35" s="1409"/>
      <c r="R35" s="1635"/>
      <c r="S35" s="1638"/>
      <c r="T35" s="1639"/>
      <c r="U35" s="1515" t="str">
        <f t="shared" si="1"/>
        <v/>
      </c>
      <c r="W35" s="609" t="str">
        <f t="shared" si="7"/>
        <v/>
      </c>
      <c r="X35" s="610" t="b">
        <f t="shared" si="8"/>
        <v>1</v>
      </c>
      <c r="Y35" s="1137">
        <f t="shared" si="2"/>
        <v>0</v>
      </c>
      <c r="AB35" s="1665" t="s">
        <v>4177</v>
      </c>
      <c r="AC35" s="1665" t="s">
        <v>4177</v>
      </c>
      <c r="AD35" s="1665" t="s">
        <v>4177</v>
      </c>
      <c r="AE35" s="1665" t="s">
        <v>4177</v>
      </c>
      <c r="AF35" s="1662" t="str">
        <f t="shared" si="3"/>
        <v/>
      </c>
      <c r="AG35" s="1662" t="str">
        <f t="shared" si="4"/>
        <v/>
      </c>
      <c r="AH35" s="1662" t="str">
        <f t="shared" si="5"/>
        <v/>
      </c>
      <c r="AI35" s="1662" t="str">
        <f t="shared" si="6"/>
        <v/>
      </c>
      <c r="AK35" s="2172" t="s">
        <v>1868</v>
      </c>
    </row>
    <row r="36" spans="1:37" ht="12" customHeight="1" x14ac:dyDescent="0.25">
      <c r="A36" s="8" t="str">
        <f t="shared" si="0"/>
        <v>01</v>
      </c>
      <c r="B36" s="149" t="s">
        <v>1869</v>
      </c>
      <c r="C36" s="1274"/>
      <c r="D36" s="149"/>
      <c r="E36" s="149"/>
      <c r="F36" s="149"/>
      <c r="G36" s="149"/>
      <c r="H36" s="149"/>
      <c r="I36" s="1273" t="s">
        <v>4202</v>
      </c>
      <c r="J36" s="1275"/>
      <c r="K36" s="1145">
        <f>SUMIF('710'!$B$21:$B$61,B36,'710'!$K$21:$K$61)</f>
        <v>0</v>
      </c>
      <c r="L36" s="1637"/>
      <c r="M36" s="1409"/>
      <c r="N36" s="1637"/>
      <c r="O36" s="1409"/>
      <c r="P36" s="1637"/>
      <c r="Q36" s="1409"/>
      <c r="R36" s="1635"/>
      <c r="S36" s="1638"/>
      <c r="T36" s="1639"/>
      <c r="U36" s="1515" t="str">
        <f t="shared" si="1"/>
        <v/>
      </c>
      <c r="W36" s="609" t="str">
        <f t="shared" si="7"/>
        <v/>
      </c>
      <c r="X36" s="610" t="b">
        <f t="shared" si="8"/>
        <v>1</v>
      </c>
      <c r="Y36" s="1137">
        <f t="shared" si="2"/>
        <v>0</v>
      </c>
      <c r="AB36" s="1665" t="s">
        <v>4177</v>
      </c>
      <c r="AC36" s="1665" t="s">
        <v>4177</v>
      </c>
      <c r="AD36" s="1665" t="s">
        <v>4177</v>
      </c>
      <c r="AE36" s="1665" t="s">
        <v>4177</v>
      </c>
      <c r="AF36" s="1662" t="str">
        <f t="shared" si="3"/>
        <v/>
      </c>
      <c r="AG36" s="1662" t="str">
        <f t="shared" si="4"/>
        <v/>
      </c>
      <c r="AH36" s="1662" t="str">
        <f t="shared" si="5"/>
        <v/>
      </c>
      <c r="AI36" s="1662" t="str">
        <f t="shared" si="6"/>
        <v/>
      </c>
      <c r="AK36" s="2172" t="s">
        <v>1869</v>
      </c>
    </row>
    <row r="37" spans="1:37" ht="12" customHeight="1" x14ac:dyDescent="0.25">
      <c r="A37" s="8" t="str">
        <f t="shared" si="0"/>
        <v>01</v>
      </c>
      <c r="B37" s="149" t="s">
        <v>1297</v>
      </c>
      <c r="C37" s="1274"/>
      <c r="D37" s="149"/>
      <c r="E37" s="149"/>
      <c r="F37" s="149"/>
      <c r="G37" s="149"/>
      <c r="H37" s="149"/>
      <c r="I37" s="1273" t="s">
        <v>4203</v>
      </c>
      <c r="J37" s="1275"/>
      <c r="K37" s="1145">
        <f>SUMIF('710'!$B$21:$B$61,B37,'710'!$K$21:$K$61)</f>
        <v>0</v>
      </c>
      <c r="L37" s="1637"/>
      <c r="M37" s="1409"/>
      <c r="N37" s="1637"/>
      <c r="O37" s="1409"/>
      <c r="P37" s="1637"/>
      <c r="Q37" s="1409"/>
      <c r="R37" s="1635"/>
      <c r="S37" s="1638"/>
      <c r="T37" s="1639"/>
      <c r="U37" s="1515" t="str">
        <f t="shared" si="1"/>
        <v/>
      </c>
      <c r="W37" s="609" t="str">
        <f t="shared" si="7"/>
        <v/>
      </c>
      <c r="X37" s="610" t="b">
        <f t="shared" si="8"/>
        <v>1</v>
      </c>
      <c r="Y37" s="1137">
        <f t="shared" si="2"/>
        <v>0</v>
      </c>
      <c r="AB37" s="1665" t="s">
        <v>4177</v>
      </c>
      <c r="AC37" s="1665" t="s">
        <v>4177</v>
      </c>
      <c r="AD37" s="1665" t="s">
        <v>4177</v>
      </c>
      <c r="AE37" s="1665" t="s">
        <v>4177</v>
      </c>
      <c r="AF37" s="1662" t="str">
        <f t="shared" si="3"/>
        <v/>
      </c>
      <c r="AG37" s="1662" t="str">
        <f t="shared" si="4"/>
        <v/>
      </c>
      <c r="AH37" s="1662" t="str">
        <f t="shared" si="5"/>
        <v/>
      </c>
      <c r="AI37" s="1662" t="str">
        <f t="shared" si="6"/>
        <v/>
      </c>
      <c r="AK37" s="2172" t="s">
        <v>1297</v>
      </c>
    </row>
    <row r="38" spans="1:37" ht="12" customHeight="1" x14ac:dyDescent="0.25">
      <c r="A38" s="8" t="str">
        <f t="shared" si="0"/>
        <v>01</v>
      </c>
      <c r="B38" s="313" t="s">
        <v>1858</v>
      </c>
      <c r="C38" s="1274"/>
      <c r="D38" s="149"/>
      <c r="E38" s="149"/>
      <c r="F38" s="149"/>
      <c r="G38" s="149"/>
      <c r="H38" s="149"/>
      <c r="I38" s="1273" t="s">
        <v>4204</v>
      </c>
      <c r="J38" s="1275"/>
      <c r="K38" s="1145">
        <f>SUMIF('710'!$B$21:$B$61,B38,'710'!$K$21:$K$61)</f>
        <v>0</v>
      </c>
      <c r="L38" s="1637"/>
      <c r="M38" s="1409"/>
      <c r="N38" s="1637"/>
      <c r="O38" s="1409"/>
      <c r="P38" s="1637"/>
      <c r="Q38" s="1409"/>
      <c r="R38" s="1635"/>
      <c r="S38" s="1638"/>
      <c r="T38" s="1639"/>
      <c r="U38" s="1515" t="str">
        <f t="shared" si="1"/>
        <v/>
      </c>
      <c r="W38" s="609" t="str">
        <f t="shared" si="7"/>
        <v/>
      </c>
      <c r="X38" s="610" t="b">
        <f t="shared" si="8"/>
        <v>1</v>
      </c>
      <c r="Y38" s="1137">
        <f t="shared" si="2"/>
        <v>0</v>
      </c>
      <c r="AB38" s="1665" t="s">
        <v>4177</v>
      </c>
      <c r="AC38" s="1665" t="s">
        <v>4177</v>
      </c>
      <c r="AD38" s="1665" t="s">
        <v>4177</v>
      </c>
      <c r="AE38" s="1665" t="s">
        <v>4177</v>
      </c>
      <c r="AF38" s="1662" t="str">
        <f t="shared" si="3"/>
        <v/>
      </c>
      <c r="AG38" s="1662" t="str">
        <f t="shared" si="4"/>
        <v/>
      </c>
      <c r="AH38" s="1662" t="str">
        <f t="shared" si="5"/>
        <v/>
      </c>
      <c r="AI38" s="1662" t="str">
        <f t="shared" si="6"/>
        <v/>
      </c>
      <c r="AK38" s="2172" t="s">
        <v>1858</v>
      </c>
    </row>
    <row r="39" spans="1:37" ht="12" customHeight="1" x14ac:dyDescent="0.25">
      <c r="A39" s="8" t="str">
        <f t="shared" si="0"/>
        <v>01</v>
      </c>
      <c r="B39" s="313" t="s">
        <v>1859</v>
      </c>
      <c r="C39" s="1274"/>
      <c r="D39" s="149"/>
      <c r="E39" s="149"/>
      <c r="F39" s="149"/>
      <c r="G39" s="149"/>
      <c r="H39" s="149"/>
      <c r="I39" s="1273" t="s">
        <v>4205</v>
      </c>
      <c r="J39" s="1275"/>
      <c r="K39" s="1145">
        <f>SUMIF('710'!$B$21:$B$61,B39,'710'!$K$21:$K$61)</f>
        <v>0</v>
      </c>
      <c r="L39" s="1637"/>
      <c r="M39" s="1409"/>
      <c r="N39" s="1637"/>
      <c r="O39" s="1409"/>
      <c r="P39" s="1637"/>
      <c r="Q39" s="1409"/>
      <c r="R39" s="1635"/>
      <c r="S39" s="1638"/>
      <c r="T39" s="1639"/>
      <c r="U39" s="1515" t="str">
        <f t="shared" si="1"/>
        <v/>
      </c>
      <c r="W39" s="609" t="str">
        <f t="shared" si="7"/>
        <v/>
      </c>
      <c r="X39" s="610" t="b">
        <f t="shared" si="8"/>
        <v>1</v>
      </c>
      <c r="Y39" s="1137">
        <f t="shared" si="2"/>
        <v>0</v>
      </c>
      <c r="AB39" s="1665" t="s">
        <v>4177</v>
      </c>
      <c r="AC39" s="1665" t="s">
        <v>4177</v>
      </c>
      <c r="AD39" s="1665" t="s">
        <v>4177</v>
      </c>
      <c r="AE39" s="1665" t="s">
        <v>4177</v>
      </c>
      <c r="AF39" s="1662" t="str">
        <f t="shared" si="3"/>
        <v/>
      </c>
      <c r="AG39" s="1662" t="str">
        <f t="shared" si="4"/>
        <v/>
      </c>
      <c r="AH39" s="1662" t="str">
        <f t="shared" si="5"/>
        <v/>
      </c>
      <c r="AI39" s="1662" t="str">
        <f t="shared" si="6"/>
        <v/>
      </c>
      <c r="AK39" s="2172" t="s">
        <v>1859</v>
      </c>
    </row>
    <row r="40" spans="1:37" ht="12" customHeight="1" x14ac:dyDescent="0.25">
      <c r="A40" s="8" t="str">
        <f t="shared" si="0"/>
        <v>01</v>
      </c>
      <c r="B40" s="313" t="s">
        <v>1860</v>
      </c>
      <c r="C40" s="1274"/>
      <c r="D40" s="149"/>
      <c r="E40" s="149"/>
      <c r="F40" s="149"/>
      <c r="G40" s="149"/>
      <c r="H40" s="149"/>
      <c r="I40" s="1273" t="s">
        <v>4206</v>
      </c>
      <c r="J40" s="1275"/>
      <c r="K40" s="1145">
        <f>SUMIF('710'!$B$21:$B$61,B40,'710'!$K$21:$K$61)</f>
        <v>0</v>
      </c>
      <c r="L40" s="1637"/>
      <c r="M40" s="1409"/>
      <c r="N40" s="1637"/>
      <c r="O40" s="1409"/>
      <c r="P40" s="1637"/>
      <c r="Q40" s="1409"/>
      <c r="R40" s="1635"/>
      <c r="S40" s="1638"/>
      <c r="T40" s="1639"/>
      <c r="U40" s="1515" t="str">
        <f t="shared" si="1"/>
        <v/>
      </c>
      <c r="W40" s="609" t="str">
        <f t="shared" si="7"/>
        <v/>
      </c>
      <c r="X40" s="610" t="b">
        <f t="shared" si="8"/>
        <v>1</v>
      </c>
      <c r="Y40" s="1137">
        <f t="shared" si="2"/>
        <v>0</v>
      </c>
      <c r="AB40" s="1665" t="s">
        <v>4177</v>
      </c>
      <c r="AC40" s="1665" t="s">
        <v>4177</v>
      </c>
      <c r="AD40" s="1665" t="s">
        <v>4177</v>
      </c>
      <c r="AE40" s="1665" t="s">
        <v>4177</v>
      </c>
      <c r="AF40" s="1662" t="str">
        <f t="shared" si="3"/>
        <v/>
      </c>
      <c r="AG40" s="1662" t="str">
        <f t="shared" si="4"/>
        <v/>
      </c>
      <c r="AH40" s="1662" t="str">
        <f t="shared" si="5"/>
        <v/>
      </c>
      <c r="AI40" s="1662" t="str">
        <f t="shared" si="6"/>
        <v/>
      </c>
      <c r="AK40" s="2172" t="s">
        <v>1860</v>
      </c>
    </row>
    <row r="41" spans="1:37" ht="12" customHeight="1" x14ac:dyDescent="0.25">
      <c r="A41" s="8" t="str">
        <f t="shared" si="0"/>
        <v>01</v>
      </c>
      <c r="B41" s="149" t="s">
        <v>1861</v>
      </c>
      <c r="C41" s="1274"/>
      <c r="D41" s="149"/>
      <c r="E41" s="149"/>
      <c r="F41" s="149"/>
      <c r="G41" s="149"/>
      <c r="H41" s="149"/>
      <c r="I41" s="1273" t="s">
        <v>4207</v>
      </c>
      <c r="J41" s="1275"/>
      <c r="K41" s="1145">
        <f>SUMIF('710'!$B$21:$B$61,B41,'710'!$K$21:$K$61)</f>
        <v>0</v>
      </c>
      <c r="L41" s="1637"/>
      <c r="M41" s="1641"/>
      <c r="N41" s="1637"/>
      <c r="O41" s="1641"/>
      <c r="P41" s="1637"/>
      <c r="Q41" s="1409"/>
      <c r="R41" s="1635"/>
      <c r="S41" s="1638"/>
      <c r="T41" s="1639"/>
      <c r="U41" s="1515" t="str">
        <f t="shared" si="1"/>
        <v/>
      </c>
      <c r="W41" s="609" t="str">
        <f t="shared" si="7"/>
        <v/>
      </c>
      <c r="X41" s="610" t="b">
        <f t="shared" si="8"/>
        <v>1</v>
      </c>
      <c r="Y41" s="1137">
        <f t="shared" si="2"/>
        <v>0</v>
      </c>
      <c r="AB41" s="1665" t="s">
        <v>4177</v>
      </c>
      <c r="AC41" s="1665" t="s">
        <v>4177</v>
      </c>
      <c r="AD41" s="1665" t="s">
        <v>4177</v>
      </c>
      <c r="AE41" s="1665" t="s">
        <v>4177</v>
      </c>
      <c r="AF41" s="1662" t="str">
        <f t="shared" si="3"/>
        <v/>
      </c>
      <c r="AG41" s="1662" t="str">
        <f t="shared" si="4"/>
        <v/>
      </c>
      <c r="AH41" s="1662" t="str">
        <f t="shared" si="5"/>
        <v/>
      </c>
      <c r="AI41" s="1662" t="str">
        <f t="shared" si="6"/>
        <v/>
      </c>
      <c r="AK41" s="2172" t="s">
        <v>1861</v>
      </c>
    </row>
    <row r="42" spans="1:37" ht="12" customHeight="1" x14ac:dyDescent="0.25">
      <c r="A42" s="8" t="str">
        <f t="shared" si="0"/>
        <v>01</v>
      </c>
      <c r="B42" s="149" t="s">
        <v>1862</v>
      </c>
      <c r="C42" s="1274"/>
      <c r="D42" s="149"/>
      <c r="E42" s="149"/>
      <c r="F42" s="149"/>
      <c r="G42" s="149"/>
      <c r="H42" s="149"/>
      <c r="I42" s="1273" t="s">
        <v>4208</v>
      </c>
      <c r="J42" s="1275"/>
      <c r="K42" s="1145">
        <f>SUMIF('710'!$B$21:$B$61,B42,'710'!$K$21:$K$61)</f>
        <v>0</v>
      </c>
      <c r="L42" s="1637"/>
      <c r="M42" s="1641"/>
      <c r="N42" s="1637"/>
      <c r="O42" s="1641"/>
      <c r="P42" s="1637"/>
      <c r="Q42" s="1409"/>
      <c r="R42" s="1635"/>
      <c r="S42" s="1638"/>
      <c r="T42" s="1639"/>
      <c r="U42" s="1515" t="str">
        <f t="shared" si="1"/>
        <v/>
      </c>
      <c r="W42" s="609" t="str">
        <f t="shared" si="7"/>
        <v/>
      </c>
      <c r="X42" s="610" t="b">
        <f t="shared" si="8"/>
        <v>1</v>
      </c>
      <c r="Y42" s="1137">
        <f t="shared" si="2"/>
        <v>0</v>
      </c>
      <c r="AB42" s="1665" t="s">
        <v>4177</v>
      </c>
      <c r="AC42" s="1665" t="s">
        <v>4177</v>
      </c>
      <c r="AD42" s="1665" t="s">
        <v>4177</v>
      </c>
      <c r="AE42" s="1665" t="s">
        <v>4177</v>
      </c>
      <c r="AF42" s="1662" t="str">
        <f t="shared" si="3"/>
        <v/>
      </c>
      <c r="AG42" s="1662" t="str">
        <f t="shared" si="4"/>
        <v/>
      </c>
      <c r="AH42" s="1662" t="str">
        <f t="shared" si="5"/>
        <v/>
      </c>
      <c r="AI42" s="1662" t="str">
        <f t="shared" si="6"/>
        <v/>
      </c>
      <c r="AK42" s="2172" t="s">
        <v>1862</v>
      </c>
    </row>
    <row r="43" spans="1:37" ht="12" customHeight="1" x14ac:dyDescent="0.25">
      <c r="A43" s="8" t="str">
        <f t="shared" si="0"/>
        <v>01</v>
      </c>
      <c r="B43" s="149" t="s">
        <v>1872</v>
      </c>
      <c r="C43" s="1274"/>
      <c r="D43" s="149"/>
      <c r="E43" s="149"/>
      <c r="F43" s="149"/>
      <c r="G43" s="149"/>
      <c r="H43" s="149"/>
      <c r="I43" s="1273" t="s">
        <v>4209</v>
      </c>
      <c r="J43" s="1275"/>
      <c r="K43" s="1145">
        <f>SUMIF('710'!$B$21:$B$61,B43,'710'!$K$21:$K$61)</f>
        <v>0</v>
      </c>
      <c r="L43" s="1637"/>
      <c r="M43" s="1641"/>
      <c r="N43" s="1637"/>
      <c r="O43" s="1641"/>
      <c r="P43" s="1637"/>
      <c r="Q43" s="1409"/>
      <c r="R43" s="1635"/>
      <c r="S43" s="1638"/>
      <c r="T43" s="1639"/>
      <c r="U43" s="1515" t="str">
        <f t="shared" si="1"/>
        <v/>
      </c>
      <c r="W43" s="609" t="str">
        <f t="shared" si="7"/>
        <v/>
      </c>
      <c r="X43" s="610" t="b">
        <f t="shared" si="8"/>
        <v>1</v>
      </c>
      <c r="Y43" s="1137">
        <f t="shared" si="2"/>
        <v>0</v>
      </c>
      <c r="AB43" s="1665" t="s">
        <v>4177</v>
      </c>
      <c r="AC43" s="1665" t="s">
        <v>4177</v>
      </c>
      <c r="AD43" s="1665" t="s">
        <v>4177</v>
      </c>
      <c r="AE43" s="1665" t="s">
        <v>4177</v>
      </c>
      <c r="AF43" s="1662" t="str">
        <f t="shared" si="3"/>
        <v/>
      </c>
      <c r="AG43" s="1662" t="str">
        <f t="shared" si="4"/>
        <v/>
      </c>
      <c r="AH43" s="1662" t="str">
        <f t="shared" si="5"/>
        <v/>
      </c>
      <c r="AI43" s="1662" t="str">
        <f t="shared" si="6"/>
        <v/>
      </c>
      <c r="AK43" s="2172" t="s">
        <v>1872</v>
      </c>
    </row>
    <row r="44" spans="1:37" ht="12" customHeight="1" x14ac:dyDescent="0.25">
      <c r="B44" s="149" t="s">
        <v>1878</v>
      </c>
      <c r="C44" s="1274"/>
      <c r="D44" s="149"/>
      <c r="E44" s="149"/>
      <c r="F44" s="149"/>
      <c r="G44" s="149"/>
      <c r="H44" s="149"/>
      <c r="I44" s="1273" t="s">
        <v>4210</v>
      </c>
      <c r="J44" s="1275"/>
      <c r="K44" s="1145">
        <f>SUMIF('710'!$B$21:$B$61,B44,'710'!$K$21:$K$61)</f>
        <v>0</v>
      </c>
      <c r="L44" s="1637"/>
      <c r="M44" s="1641"/>
      <c r="N44" s="1637"/>
      <c r="O44" s="1641"/>
      <c r="P44" s="1637"/>
      <c r="Q44" s="1409"/>
      <c r="R44" s="1635"/>
      <c r="S44" s="1409"/>
      <c r="T44" s="1639"/>
      <c r="U44" s="1515"/>
      <c r="W44" s="609"/>
      <c r="X44" s="610" t="b">
        <f t="shared" si="8"/>
        <v>1</v>
      </c>
      <c r="Y44" s="1137">
        <f t="shared" si="2"/>
        <v>0</v>
      </c>
      <c r="AB44" s="1665" t="s">
        <v>4177</v>
      </c>
      <c r="AC44" s="1665" t="s">
        <v>4177</v>
      </c>
      <c r="AD44" s="1665" t="s">
        <v>4177</v>
      </c>
      <c r="AE44" s="1665" t="s">
        <v>4177</v>
      </c>
      <c r="AF44" s="1662"/>
      <c r="AG44" s="1662"/>
      <c r="AH44" s="1662"/>
      <c r="AI44" s="1662"/>
      <c r="AK44" s="2172" t="s">
        <v>1878</v>
      </c>
    </row>
    <row r="45" spans="1:37" ht="12" customHeight="1" x14ac:dyDescent="0.25">
      <c r="A45" s="8" t="str">
        <f t="shared" si="0"/>
        <v>01</v>
      </c>
      <c r="B45" s="149" t="s">
        <v>635</v>
      </c>
      <c r="C45" s="2912" t="s">
        <v>5090</v>
      </c>
      <c r="D45" s="2912"/>
      <c r="E45" s="2912"/>
      <c r="F45" s="2912"/>
      <c r="G45" s="2912"/>
      <c r="H45" s="149"/>
      <c r="I45" s="1273" t="s">
        <v>4211</v>
      </c>
      <c r="J45" s="1275"/>
      <c r="K45" s="615"/>
      <c r="L45" s="1637"/>
      <c r="M45" s="1641"/>
      <c r="N45" s="1637"/>
      <c r="O45" s="1641"/>
      <c r="P45" s="1637"/>
      <c r="Q45" s="1409"/>
      <c r="R45" s="1635"/>
      <c r="S45" s="1409"/>
      <c r="T45" s="1639"/>
      <c r="U45" s="1515" t="str">
        <f t="shared" si="1"/>
        <v/>
      </c>
      <c r="W45" s="609" t="str">
        <f t="shared" si="7"/>
        <v/>
      </c>
      <c r="X45" s="610" t="b">
        <f t="shared" si="8"/>
        <v>1</v>
      </c>
      <c r="Y45" s="1137">
        <f t="shared" si="2"/>
        <v>0</v>
      </c>
      <c r="AB45" s="1665" t="s">
        <v>4177</v>
      </c>
      <c r="AC45" s="1665" t="s">
        <v>4177</v>
      </c>
      <c r="AD45" s="1665" t="s">
        <v>4177</v>
      </c>
      <c r="AE45" s="1665" t="s">
        <v>4177</v>
      </c>
      <c r="AF45" s="1662" t="str">
        <f t="shared" si="3"/>
        <v/>
      </c>
      <c r="AG45" s="1662" t="str">
        <f t="shared" si="4"/>
        <v/>
      </c>
      <c r="AH45" s="1662" t="str">
        <f t="shared" si="5"/>
        <v/>
      </c>
      <c r="AI45" s="1662" t="str">
        <f t="shared" si="6"/>
        <v/>
      </c>
      <c r="AK45" s="2172" t="str">
        <f>C45</f>
        <v>Select Other Investment (Click here)</v>
      </c>
    </row>
    <row r="46" spans="1:37" ht="12" customHeight="1" x14ac:dyDescent="0.25">
      <c r="A46" s="8" t="str">
        <f t="shared" si="0"/>
        <v>01</v>
      </c>
      <c r="B46" s="149" t="s">
        <v>635</v>
      </c>
      <c r="C46" s="2912" t="s">
        <v>5090</v>
      </c>
      <c r="D46" s="2912"/>
      <c r="E46" s="2912"/>
      <c r="F46" s="2912"/>
      <c r="G46" s="2912"/>
      <c r="H46" s="149"/>
      <c r="I46" s="1273" t="s">
        <v>4212</v>
      </c>
      <c r="J46" s="1275"/>
      <c r="K46" s="615"/>
      <c r="L46" s="1637"/>
      <c r="M46" s="1641"/>
      <c r="N46" s="1637"/>
      <c r="O46" s="1641"/>
      <c r="P46" s="1637"/>
      <c r="Q46" s="1409"/>
      <c r="R46" s="1635"/>
      <c r="S46" s="1409"/>
      <c r="T46" s="1639"/>
      <c r="U46" s="1515" t="str">
        <f>CONCATENATE(AF46,AG46,AH46,AI46)</f>
        <v/>
      </c>
      <c r="W46" s="609" t="str">
        <f>IF(X46=FALSE,"*","")</f>
        <v/>
      </c>
      <c r="X46" s="610" t="b">
        <f>+K46=SUM(M46,O46,Q46,S46)</f>
        <v>1</v>
      </c>
      <c r="Y46" s="1137">
        <f>K46-SUM(M46,O46,Q46, S46)</f>
        <v>0</v>
      </c>
      <c r="AB46" s="1665" t="s">
        <v>4177</v>
      </c>
      <c r="AC46" s="1665" t="s">
        <v>4177</v>
      </c>
      <c r="AD46" s="1665" t="s">
        <v>4177</v>
      </c>
      <c r="AE46" s="1665" t="s">
        <v>4177</v>
      </c>
      <c r="AF46" s="1662" t="str">
        <f>IF(AB46="—","",RIGHT(AB46,7))</f>
        <v/>
      </c>
      <c r="AG46" s="1662" t="str">
        <f>IF(AC46="—","",RIGHT(AC46,7))</f>
        <v/>
      </c>
      <c r="AH46" s="1662" t="str">
        <f>IF(AD46="—","",RIGHT(AD46,7))</f>
        <v/>
      </c>
      <c r="AI46" s="1662" t="str">
        <f>IF(AE46="—","",RIGHT(AE46,7))</f>
        <v/>
      </c>
      <c r="AK46" s="2172" t="str">
        <f>C46</f>
        <v>Select Other Investment (Click here)</v>
      </c>
    </row>
    <row r="47" spans="1:37" ht="12" customHeight="1" x14ac:dyDescent="0.25">
      <c r="A47" s="8" t="str">
        <f t="shared" si="0"/>
        <v>01</v>
      </c>
      <c r="B47" s="149" t="s">
        <v>635</v>
      </c>
      <c r="C47" s="2912" t="s">
        <v>5090</v>
      </c>
      <c r="D47" s="2912"/>
      <c r="E47" s="2912"/>
      <c r="F47" s="2912"/>
      <c r="G47" s="2912"/>
      <c r="H47" s="149"/>
      <c r="I47" s="1273" t="s">
        <v>4354</v>
      </c>
      <c r="J47" s="1275"/>
      <c r="K47" s="615"/>
      <c r="L47" s="1637"/>
      <c r="M47" s="1641"/>
      <c r="N47" s="1637"/>
      <c r="O47" s="1641"/>
      <c r="P47" s="1637"/>
      <c r="Q47" s="1409"/>
      <c r="R47" s="1635"/>
      <c r="S47" s="1409"/>
      <c r="T47" s="1639"/>
      <c r="U47" s="1542" t="str">
        <f t="shared" si="1"/>
        <v/>
      </c>
      <c r="W47" s="609" t="str">
        <f t="shared" si="7"/>
        <v/>
      </c>
      <c r="X47" s="610" t="b">
        <f t="shared" si="8"/>
        <v>1</v>
      </c>
      <c r="Y47" s="1137">
        <f t="shared" si="2"/>
        <v>0</v>
      </c>
      <c r="AB47" s="1665" t="s">
        <v>4177</v>
      </c>
      <c r="AC47" s="1665" t="s">
        <v>4177</v>
      </c>
      <c r="AD47" s="1665" t="s">
        <v>4177</v>
      </c>
      <c r="AE47" s="1665" t="s">
        <v>4177</v>
      </c>
      <c r="AF47" s="1662" t="str">
        <f t="shared" si="3"/>
        <v/>
      </c>
      <c r="AG47" s="1662" t="str">
        <f t="shared" si="4"/>
        <v/>
      </c>
      <c r="AH47" s="1662" t="str">
        <f t="shared" si="5"/>
        <v/>
      </c>
      <c r="AI47" s="1662" t="str">
        <f t="shared" si="6"/>
        <v/>
      </c>
      <c r="AK47" s="2172" t="str">
        <f>C47</f>
        <v>Select Other Investment (Click here)</v>
      </c>
    </row>
    <row r="48" spans="1:37" ht="3.75" customHeight="1" x14ac:dyDescent="0.25">
      <c r="A48" s="8" t="str">
        <f t="shared" si="0"/>
        <v>01</v>
      </c>
      <c r="B48" s="149"/>
      <c r="C48" s="149"/>
      <c r="D48" s="149"/>
      <c r="E48" s="149"/>
      <c r="F48" s="149"/>
      <c r="G48" s="149"/>
      <c r="H48" s="149"/>
      <c r="I48" s="1273"/>
      <c r="J48" s="1275"/>
      <c r="K48" s="1637"/>
      <c r="L48" s="1134"/>
      <c r="M48" s="1134"/>
      <c r="N48" s="1134"/>
      <c r="O48" s="1134"/>
      <c r="P48" s="1134"/>
      <c r="Q48" s="1134"/>
      <c r="R48" s="149"/>
      <c r="S48" s="1134"/>
      <c r="T48" s="1134"/>
      <c r="U48"/>
      <c r="AB48" s="776"/>
      <c r="AC48" s="776"/>
      <c r="AD48" s="776"/>
      <c r="AE48" s="776"/>
      <c r="AF48" s="1662"/>
      <c r="AG48" s="1662"/>
      <c r="AH48" s="1662"/>
      <c r="AI48" s="1662"/>
    </row>
    <row r="49" spans="1:37" ht="15" customHeight="1" x14ac:dyDescent="0.25">
      <c r="A49" s="8" t="str">
        <f t="shared" si="0"/>
        <v>01</v>
      </c>
      <c r="B49" s="309" t="s">
        <v>4101</v>
      </c>
      <c r="C49" s="1437"/>
      <c r="D49" s="149"/>
      <c r="E49" s="149"/>
      <c r="F49" s="149"/>
      <c r="G49" s="149"/>
      <c r="H49" s="149"/>
      <c r="I49" s="1273"/>
      <c r="J49" s="1275"/>
      <c r="K49" s="1637"/>
      <c r="L49" s="1134"/>
      <c r="M49" s="319"/>
      <c r="N49" s="1134"/>
      <c r="O49" s="1134"/>
      <c r="P49" s="1134"/>
      <c r="Q49" s="1134"/>
      <c r="R49" s="149"/>
      <c r="S49" s="149"/>
      <c r="T49" s="149"/>
      <c r="U49"/>
      <c r="AB49" s="776"/>
      <c r="AC49" s="776"/>
      <c r="AD49" s="776"/>
      <c r="AE49" s="776"/>
      <c r="AF49" s="1662"/>
      <c r="AG49" s="1662"/>
      <c r="AH49" s="1662"/>
      <c r="AI49" s="1662"/>
    </row>
    <row r="50" spans="1:37" ht="12" customHeight="1" x14ac:dyDescent="0.25">
      <c r="A50" s="8" t="str">
        <f t="shared" si="0"/>
        <v>01</v>
      </c>
      <c r="B50" s="149" t="s">
        <v>1873</v>
      </c>
      <c r="C50" s="1274"/>
      <c r="D50" s="149"/>
      <c r="E50" s="149"/>
      <c r="F50" s="149"/>
      <c r="G50" s="149"/>
      <c r="H50" s="149"/>
      <c r="I50" s="1273" t="s">
        <v>4214</v>
      </c>
      <c r="J50" s="1275"/>
      <c r="K50" s="1145">
        <f>SUMIF('710'!$B$21:$B$61,B50,'710'!$K$21:$K$61)</f>
        <v>0</v>
      </c>
      <c r="L50" s="1637"/>
      <c r="M50" s="1638"/>
      <c r="N50" s="1637"/>
      <c r="O50" s="1409"/>
      <c r="P50" s="1637"/>
      <c r="Q50" s="1409"/>
      <c r="R50" s="149"/>
      <c r="S50" s="1638"/>
      <c r="U50" s="1515" t="str">
        <f t="shared" si="1"/>
        <v/>
      </c>
      <c r="W50" s="609"/>
      <c r="X50" s="610"/>
      <c r="Y50" s="1137"/>
      <c r="Z50" s="1137"/>
      <c r="AA50" s="1137"/>
      <c r="AB50" s="1665" t="s">
        <v>4177</v>
      </c>
      <c r="AC50" s="1665" t="s">
        <v>4177</v>
      </c>
      <c r="AD50" s="1665" t="s">
        <v>4177</v>
      </c>
      <c r="AE50" s="1665" t="s">
        <v>4177</v>
      </c>
      <c r="AF50" s="1662" t="str">
        <f t="shared" si="3"/>
        <v/>
      </c>
      <c r="AG50" s="1662" t="str">
        <f t="shared" si="4"/>
        <v/>
      </c>
      <c r="AH50" s="1662" t="str">
        <f t="shared" si="5"/>
        <v/>
      </c>
      <c r="AI50" s="1662" t="str">
        <f t="shared" si="6"/>
        <v/>
      </c>
      <c r="AK50" s="2172" t="s">
        <v>1873</v>
      </c>
    </row>
    <row r="51" spans="1:37" ht="12" customHeight="1" x14ac:dyDescent="0.25">
      <c r="A51" s="8" t="str">
        <f t="shared" si="0"/>
        <v>01</v>
      </c>
      <c r="B51" s="149" t="s">
        <v>1874</v>
      </c>
      <c r="C51" s="1274"/>
      <c r="D51" s="149"/>
      <c r="E51" s="149"/>
      <c r="F51" s="149"/>
      <c r="G51" s="149"/>
      <c r="H51" s="149"/>
      <c r="I51" s="1273" t="s">
        <v>4215</v>
      </c>
      <c r="J51" s="1275"/>
      <c r="K51" s="1145">
        <f>SUMIF('710'!$B$21:$B$61,B51,'710'!$K$21:$K$61)</f>
        <v>0</v>
      </c>
      <c r="L51" s="1637"/>
      <c r="M51" s="1638"/>
      <c r="N51" s="1637"/>
      <c r="O51" s="1409"/>
      <c r="P51" s="1637"/>
      <c r="Q51" s="1409"/>
      <c r="R51" s="149"/>
      <c r="S51" s="1638"/>
      <c r="U51" s="1515" t="str">
        <f t="shared" si="1"/>
        <v/>
      </c>
      <c r="W51" s="609"/>
      <c r="X51" s="610"/>
      <c r="Y51" s="1137"/>
      <c r="Z51" s="1137"/>
      <c r="AA51" s="1137"/>
      <c r="AB51" s="1665" t="s">
        <v>4177</v>
      </c>
      <c r="AC51" s="1665" t="s">
        <v>4177</v>
      </c>
      <c r="AD51" s="1665" t="s">
        <v>4177</v>
      </c>
      <c r="AE51" s="1665" t="s">
        <v>4177</v>
      </c>
      <c r="AF51" s="1662" t="str">
        <f t="shared" si="3"/>
        <v/>
      </c>
      <c r="AG51" s="1662" t="str">
        <f t="shared" si="4"/>
        <v/>
      </c>
      <c r="AH51" s="1662" t="str">
        <f t="shared" si="5"/>
        <v/>
      </c>
      <c r="AI51" s="1662" t="str">
        <f t="shared" si="6"/>
        <v/>
      </c>
      <c r="AK51" s="2172" t="s">
        <v>1874</v>
      </c>
    </row>
    <row r="52" spans="1:37" ht="12" customHeight="1" x14ac:dyDescent="0.25">
      <c r="A52" s="8" t="str">
        <f t="shared" si="0"/>
        <v>01</v>
      </c>
      <c r="B52" s="149" t="s">
        <v>1875</v>
      </c>
      <c r="C52" s="1274"/>
      <c r="D52" s="149"/>
      <c r="E52" s="149"/>
      <c r="F52" s="149"/>
      <c r="G52" s="149"/>
      <c r="H52" s="149"/>
      <c r="I52" s="1273" t="s">
        <v>4216</v>
      </c>
      <c r="J52" s="1275"/>
      <c r="K52" s="1145">
        <f>SUMIF('710'!$B$21:$B$61,B52,'710'!$K$21:$K$61)</f>
        <v>0</v>
      </c>
      <c r="L52" s="1637"/>
      <c r="M52" s="1638"/>
      <c r="N52" s="1637"/>
      <c r="O52" s="1409"/>
      <c r="P52" s="1637"/>
      <c r="Q52" s="1409"/>
      <c r="R52" s="149"/>
      <c r="S52" s="1638"/>
      <c r="U52" s="1515" t="str">
        <f t="shared" si="1"/>
        <v/>
      </c>
      <c r="W52" s="609"/>
      <c r="X52" s="610"/>
      <c r="Y52" s="1137"/>
      <c r="Z52" s="1137"/>
      <c r="AA52" s="1137"/>
      <c r="AB52" s="1665" t="s">
        <v>4177</v>
      </c>
      <c r="AC52" s="1665" t="s">
        <v>4177</v>
      </c>
      <c r="AD52" s="1665" t="s">
        <v>4177</v>
      </c>
      <c r="AE52" s="1665" t="s">
        <v>4177</v>
      </c>
      <c r="AF52" s="1662" t="str">
        <f t="shared" si="3"/>
        <v/>
      </c>
      <c r="AG52" s="1662" t="str">
        <f t="shared" si="4"/>
        <v/>
      </c>
      <c r="AH52" s="1662" t="str">
        <f t="shared" si="5"/>
        <v/>
      </c>
      <c r="AI52" s="1662" t="str">
        <f t="shared" si="6"/>
        <v/>
      </c>
      <c r="AK52" s="2172" t="s">
        <v>1875</v>
      </c>
    </row>
    <row r="53" spans="1:37" ht="12" customHeight="1" x14ac:dyDescent="0.25">
      <c r="A53" s="8" t="str">
        <f t="shared" si="0"/>
        <v>01</v>
      </c>
      <c r="B53" s="149" t="s">
        <v>1876</v>
      </c>
      <c r="C53" s="1274"/>
      <c r="D53" s="149"/>
      <c r="E53" s="149"/>
      <c r="F53" s="149"/>
      <c r="G53" s="149"/>
      <c r="H53" s="149"/>
      <c r="I53" s="1273" t="s">
        <v>4217</v>
      </c>
      <c r="J53" s="1275"/>
      <c r="K53" s="1145">
        <f>SUMIF('710'!$B$21:$B$61,B53,'710'!$K$21:$K$61)</f>
        <v>0</v>
      </c>
      <c r="L53" s="1637"/>
      <c r="M53" s="1638"/>
      <c r="N53" s="1637"/>
      <c r="O53" s="1409"/>
      <c r="P53" s="1637"/>
      <c r="Q53" s="1409"/>
      <c r="R53" s="149"/>
      <c r="S53" s="1638"/>
      <c r="U53" s="1515" t="str">
        <f t="shared" si="1"/>
        <v/>
      </c>
      <c r="W53" s="609"/>
      <c r="X53" s="610"/>
      <c r="Y53" s="1137"/>
      <c r="Z53" s="1137"/>
      <c r="AA53" s="1137"/>
      <c r="AB53" s="1665" t="s">
        <v>4177</v>
      </c>
      <c r="AC53" s="1665" t="s">
        <v>4177</v>
      </c>
      <c r="AD53" s="1665" t="s">
        <v>4177</v>
      </c>
      <c r="AE53" s="1665" t="s">
        <v>4177</v>
      </c>
      <c r="AF53" s="1662" t="str">
        <f t="shared" si="3"/>
        <v/>
      </c>
      <c r="AG53" s="1662" t="str">
        <f t="shared" si="4"/>
        <v/>
      </c>
      <c r="AH53" s="1662" t="str">
        <f t="shared" si="5"/>
        <v/>
      </c>
      <c r="AI53" s="1662" t="str">
        <f t="shared" si="6"/>
        <v/>
      </c>
      <c r="AK53" s="2172" t="s">
        <v>1876</v>
      </c>
    </row>
    <row r="54" spans="1:37" ht="12" customHeight="1" x14ac:dyDescent="0.25">
      <c r="A54" s="8" t="str">
        <f t="shared" si="0"/>
        <v>01</v>
      </c>
      <c r="B54" s="149" t="s">
        <v>3915</v>
      </c>
      <c r="C54" s="1274"/>
      <c r="D54" s="149"/>
      <c r="E54" s="149"/>
      <c r="F54" s="149"/>
      <c r="G54" s="149"/>
      <c r="H54" s="149"/>
      <c r="I54" s="1273" t="s">
        <v>4218</v>
      </c>
      <c r="J54" s="1275"/>
      <c r="K54" s="1145">
        <f>SUMIF('710'!$B$21:$B$61,B54,'710'!$K$21:$K$61)</f>
        <v>0</v>
      </c>
      <c r="L54" s="1637"/>
      <c r="M54" s="1638"/>
      <c r="N54" s="1637"/>
      <c r="O54" s="1409"/>
      <c r="P54" s="1637"/>
      <c r="Q54" s="1409"/>
      <c r="R54" s="149"/>
      <c r="S54" s="1638"/>
      <c r="U54" s="1515" t="str">
        <f t="shared" si="1"/>
        <v/>
      </c>
      <c r="W54" s="609"/>
      <c r="X54" s="610"/>
      <c r="Y54" s="1137"/>
      <c r="Z54" s="1137"/>
      <c r="AA54" s="1137"/>
      <c r="AB54" s="1665" t="s">
        <v>4177</v>
      </c>
      <c r="AC54" s="1665" t="s">
        <v>4177</v>
      </c>
      <c r="AD54" s="1665" t="s">
        <v>4177</v>
      </c>
      <c r="AE54" s="1665" t="s">
        <v>4177</v>
      </c>
      <c r="AF54" s="1662" t="str">
        <f t="shared" si="3"/>
        <v/>
      </c>
      <c r="AG54" s="1662" t="str">
        <f t="shared" si="4"/>
        <v/>
      </c>
      <c r="AH54" s="1662" t="str">
        <f t="shared" si="5"/>
        <v/>
      </c>
      <c r="AI54" s="1662" t="str">
        <f t="shared" si="6"/>
        <v/>
      </c>
      <c r="AK54" s="2172" t="s">
        <v>3915</v>
      </c>
    </row>
    <row r="55" spans="1:37" ht="12" customHeight="1" x14ac:dyDescent="0.25">
      <c r="A55" s="8" t="str">
        <f t="shared" si="0"/>
        <v>01</v>
      </c>
      <c r="B55" s="149" t="s">
        <v>635</v>
      </c>
      <c r="C55" s="2912" t="s">
        <v>5090</v>
      </c>
      <c r="D55" s="2912"/>
      <c r="E55" s="2912"/>
      <c r="F55" s="2912"/>
      <c r="G55" s="2912"/>
      <c r="H55" s="149"/>
      <c r="I55" s="1273" t="s">
        <v>4219</v>
      </c>
      <c r="J55" s="1275"/>
      <c r="K55" s="615"/>
      <c r="L55" s="1637"/>
      <c r="M55" s="1638"/>
      <c r="N55" s="1637"/>
      <c r="O55" s="1409"/>
      <c r="P55" s="1637"/>
      <c r="Q55" s="1409"/>
      <c r="R55" s="149"/>
      <c r="S55" s="1638"/>
      <c r="U55" s="1515" t="str">
        <f t="shared" si="1"/>
        <v/>
      </c>
      <c r="W55" s="609"/>
      <c r="X55" s="610"/>
      <c r="Y55" s="1137"/>
      <c r="Z55" s="1137"/>
      <c r="AA55" s="1137"/>
      <c r="AB55" s="1665" t="s">
        <v>4177</v>
      </c>
      <c r="AC55" s="1665" t="s">
        <v>4177</v>
      </c>
      <c r="AD55" s="1665" t="s">
        <v>4177</v>
      </c>
      <c r="AE55" s="1665" t="s">
        <v>4177</v>
      </c>
      <c r="AF55" s="1662" t="str">
        <f t="shared" si="3"/>
        <v/>
      </c>
      <c r="AG55" s="1662" t="str">
        <f t="shared" si="4"/>
        <v/>
      </c>
      <c r="AH55" s="1662" t="str">
        <f t="shared" si="5"/>
        <v/>
      </c>
      <c r="AI55" s="1662" t="str">
        <f t="shared" si="6"/>
        <v/>
      </c>
      <c r="AK55" s="2172" t="str">
        <f t="shared" ref="AK55:AK60" si="9">C55</f>
        <v>Select Other Investment (Click here)</v>
      </c>
    </row>
    <row r="56" spans="1:37" ht="12" customHeight="1" x14ac:dyDescent="0.25">
      <c r="A56" s="8" t="str">
        <f t="shared" si="0"/>
        <v>01</v>
      </c>
      <c r="B56" s="149" t="s">
        <v>635</v>
      </c>
      <c r="C56" s="2912" t="s">
        <v>5090</v>
      </c>
      <c r="D56" s="2912"/>
      <c r="E56" s="2912"/>
      <c r="F56" s="2912"/>
      <c r="G56" s="2912"/>
      <c r="H56" s="149"/>
      <c r="I56" s="1273" t="s">
        <v>4355</v>
      </c>
      <c r="J56" s="1275"/>
      <c r="K56" s="615"/>
      <c r="L56" s="1637"/>
      <c r="M56" s="1638"/>
      <c r="N56" s="1637"/>
      <c r="O56" s="1409"/>
      <c r="P56" s="1637"/>
      <c r="Q56" s="1409"/>
      <c r="R56" s="149"/>
      <c r="S56" s="1638"/>
      <c r="U56" s="1515" t="str">
        <f>CONCATENATE(AF56,AG56,AH56,AI56)</f>
        <v/>
      </c>
      <c r="W56" s="609"/>
      <c r="X56" s="610"/>
      <c r="Y56" s="1137"/>
      <c r="Z56" s="1137"/>
      <c r="AA56" s="1137"/>
      <c r="AB56" s="1665" t="s">
        <v>4177</v>
      </c>
      <c r="AC56" s="1665" t="s">
        <v>4177</v>
      </c>
      <c r="AD56" s="1665" t="s">
        <v>4177</v>
      </c>
      <c r="AE56" s="1665" t="s">
        <v>4177</v>
      </c>
      <c r="AF56" s="1662" t="str">
        <f>IF(AB56="—","",RIGHT(AB56,7))</f>
        <v/>
      </c>
      <c r="AG56" s="1662" t="str">
        <f>IF(AC56="—","",RIGHT(AC56,7))</f>
        <v/>
      </c>
      <c r="AH56" s="1662" t="str">
        <f>IF(AD56="—","",RIGHT(AD56,7))</f>
        <v/>
      </c>
      <c r="AI56" s="1662" t="str">
        <f>IF(AE56="—","",RIGHT(AE56,7))</f>
        <v/>
      </c>
      <c r="AK56" s="2172" t="str">
        <f t="shared" si="9"/>
        <v>Select Other Investment (Click here)</v>
      </c>
    </row>
    <row r="57" spans="1:37" ht="12" customHeight="1" x14ac:dyDescent="0.25">
      <c r="B57" s="149" t="s">
        <v>635</v>
      </c>
      <c r="C57" s="2912" t="s">
        <v>5090</v>
      </c>
      <c r="D57" s="2912"/>
      <c r="E57" s="2912"/>
      <c r="F57" s="2912"/>
      <c r="G57" s="2912"/>
      <c r="H57" s="149"/>
      <c r="I57" s="1273" t="s">
        <v>4356</v>
      </c>
      <c r="J57" s="1275"/>
      <c r="K57" s="615"/>
      <c r="L57" s="1637"/>
      <c r="M57" s="1638"/>
      <c r="N57" s="1637"/>
      <c r="O57" s="1409"/>
      <c r="P57" s="1637"/>
      <c r="Q57" s="1409"/>
      <c r="R57" s="149"/>
      <c r="S57" s="1638"/>
      <c r="U57" s="1515"/>
      <c r="W57" s="609"/>
      <c r="X57" s="610"/>
      <c r="Y57" s="1137"/>
      <c r="Z57" s="1137"/>
      <c r="AA57" s="1137"/>
      <c r="AB57" s="1665" t="s">
        <v>4177</v>
      </c>
      <c r="AC57" s="1665" t="s">
        <v>4177</v>
      </c>
      <c r="AD57" s="1665" t="s">
        <v>4177</v>
      </c>
      <c r="AE57" s="1665" t="s">
        <v>4177</v>
      </c>
      <c r="AF57" s="1662"/>
      <c r="AG57" s="1662"/>
      <c r="AH57" s="1662"/>
      <c r="AI57" s="1662"/>
      <c r="AK57" s="2172" t="str">
        <f t="shared" si="9"/>
        <v>Select Other Investment (Click here)</v>
      </c>
    </row>
    <row r="58" spans="1:37" ht="12" customHeight="1" x14ac:dyDescent="0.25">
      <c r="B58" s="149" t="s">
        <v>635</v>
      </c>
      <c r="C58" s="2912" t="s">
        <v>5090</v>
      </c>
      <c r="D58" s="2912"/>
      <c r="E58" s="2912"/>
      <c r="F58" s="2912"/>
      <c r="G58" s="2912"/>
      <c r="H58" s="149"/>
      <c r="I58" s="1273" t="s">
        <v>5134</v>
      </c>
      <c r="J58" s="1275"/>
      <c r="K58" s="615"/>
      <c r="L58" s="1637"/>
      <c r="M58" s="1638"/>
      <c r="N58" s="1637"/>
      <c r="O58" s="1409"/>
      <c r="P58" s="1637"/>
      <c r="Q58" s="1409"/>
      <c r="R58" s="149"/>
      <c r="S58" s="1638"/>
      <c r="U58" s="1515"/>
      <c r="W58" s="609"/>
      <c r="X58" s="610"/>
      <c r="Y58" s="1137"/>
      <c r="Z58" s="1137"/>
      <c r="AA58" s="1137"/>
      <c r="AB58" s="1665" t="s">
        <v>4177</v>
      </c>
      <c r="AC58" s="1665" t="s">
        <v>4177</v>
      </c>
      <c r="AD58" s="1665" t="s">
        <v>4177</v>
      </c>
      <c r="AE58" s="1665" t="s">
        <v>4177</v>
      </c>
      <c r="AF58" s="1662"/>
      <c r="AG58" s="1662"/>
      <c r="AH58" s="1662"/>
      <c r="AI58" s="1662"/>
      <c r="AK58" s="2172" t="str">
        <f t="shared" si="9"/>
        <v>Select Other Investment (Click here)</v>
      </c>
    </row>
    <row r="59" spans="1:37" ht="12" customHeight="1" x14ac:dyDescent="0.25">
      <c r="B59" s="149" t="s">
        <v>635</v>
      </c>
      <c r="C59" s="2912" t="s">
        <v>5090</v>
      </c>
      <c r="D59" s="2912"/>
      <c r="E59" s="2912"/>
      <c r="F59" s="2912"/>
      <c r="G59" s="2912"/>
      <c r="H59" s="149"/>
      <c r="I59" s="1273" t="s">
        <v>5135</v>
      </c>
      <c r="J59" s="1275"/>
      <c r="K59" s="615"/>
      <c r="L59" s="1637"/>
      <c r="M59" s="1638"/>
      <c r="N59" s="1637"/>
      <c r="O59" s="1409"/>
      <c r="P59" s="1637"/>
      <c r="Q59" s="1409"/>
      <c r="R59" s="149"/>
      <c r="S59" s="1638"/>
      <c r="U59" s="1515"/>
      <c r="W59" s="609"/>
      <c r="X59" s="610"/>
      <c r="Y59" s="1137"/>
      <c r="Z59" s="1137"/>
      <c r="AA59" s="1137"/>
      <c r="AB59" s="1665" t="s">
        <v>4177</v>
      </c>
      <c r="AC59" s="1665" t="s">
        <v>4177</v>
      </c>
      <c r="AD59" s="1665" t="s">
        <v>4177</v>
      </c>
      <c r="AE59" s="1665" t="s">
        <v>4177</v>
      </c>
      <c r="AF59" s="1662"/>
      <c r="AG59" s="1662"/>
      <c r="AH59" s="1662"/>
      <c r="AI59" s="1662"/>
      <c r="AK59" s="2172" t="str">
        <f t="shared" si="9"/>
        <v>Select Other Investment (Click here)</v>
      </c>
    </row>
    <row r="60" spans="1:37" ht="12" customHeight="1" x14ac:dyDescent="0.25">
      <c r="A60" s="8" t="str">
        <f t="shared" si="0"/>
        <v>01</v>
      </c>
      <c r="B60" s="149" t="s">
        <v>635</v>
      </c>
      <c r="C60" s="2912" t="s">
        <v>5090</v>
      </c>
      <c r="D60" s="2912"/>
      <c r="E60" s="2912"/>
      <c r="F60" s="2912"/>
      <c r="G60" s="2912"/>
      <c r="H60" s="149"/>
      <c r="I60" s="1273" t="s">
        <v>5136</v>
      </c>
      <c r="J60" s="1275"/>
      <c r="K60" s="615"/>
      <c r="L60" s="1637"/>
      <c r="M60" s="1638"/>
      <c r="N60" s="1637"/>
      <c r="O60" s="1409"/>
      <c r="P60" s="1637"/>
      <c r="Q60" s="1409"/>
      <c r="R60" s="149"/>
      <c r="S60" s="1638"/>
      <c r="U60" s="1542" t="str">
        <f t="shared" si="1"/>
        <v/>
      </c>
      <c r="W60" s="609"/>
      <c r="X60" s="610"/>
      <c r="Y60" s="1137"/>
      <c r="Z60" s="1137"/>
      <c r="AA60" s="1137"/>
      <c r="AB60" s="1665" t="s">
        <v>4177</v>
      </c>
      <c r="AC60" s="1665" t="s">
        <v>4177</v>
      </c>
      <c r="AD60" s="1665" t="s">
        <v>4177</v>
      </c>
      <c r="AE60" s="1665" t="s">
        <v>4177</v>
      </c>
      <c r="AF60" s="1662" t="str">
        <f t="shared" si="3"/>
        <v/>
      </c>
      <c r="AG60" s="1662" t="str">
        <f t="shared" si="4"/>
        <v/>
      </c>
      <c r="AH60" s="1662" t="str">
        <f t="shared" si="5"/>
        <v/>
      </c>
      <c r="AI60" s="1662" t="str">
        <f t="shared" si="6"/>
        <v/>
      </c>
      <c r="AK60" s="2172" t="str">
        <f t="shared" si="9"/>
        <v>Select Other Investment (Click here)</v>
      </c>
    </row>
    <row r="61" spans="1:37" ht="4.5" customHeight="1" x14ac:dyDescent="0.25">
      <c r="A61" s="8" t="str">
        <f t="shared" si="0"/>
        <v>01</v>
      </c>
      <c r="B61" s="149"/>
      <c r="C61" s="149"/>
      <c r="D61" s="149"/>
      <c r="E61" s="149"/>
      <c r="F61" s="149"/>
      <c r="G61" s="149"/>
      <c r="H61" s="149"/>
      <c r="I61" s="1273"/>
      <c r="J61" s="1633"/>
      <c r="K61" s="1639"/>
      <c r="L61" s="1134"/>
      <c r="M61" s="1639"/>
      <c r="N61" s="1134"/>
      <c r="O61" s="1134"/>
      <c r="P61" s="149"/>
      <c r="Q61" s="149"/>
      <c r="R61" s="149"/>
      <c r="S61" s="149"/>
      <c r="T61" s="149"/>
      <c r="U61"/>
      <c r="Y61" s="1137"/>
      <c r="AB61" s="776"/>
      <c r="AC61" s="776"/>
      <c r="AD61" s="776"/>
      <c r="AE61" s="776"/>
      <c r="AF61" s="1662"/>
      <c r="AG61" s="1662"/>
      <c r="AH61" s="1662"/>
      <c r="AI61" s="1662"/>
    </row>
    <row r="62" spans="1:37" ht="12" customHeight="1" x14ac:dyDescent="0.25">
      <c r="B62" s="309" t="s">
        <v>4466</v>
      </c>
      <c r="C62" s="149"/>
      <c r="D62" s="149"/>
      <c r="E62" s="149"/>
      <c r="F62" s="149"/>
      <c r="G62" s="149"/>
      <c r="H62" s="149"/>
      <c r="I62" s="1273"/>
      <c r="J62" s="1633"/>
      <c r="K62" s="1637"/>
      <c r="L62" s="1134"/>
      <c r="M62" s="1639"/>
      <c r="N62" s="1134"/>
      <c r="O62" s="1134"/>
      <c r="P62" s="149"/>
      <c r="Q62" s="149"/>
      <c r="R62" s="149"/>
      <c r="S62" s="149"/>
      <c r="T62" s="149"/>
      <c r="U62" s="149"/>
      <c r="X62" s="610"/>
      <c r="Y62" s="1137"/>
      <c r="AB62" s="776"/>
      <c r="AC62" s="776"/>
      <c r="AD62" s="776"/>
      <c r="AE62" s="776"/>
      <c r="AF62" s="1662"/>
      <c r="AG62" s="1662"/>
      <c r="AH62" s="1662"/>
      <c r="AI62" s="1662"/>
    </row>
    <row r="63" spans="1:37" ht="12" customHeight="1" x14ac:dyDescent="0.25">
      <c r="A63" s="8" t="str">
        <f>AgyIdx</f>
        <v>01</v>
      </c>
      <c r="B63" s="149" t="s">
        <v>924</v>
      </c>
      <c r="C63" s="1274"/>
      <c r="D63" s="149"/>
      <c r="E63" s="149"/>
      <c r="F63" s="149"/>
      <c r="G63" s="149"/>
      <c r="H63" s="149"/>
      <c r="I63" s="1273" t="s">
        <v>4213</v>
      </c>
      <c r="J63" s="1275"/>
      <c r="K63" s="1145">
        <f>SUMIF('710'!$B$21:$B$61,B63,'710'!$K$21:$K$61)</f>
        <v>0</v>
      </c>
      <c r="L63" s="1637"/>
      <c r="M63" s="1638"/>
      <c r="N63" s="1637"/>
      <c r="O63" s="1638"/>
      <c r="P63" s="1637"/>
      <c r="Q63" s="1638"/>
      <c r="R63" s="149"/>
      <c r="S63" s="1638"/>
      <c r="U63" s="1638"/>
      <c r="W63" s="609"/>
      <c r="X63" s="610" t="b">
        <f>+K63=SUM(M63,O63,Q63,S63)</f>
        <v>1</v>
      </c>
      <c r="Y63" s="1137">
        <f>SUMIF(M63:Q63,"&gt;0")</f>
        <v>0</v>
      </c>
      <c r="Z63" s="1137"/>
      <c r="AA63" s="1137"/>
      <c r="AB63" s="1137"/>
      <c r="AC63" s="1665"/>
      <c r="AD63" s="1665"/>
      <c r="AE63" s="1665"/>
      <c r="AF63" s="1662"/>
      <c r="AG63" s="1662" t="str">
        <f>IF(AC63="—","",RIGHT(AC63,7))</f>
        <v/>
      </c>
      <c r="AH63" s="1662" t="str">
        <f>IF(AD63="—","",RIGHT(AD63,7))</f>
        <v/>
      </c>
      <c r="AI63" s="1662" t="str">
        <f>IF(AE63="—","",RIGHT(AE63,7))</f>
        <v/>
      </c>
      <c r="AK63" s="2172" t="s">
        <v>924</v>
      </c>
    </row>
    <row r="64" spans="1:37" ht="4.5" customHeight="1" x14ac:dyDescent="0.25">
      <c r="B64" s="149"/>
      <c r="C64" s="149"/>
      <c r="D64" s="149"/>
      <c r="E64" s="149"/>
      <c r="F64" s="149"/>
      <c r="G64" s="149"/>
      <c r="H64" s="149"/>
      <c r="I64" s="1273"/>
      <c r="J64" s="1633"/>
      <c r="K64" s="1639"/>
      <c r="L64" s="1134"/>
      <c r="M64" s="1639"/>
      <c r="N64" s="1134"/>
      <c r="O64" s="1134"/>
      <c r="P64" s="149"/>
      <c r="Q64" s="149"/>
      <c r="R64" s="149"/>
      <c r="S64" s="149"/>
      <c r="T64" s="149"/>
      <c r="U64"/>
      <c r="Y64" s="1137"/>
      <c r="AB64" s="776"/>
      <c r="AC64" s="776"/>
      <c r="AD64" s="776"/>
      <c r="AE64" s="776"/>
      <c r="AF64" s="1662"/>
      <c r="AG64" s="1662"/>
      <c r="AH64" s="1662"/>
      <c r="AI64" s="1662"/>
    </row>
    <row r="65" spans="1:37" ht="12.6" customHeight="1" x14ac:dyDescent="0.25">
      <c r="B65" s="309" t="s">
        <v>4102</v>
      </c>
      <c r="C65" s="149"/>
      <c r="D65" s="149"/>
      <c r="E65" s="149"/>
      <c r="F65" s="149"/>
      <c r="G65" s="149"/>
      <c r="H65" s="149"/>
      <c r="I65" s="1273"/>
      <c r="J65" s="1633"/>
      <c r="K65" s="1637"/>
      <c r="L65" s="1134"/>
      <c r="M65" s="1639"/>
      <c r="N65" s="1134"/>
      <c r="O65" s="1134"/>
      <c r="P65" s="149"/>
      <c r="Q65" s="149"/>
      <c r="R65" s="149"/>
      <c r="S65" s="149"/>
      <c r="T65" s="149"/>
      <c r="U65"/>
      <c r="Y65" s="1137"/>
      <c r="AB65" s="776"/>
      <c r="AC65" s="776"/>
      <c r="AD65" s="776"/>
      <c r="AE65" s="776"/>
      <c r="AF65" s="1662"/>
      <c r="AG65" s="1662"/>
      <c r="AH65" s="1662"/>
      <c r="AI65" s="1662"/>
    </row>
    <row r="66" spans="1:37" ht="12.6" customHeight="1" x14ac:dyDescent="0.25">
      <c r="A66" s="8" t="str">
        <f t="shared" si="0"/>
        <v>01</v>
      </c>
      <c r="B66" s="149" t="s">
        <v>4103</v>
      </c>
      <c r="C66" s="149"/>
      <c r="D66" s="149"/>
      <c r="E66" s="149"/>
      <c r="F66" s="149"/>
      <c r="G66" s="149"/>
      <c r="H66" s="149"/>
      <c r="I66" s="1273"/>
      <c r="J66" s="1633"/>
      <c r="K66" s="1145">
        <f>'340'!I13</f>
        <v>0</v>
      </c>
      <c r="L66" s="1637"/>
      <c r="M66" s="1409"/>
      <c r="N66" s="1637"/>
      <c r="O66" s="1409"/>
      <c r="P66" s="1637"/>
      <c r="Q66" s="1409"/>
      <c r="R66" s="1635"/>
      <c r="S66" s="1638"/>
      <c r="T66" s="1639"/>
      <c r="U66" s="1515" t="str">
        <f t="shared" si="1"/>
        <v/>
      </c>
      <c r="W66" s="609" t="str">
        <f t="shared" ref="W66:W73" si="10">IF(X66=FALSE,"*","")</f>
        <v/>
      </c>
      <c r="X66" s="610" t="b">
        <f>+K66=SUM(M66,O66,Q66,S66)</f>
        <v>1</v>
      </c>
      <c r="Y66" s="1137">
        <f t="shared" ref="Y66:Y74" si="11">K66-SUM(M66,O66,Q66, S66)</f>
        <v>0</v>
      </c>
      <c r="AB66" s="1665" t="s">
        <v>4177</v>
      </c>
      <c r="AC66" s="1665" t="s">
        <v>4177</v>
      </c>
      <c r="AD66" s="1665" t="s">
        <v>4177</v>
      </c>
      <c r="AE66" s="1665" t="s">
        <v>4177</v>
      </c>
      <c r="AF66" s="1662" t="str">
        <f t="shared" si="3"/>
        <v/>
      </c>
      <c r="AG66" s="1662" t="str">
        <f t="shared" si="4"/>
        <v/>
      </c>
      <c r="AH66" s="1662" t="str">
        <f t="shared" si="5"/>
        <v/>
      </c>
      <c r="AI66" s="1662" t="str">
        <f t="shared" si="6"/>
        <v/>
      </c>
      <c r="AK66" s="2172" t="s">
        <v>1356</v>
      </c>
    </row>
    <row r="67" spans="1:37" ht="12.6" customHeight="1" x14ac:dyDescent="0.25">
      <c r="A67" s="8" t="str">
        <f t="shared" si="0"/>
        <v>01</v>
      </c>
      <c r="B67" s="149" t="s">
        <v>1405</v>
      </c>
      <c r="C67" s="149"/>
      <c r="D67" s="149"/>
      <c r="E67" s="149"/>
      <c r="F67" s="149"/>
      <c r="G67" s="149"/>
      <c r="H67" s="149"/>
      <c r="I67" s="1273"/>
      <c r="J67" s="1633"/>
      <c r="K67" s="1145">
        <f>'340'!I14</f>
        <v>0</v>
      </c>
      <c r="L67" s="1637"/>
      <c r="M67" s="1409"/>
      <c r="N67" s="1637"/>
      <c r="O67" s="1409"/>
      <c r="P67" s="1637"/>
      <c r="Q67" s="1409"/>
      <c r="R67" s="1635"/>
      <c r="S67" s="1638"/>
      <c r="T67" s="1639"/>
      <c r="U67" s="1515" t="str">
        <f t="shared" si="1"/>
        <v/>
      </c>
      <c r="W67" s="609" t="str">
        <f t="shared" si="10"/>
        <v/>
      </c>
      <c r="X67" s="610" t="b">
        <f t="shared" ref="X67:X74" si="12">+K67=SUM(M67,O67,Q67,S67)</f>
        <v>1</v>
      </c>
      <c r="Y67" s="1137">
        <f t="shared" si="11"/>
        <v>0</v>
      </c>
      <c r="AB67" s="1665" t="s">
        <v>4177</v>
      </c>
      <c r="AC67" s="1665" t="s">
        <v>4177</v>
      </c>
      <c r="AD67" s="1665" t="s">
        <v>4177</v>
      </c>
      <c r="AE67" s="1665" t="s">
        <v>4177</v>
      </c>
      <c r="AF67" s="1662" t="str">
        <f t="shared" si="3"/>
        <v/>
      </c>
      <c r="AG67" s="1662" t="str">
        <f t="shared" si="4"/>
        <v/>
      </c>
      <c r="AH67" s="1662" t="str">
        <f t="shared" si="5"/>
        <v/>
      </c>
      <c r="AI67" s="1662" t="str">
        <f t="shared" si="6"/>
        <v/>
      </c>
      <c r="AK67" s="2172" t="s">
        <v>1405</v>
      </c>
    </row>
    <row r="68" spans="1:37" ht="12.6" customHeight="1" x14ac:dyDescent="0.25">
      <c r="A68" s="8" t="str">
        <f t="shared" si="0"/>
        <v>01</v>
      </c>
      <c r="B68" s="149" t="s">
        <v>1406</v>
      </c>
      <c r="C68" s="149"/>
      <c r="D68" s="149"/>
      <c r="E68" s="149"/>
      <c r="F68" s="149"/>
      <c r="G68" s="149"/>
      <c r="H68" s="149"/>
      <c r="I68" s="1273"/>
      <c r="J68" s="1633"/>
      <c r="K68" s="1145">
        <f>'340'!I15</f>
        <v>0</v>
      </c>
      <c r="L68" s="1637"/>
      <c r="M68" s="1409"/>
      <c r="N68" s="1637"/>
      <c r="O68" s="1409"/>
      <c r="P68" s="1637"/>
      <c r="Q68" s="1409"/>
      <c r="R68" s="1635"/>
      <c r="S68" s="1638"/>
      <c r="T68" s="1639"/>
      <c r="U68" s="1515" t="str">
        <f t="shared" si="1"/>
        <v/>
      </c>
      <c r="W68" s="609" t="str">
        <f t="shared" si="10"/>
        <v/>
      </c>
      <c r="X68" s="610" t="b">
        <f t="shared" si="12"/>
        <v>1</v>
      </c>
      <c r="Y68" s="1137">
        <f t="shared" si="11"/>
        <v>0</v>
      </c>
      <c r="AB68" s="1665" t="s">
        <v>4177</v>
      </c>
      <c r="AC68" s="1665" t="s">
        <v>4177</v>
      </c>
      <c r="AD68" s="1665" t="s">
        <v>4177</v>
      </c>
      <c r="AE68" s="1665" t="s">
        <v>4177</v>
      </c>
      <c r="AF68" s="1662" t="str">
        <f t="shared" si="3"/>
        <v/>
      </c>
      <c r="AG68" s="1662" t="str">
        <f t="shared" si="4"/>
        <v/>
      </c>
      <c r="AH68" s="1662" t="str">
        <f t="shared" si="5"/>
        <v/>
      </c>
      <c r="AI68" s="1662" t="str">
        <f t="shared" si="6"/>
        <v/>
      </c>
      <c r="AK68" s="2172" t="s">
        <v>1406</v>
      </c>
    </row>
    <row r="69" spans="1:37" ht="12.6" customHeight="1" x14ac:dyDescent="0.25">
      <c r="A69" s="8" t="str">
        <f t="shared" si="0"/>
        <v>01</v>
      </c>
      <c r="B69" s="149" t="s">
        <v>3443</v>
      </c>
      <c r="C69" s="149"/>
      <c r="D69" s="149"/>
      <c r="E69" s="149"/>
      <c r="F69" s="149"/>
      <c r="G69" s="149"/>
      <c r="H69" s="149"/>
      <c r="I69" s="1273"/>
      <c r="J69" s="1633"/>
      <c r="K69" s="1145">
        <f>'340'!I16</f>
        <v>0</v>
      </c>
      <c r="L69" s="1637"/>
      <c r="M69" s="1409"/>
      <c r="N69" s="1637"/>
      <c r="O69" s="1409"/>
      <c r="P69" s="1637"/>
      <c r="Q69" s="1409"/>
      <c r="R69" s="1635"/>
      <c r="S69" s="1638"/>
      <c r="T69" s="1639"/>
      <c r="U69" s="1515" t="str">
        <f t="shared" si="1"/>
        <v/>
      </c>
      <c r="W69" s="609" t="str">
        <f t="shared" si="10"/>
        <v/>
      </c>
      <c r="X69" s="610" t="b">
        <f t="shared" si="12"/>
        <v>1</v>
      </c>
      <c r="Y69" s="1137">
        <f t="shared" si="11"/>
        <v>0</v>
      </c>
      <c r="AB69" s="1665" t="s">
        <v>4177</v>
      </c>
      <c r="AC69" s="1665" t="s">
        <v>4177</v>
      </c>
      <c r="AD69" s="1665" t="s">
        <v>4177</v>
      </c>
      <c r="AE69" s="1665" t="s">
        <v>4177</v>
      </c>
      <c r="AF69" s="1662" t="str">
        <f t="shared" si="3"/>
        <v/>
      </c>
      <c r="AG69" s="1662" t="str">
        <f t="shared" si="4"/>
        <v/>
      </c>
      <c r="AH69" s="1662" t="str">
        <f t="shared" si="5"/>
        <v/>
      </c>
      <c r="AI69" s="1662" t="str">
        <f t="shared" si="6"/>
        <v/>
      </c>
      <c r="AK69" s="2172" t="s">
        <v>3443</v>
      </c>
    </row>
    <row r="70" spans="1:37" ht="12.6" customHeight="1" x14ac:dyDescent="0.25">
      <c r="A70" s="8" t="str">
        <f t="shared" si="0"/>
        <v>01</v>
      </c>
      <c r="B70" s="149" t="s">
        <v>1718</v>
      </c>
      <c r="C70" s="149"/>
      <c r="D70" s="149"/>
      <c r="E70" s="149"/>
      <c r="F70" s="149"/>
      <c r="G70" s="149"/>
      <c r="H70" s="149"/>
      <c r="I70" s="1273"/>
      <c r="J70" s="1633"/>
      <c r="K70" s="1145">
        <f>'340'!I17</f>
        <v>0</v>
      </c>
      <c r="L70" s="1637"/>
      <c r="M70" s="1409"/>
      <c r="N70" s="1637"/>
      <c r="O70" s="1409"/>
      <c r="P70" s="1637"/>
      <c r="Q70" s="1409"/>
      <c r="R70" s="1635"/>
      <c r="S70" s="1638"/>
      <c r="T70" s="1639"/>
      <c r="U70" s="1515" t="str">
        <f t="shared" si="1"/>
        <v/>
      </c>
      <c r="W70" s="609" t="str">
        <f t="shared" si="10"/>
        <v/>
      </c>
      <c r="X70" s="610" t="b">
        <f t="shared" si="12"/>
        <v>1</v>
      </c>
      <c r="Y70" s="1137">
        <f t="shared" si="11"/>
        <v>0</v>
      </c>
      <c r="AB70" s="1665" t="s">
        <v>4177</v>
      </c>
      <c r="AC70" s="1665" t="s">
        <v>4177</v>
      </c>
      <c r="AD70" s="1665" t="s">
        <v>4177</v>
      </c>
      <c r="AE70" s="1665" t="s">
        <v>4177</v>
      </c>
      <c r="AF70" s="1662" t="str">
        <f t="shared" si="3"/>
        <v/>
      </c>
      <c r="AG70" s="1662" t="str">
        <f t="shared" si="4"/>
        <v/>
      </c>
      <c r="AH70" s="1662" t="str">
        <f t="shared" si="5"/>
        <v/>
      </c>
      <c r="AI70" s="1662" t="str">
        <f t="shared" si="6"/>
        <v/>
      </c>
      <c r="AK70" s="2172" t="s">
        <v>1718</v>
      </c>
    </row>
    <row r="71" spans="1:37" ht="12.6" customHeight="1" x14ac:dyDescent="0.25">
      <c r="A71" s="8" t="str">
        <f t="shared" si="0"/>
        <v>01</v>
      </c>
      <c r="B71" s="149" t="s">
        <v>4104</v>
      </c>
      <c r="C71" s="149"/>
      <c r="D71" s="149"/>
      <c r="E71" s="149"/>
      <c r="F71" s="149"/>
      <c r="G71" s="149"/>
      <c r="H71" s="149"/>
      <c r="I71" s="1273"/>
      <c r="J71" s="1633"/>
      <c r="K71" s="1145">
        <f>'340'!I18</f>
        <v>0</v>
      </c>
      <c r="L71" s="1637"/>
      <c r="M71" s="1409"/>
      <c r="N71" s="1637"/>
      <c r="O71" s="1409"/>
      <c r="P71" s="1637"/>
      <c r="Q71" s="1409"/>
      <c r="R71" s="1635"/>
      <c r="S71" s="1638"/>
      <c r="T71" s="1639"/>
      <c r="U71" s="1515" t="str">
        <f t="shared" si="1"/>
        <v/>
      </c>
      <c r="W71" s="609" t="str">
        <f t="shared" si="10"/>
        <v/>
      </c>
      <c r="X71" s="610" t="b">
        <f t="shared" si="12"/>
        <v>1</v>
      </c>
      <c r="Y71" s="1137">
        <f t="shared" si="11"/>
        <v>0</v>
      </c>
      <c r="AB71" s="1665" t="s">
        <v>4177</v>
      </c>
      <c r="AC71" s="1665" t="s">
        <v>4177</v>
      </c>
      <c r="AD71" s="1665" t="s">
        <v>4177</v>
      </c>
      <c r="AE71" s="1665" t="s">
        <v>4177</v>
      </c>
      <c r="AF71" s="1662" t="str">
        <f t="shared" si="3"/>
        <v/>
      </c>
      <c r="AG71" s="1662" t="str">
        <f t="shared" si="4"/>
        <v/>
      </c>
      <c r="AH71" s="1662" t="str">
        <f t="shared" si="5"/>
        <v/>
      </c>
      <c r="AI71" s="1662" t="str">
        <f t="shared" si="6"/>
        <v/>
      </c>
      <c r="AK71" s="2172" t="s">
        <v>4104</v>
      </c>
    </row>
    <row r="72" spans="1:37" ht="12.6" customHeight="1" x14ac:dyDescent="0.25">
      <c r="B72" s="149" t="s">
        <v>4284</v>
      </c>
      <c r="C72" s="149"/>
      <c r="D72" s="149"/>
      <c r="E72" s="149"/>
      <c r="F72" s="149"/>
      <c r="G72" s="149"/>
      <c r="H72" s="149"/>
      <c r="I72" s="1273"/>
      <c r="J72" s="1633"/>
      <c r="K72" s="1145">
        <f>'340'!I19</f>
        <v>0</v>
      </c>
      <c r="L72" s="1637"/>
      <c r="M72" s="1409"/>
      <c r="N72" s="1637"/>
      <c r="O72" s="1409"/>
      <c r="P72" s="1637"/>
      <c r="Q72" s="1409"/>
      <c r="R72" s="1635"/>
      <c r="S72" s="1638"/>
      <c r="T72" s="1639"/>
      <c r="U72" s="1515" t="str">
        <f t="shared" si="1"/>
        <v/>
      </c>
      <c r="W72" s="609" t="str">
        <f>IF(X72=FALSE,"*","")</f>
        <v/>
      </c>
      <c r="X72" s="610" t="b">
        <f>+K72=SUM(M72,O72,Q72,S72)</f>
        <v>1</v>
      </c>
      <c r="Y72" s="1137">
        <f>K72-SUM(M72,O72,Q72, S72)</f>
        <v>0</v>
      </c>
      <c r="AB72" s="1665" t="s">
        <v>4177</v>
      </c>
      <c r="AC72" s="1665" t="s">
        <v>4177</v>
      </c>
      <c r="AD72" s="1665" t="s">
        <v>4177</v>
      </c>
      <c r="AE72" s="1665" t="s">
        <v>4177</v>
      </c>
      <c r="AF72" s="1662" t="str">
        <f t="shared" si="3"/>
        <v/>
      </c>
      <c r="AG72" s="1662" t="str">
        <f t="shared" si="4"/>
        <v/>
      </c>
      <c r="AH72" s="1662" t="str">
        <f t="shared" si="5"/>
        <v/>
      </c>
      <c r="AI72" s="1662" t="str">
        <f t="shared" si="6"/>
        <v/>
      </c>
      <c r="AK72" s="2172" t="s">
        <v>4284</v>
      </c>
    </row>
    <row r="73" spans="1:37" ht="12.6" customHeight="1" x14ac:dyDescent="0.25">
      <c r="A73" s="8" t="str">
        <f t="shared" si="0"/>
        <v>01</v>
      </c>
      <c r="B73" s="149" t="s">
        <v>635</v>
      </c>
      <c r="C73" s="2912"/>
      <c r="D73" s="2912"/>
      <c r="E73" s="2912"/>
      <c r="F73" s="2912"/>
      <c r="G73" s="2912"/>
      <c r="H73" s="149"/>
      <c r="I73" s="1273"/>
      <c r="J73" s="1633"/>
      <c r="K73" s="1145">
        <f>'340'!I20</f>
        <v>0</v>
      </c>
      <c r="L73" s="1637"/>
      <c r="M73" s="1409"/>
      <c r="N73" s="1637"/>
      <c r="O73" s="1409"/>
      <c r="P73" s="1637"/>
      <c r="Q73" s="1409"/>
      <c r="R73" s="1635"/>
      <c r="S73" s="1638"/>
      <c r="T73" s="1639"/>
      <c r="U73" s="1515" t="str">
        <f t="shared" si="1"/>
        <v/>
      </c>
      <c r="W73" s="609" t="str">
        <f t="shared" si="10"/>
        <v/>
      </c>
      <c r="X73" s="610" t="b">
        <f t="shared" si="12"/>
        <v>1</v>
      </c>
      <c r="Y73" s="1137">
        <f t="shared" si="11"/>
        <v>0</v>
      </c>
      <c r="AB73" s="1665" t="s">
        <v>4177</v>
      </c>
      <c r="AC73" s="1665" t="s">
        <v>4177</v>
      </c>
      <c r="AD73" s="1665" t="s">
        <v>4177</v>
      </c>
      <c r="AE73" s="1665" t="s">
        <v>4177</v>
      </c>
      <c r="AF73" s="1662" t="str">
        <f t="shared" si="3"/>
        <v/>
      </c>
      <c r="AG73" s="1662" t="str">
        <f t="shared" si="4"/>
        <v/>
      </c>
      <c r="AH73" s="1662" t="str">
        <f t="shared" si="5"/>
        <v/>
      </c>
      <c r="AI73" s="1662" t="str">
        <f t="shared" si="6"/>
        <v/>
      </c>
      <c r="AK73" s="2172" t="s">
        <v>5102</v>
      </c>
    </row>
    <row r="74" spans="1:37" ht="12" customHeight="1" x14ac:dyDescent="0.25">
      <c r="B74" s="149" t="s">
        <v>635</v>
      </c>
      <c r="C74" s="2952"/>
      <c r="D74" s="2952"/>
      <c r="E74" s="2952"/>
      <c r="F74" s="2952"/>
      <c r="G74" s="2952"/>
      <c r="H74" s="149"/>
      <c r="I74" s="1273"/>
      <c r="J74" s="1633"/>
      <c r="K74" s="1145">
        <f>'340'!I21</f>
        <v>0</v>
      </c>
      <c r="L74" s="1637"/>
      <c r="M74" s="1409"/>
      <c r="N74" s="1637"/>
      <c r="O74" s="1409"/>
      <c r="P74" s="1637"/>
      <c r="Q74" s="1409"/>
      <c r="R74" s="1635"/>
      <c r="S74" s="1649"/>
      <c r="T74" s="1639"/>
      <c r="U74" s="1542" t="str">
        <f t="shared" si="1"/>
        <v/>
      </c>
      <c r="W74" s="609"/>
      <c r="X74" s="610" t="b">
        <f t="shared" si="12"/>
        <v>1</v>
      </c>
      <c r="Y74" s="1137">
        <f t="shared" si="11"/>
        <v>0</v>
      </c>
      <c r="AB74" s="1665" t="s">
        <v>4177</v>
      </c>
      <c r="AC74" s="1665" t="s">
        <v>4177</v>
      </c>
      <c r="AD74" s="1665" t="s">
        <v>4177</v>
      </c>
      <c r="AE74" s="1665" t="s">
        <v>4177</v>
      </c>
      <c r="AF74" s="1662" t="str">
        <f t="shared" si="3"/>
        <v/>
      </c>
      <c r="AG74" s="1662" t="str">
        <f t="shared" si="4"/>
        <v/>
      </c>
      <c r="AH74" s="1662" t="str">
        <f t="shared" si="5"/>
        <v/>
      </c>
      <c r="AI74" s="1662" t="str">
        <f t="shared" si="6"/>
        <v/>
      </c>
      <c r="AK74" s="2172" t="s">
        <v>5103</v>
      </c>
    </row>
    <row r="75" spans="1:37" ht="4.5" customHeight="1" x14ac:dyDescent="0.25">
      <c r="A75" s="8" t="str">
        <f t="shared" ref="A75:A84" si="13">AgyIdx</f>
        <v>01</v>
      </c>
      <c r="B75" s="1091"/>
      <c r="C75" s="149"/>
      <c r="D75" s="149"/>
      <c r="E75" s="149"/>
      <c r="F75" s="149"/>
      <c r="G75" s="149"/>
      <c r="H75" s="149"/>
      <c r="I75" s="1273"/>
      <c r="J75" s="1633"/>
      <c r="K75" s="1637"/>
      <c r="L75" s="1134"/>
      <c r="M75" s="1639"/>
      <c r="N75" s="1134"/>
      <c r="O75" s="1134"/>
      <c r="P75" s="149"/>
      <c r="Q75" s="149"/>
      <c r="R75" s="149"/>
      <c r="S75" s="149"/>
      <c r="T75" s="149"/>
      <c r="U75"/>
      <c r="X75" s="610"/>
      <c r="Y75" s="1137"/>
      <c r="AB75" s="776"/>
      <c r="AC75" s="776"/>
      <c r="AD75" s="776"/>
      <c r="AE75" s="776"/>
      <c r="AF75" s="1662"/>
      <c r="AG75" s="1662"/>
      <c r="AH75" s="1662"/>
      <c r="AI75" s="1662"/>
    </row>
    <row r="76" spans="1:37" ht="13.5" x14ac:dyDescent="0.25">
      <c r="A76" s="8" t="str">
        <f t="shared" si="13"/>
        <v>01</v>
      </c>
      <c r="B76" s="309" t="s">
        <v>4105</v>
      </c>
      <c r="C76" s="149"/>
      <c r="D76" s="149"/>
      <c r="E76" s="149"/>
      <c r="F76" s="149"/>
      <c r="G76" s="149"/>
      <c r="H76" s="149"/>
      <c r="I76" s="1273"/>
      <c r="J76" s="1633"/>
      <c r="K76" s="1637"/>
      <c r="L76" s="1134"/>
      <c r="M76" s="1639"/>
      <c r="N76" s="1134"/>
      <c r="O76" s="1134"/>
      <c r="P76" s="149"/>
      <c r="Q76" s="149"/>
      <c r="R76" s="149"/>
      <c r="S76" s="149"/>
      <c r="T76" s="149"/>
      <c r="U76"/>
      <c r="X76" s="610"/>
      <c r="Y76" s="1137"/>
      <c r="AB76" s="776"/>
      <c r="AC76" s="776"/>
      <c r="AD76" s="776"/>
      <c r="AE76" s="776"/>
      <c r="AF76" s="1662"/>
      <c r="AG76" s="1662"/>
      <c r="AH76" s="1662"/>
      <c r="AI76" s="1662"/>
    </row>
    <row r="77" spans="1:37" ht="12" customHeight="1" x14ac:dyDescent="0.25">
      <c r="A77" s="8" t="str">
        <f t="shared" si="13"/>
        <v>01</v>
      </c>
      <c r="B77" s="149" t="s">
        <v>4103</v>
      </c>
      <c r="C77" s="149"/>
      <c r="D77" s="149"/>
      <c r="E77" s="149"/>
      <c r="F77" s="149"/>
      <c r="G77" s="149"/>
      <c r="H77" s="149"/>
      <c r="I77" s="1273"/>
      <c r="J77" s="1633"/>
      <c r="K77" s="1145">
        <f>'340'!I31</f>
        <v>0</v>
      </c>
      <c r="L77" s="1637"/>
      <c r="M77" s="1409"/>
      <c r="N77" s="1637"/>
      <c r="O77" s="1409"/>
      <c r="P77" s="1637"/>
      <c r="Q77" s="1409"/>
      <c r="R77" s="1635"/>
      <c r="S77" s="1638"/>
      <c r="T77" s="1639"/>
      <c r="U77" s="1515" t="str">
        <f t="shared" si="1"/>
        <v/>
      </c>
      <c r="W77" s="609"/>
      <c r="X77" s="610" t="b">
        <f t="shared" ref="X77" si="14">+K77=SUM(M77,O77,Q77,S77)</f>
        <v>1</v>
      </c>
      <c r="Y77" s="1137">
        <f>K77-SUM(M77,O77,Q77, S77)</f>
        <v>0</v>
      </c>
      <c r="AB77" s="1665" t="s">
        <v>4177</v>
      </c>
      <c r="AC77" s="1665" t="s">
        <v>4177</v>
      </c>
      <c r="AD77" s="1665" t="s">
        <v>4177</v>
      </c>
      <c r="AE77" s="1665" t="s">
        <v>4177</v>
      </c>
      <c r="AF77" s="1662" t="str">
        <f t="shared" si="3"/>
        <v/>
      </c>
      <c r="AG77" s="1662" t="str">
        <f t="shared" si="4"/>
        <v/>
      </c>
      <c r="AH77" s="1662" t="str">
        <f t="shared" si="5"/>
        <v/>
      </c>
      <c r="AI77" s="1662" t="str">
        <f t="shared" si="6"/>
        <v/>
      </c>
      <c r="AK77" s="2157" t="s">
        <v>4103</v>
      </c>
    </row>
    <row r="78" spans="1:37" ht="7.5" customHeight="1" x14ac:dyDescent="0.25">
      <c r="A78" s="8" t="str">
        <f t="shared" si="13"/>
        <v>01</v>
      </c>
      <c r="B78" s="1091"/>
      <c r="C78" s="149"/>
      <c r="D78" s="149"/>
      <c r="E78" s="149"/>
      <c r="F78" s="149"/>
      <c r="G78" s="149"/>
      <c r="H78" s="149"/>
      <c r="I78" s="1273"/>
      <c r="J78" s="1633"/>
      <c r="K78" s="1637"/>
      <c r="L78" s="1134"/>
      <c r="M78" s="1639"/>
      <c r="N78" s="1134"/>
      <c r="O78" s="1134"/>
      <c r="P78" s="149"/>
      <c r="Q78" s="149"/>
      <c r="R78" s="149"/>
      <c r="S78" s="149"/>
      <c r="T78" s="149"/>
      <c r="U78" s="149"/>
      <c r="X78" s="610"/>
      <c r="Y78" s="1137"/>
      <c r="AB78" s="776"/>
      <c r="AC78" s="776"/>
      <c r="AD78" s="776"/>
      <c r="AE78" s="776"/>
      <c r="AF78" s="1662"/>
      <c r="AG78" s="1662"/>
      <c r="AH78" s="1662"/>
      <c r="AI78" s="1662"/>
    </row>
    <row r="79" spans="1:37" ht="7.5" customHeight="1" x14ac:dyDescent="0.25">
      <c r="B79" s="1091"/>
      <c r="C79" s="149"/>
      <c r="D79" s="149"/>
      <c r="E79" s="149"/>
      <c r="F79" s="149"/>
      <c r="G79" s="149"/>
      <c r="H79" s="149"/>
      <c r="I79" s="1273"/>
      <c r="J79" s="1633"/>
      <c r="K79" s="1637"/>
      <c r="L79" s="1134"/>
      <c r="M79" s="1639"/>
      <c r="N79" s="1134"/>
      <c r="O79" s="1134"/>
      <c r="P79" s="149"/>
      <c r="Q79" s="149"/>
      <c r="R79" s="149"/>
      <c r="S79" s="149"/>
      <c r="T79" s="149"/>
      <c r="U79" s="149"/>
      <c r="X79" s="610"/>
      <c r="Y79" s="1137"/>
      <c r="AB79" s="776"/>
      <c r="AC79" s="776"/>
      <c r="AD79" s="776"/>
      <c r="AE79" s="776"/>
      <c r="AF79" s="1662"/>
      <c r="AG79" s="1662"/>
      <c r="AH79" s="1662"/>
      <c r="AI79" s="1662"/>
    </row>
    <row r="80" spans="1:37" ht="13.5" x14ac:dyDescent="0.25">
      <c r="A80" s="8" t="str">
        <f>AgyIdx</f>
        <v>01</v>
      </c>
      <c r="B80" s="1091" t="s">
        <v>4106</v>
      </c>
      <c r="C80" s="149"/>
      <c r="D80" s="149"/>
      <c r="E80" s="149"/>
      <c r="F80" s="149"/>
      <c r="G80" s="149"/>
      <c r="H80" s="149"/>
      <c r="I80" s="1273"/>
      <c r="J80" s="1633"/>
      <c r="K80" s="1637"/>
      <c r="L80" s="1134"/>
      <c r="M80" s="894" t="s">
        <v>969</v>
      </c>
      <c r="O80" s="1369"/>
      <c r="P80" s="2950" t="str">
        <f>IF(AND(ISBLANK(O80),ISBLANK(O81))=TRUE,"Answer Missing"," ")</f>
        <v>Answer Missing</v>
      </c>
      <c r="Q80" s="2951"/>
      <c r="S80" s="2951" t="str">
        <f>IF(ISTEXT(O80), "Narrative WS Required", " ")</f>
        <v xml:space="preserve"> </v>
      </c>
      <c r="T80" s="2951"/>
      <c r="U80" s="2951"/>
      <c r="X80" s="610"/>
      <c r="Y80" s="1137"/>
      <c r="AK80" s="2157"/>
    </row>
    <row r="81" spans="1:25" ht="13.5" x14ac:dyDescent="0.25">
      <c r="A81" s="8" t="str">
        <f t="shared" si="13"/>
        <v>01</v>
      </c>
      <c r="B81" s="1091" t="s">
        <v>4107</v>
      </c>
      <c r="C81" s="149"/>
      <c r="D81" s="149"/>
      <c r="E81" s="149"/>
      <c r="F81" s="149"/>
      <c r="G81" s="149"/>
      <c r="H81" s="149"/>
      <c r="I81" s="1273"/>
      <c r="J81" s="1633"/>
      <c r="M81" s="894" t="s">
        <v>970</v>
      </c>
      <c r="O81" s="1369"/>
      <c r="P81" s="1089"/>
      <c r="X81" s="610"/>
      <c r="Y81" s="1137"/>
    </row>
    <row r="82" spans="1:25" ht="5.25" customHeight="1" x14ac:dyDescent="0.25">
      <c r="A82" s="8" t="str">
        <f t="shared" si="13"/>
        <v>01</v>
      </c>
      <c r="B82" s="1437"/>
      <c r="C82" s="1437"/>
      <c r="G82" s="149"/>
      <c r="H82" s="149"/>
      <c r="I82" s="1273"/>
      <c r="J82" s="1633"/>
      <c r="K82" s="1637"/>
      <c r="L82" s="1134"/>
      <c r="M82" s="1639"/>
      <c r="N82" s="1134"/>
      <c r="O82" s="1134"/>
      <c r="P82" s="149"/>
      <c r="X82" s="610"/>
      <c r="Y82" s="1137"/>
    </row>
    <row r="83" spans="1:25" ht="13.5" x14ac:dyDescent="0.25">
      <c r="A83" s="8" t="str">
        <f t="shared" si="13"/>
        <v>01</v>
      </c>
      <c r="B83" s="1091" t="s">
        <v>4108</v>
      </c>
      <c r="C83" s="149"/>
      <c r="D83" s="149"/>
      <c r="E83" s="149"/>
      <c r="F83" s="149"/>
      <c r="G83" s="149"/>
      <c r="H83" s="149"/>
      <c r="I83" s="1273"/>
      <c r="J83" s="1633"/>
      <c r="K83" s="1637"/>
      <c r="L83" s="1273"/>
      <c r="M83" s="894" t="s">
        <v>969</v>
      </c>
      <c r="O83" s="1369"/>
      <c r="P83" s="2950" t="str">
        <f>IF(AND(ISBLANK(O83),ISBLANK(O84))=TRUE,"Answer Missing"," ")</f>
        <v>Answer Missing</v>
      </c>
      <c r="Q83" s="2951"/>
      <c r="R83" s="149"/>
      <c r="S83" s="2951" t="str">
        <f>IF(ISTEXT(O83), "Narrative WS Required", " ")</f>
        <v xml:space="preserve"> </v>
      </c>
      <c r="T83" s="2951"/>
      <c r="U83" s="2951"/>
      <c r="X83" s="610"/>
      <c r="Y83" s="1137"/>
    </row>
    <row r="84" spans="1:25" ht="13.5" x14ac:dyDescent="0.25">
      <c r="A84" s="8" t="str">
        <f t="shared" si="13"/>
        <v>01</v>
      </c>
      <c r="B84" s="1091" t="s">
        <v>4109</v>
      </c>
      <c r="C84" s="149"/>
      <c r="D84" s="149"/>
      <c r="E84" s="149"/>
      <c r="F84" s="149"/>
      <c r="G84" s="149"/>
      <c r="H84" s="149"/>
      <c r="I84" s="1273"/>
      <c r="J84" s="1633"/>
      <c r="K84" s="1134"/>
      <c r="L84" s="149"/>
      <c r="M84" s="894" t="s">
        <v>970</v>
      </c>
      <c r="O84" s="1369"/>
      <c r="P84" s="1089"/>
      <c r="Q84" s="149"/>
      <c r="R84" s="149"/>
      <c r="X84" s="610"/>
      <c r="Y84" s="1137"/>
    </row>
    <row r="85" spans="1:25" ht="3.75" customHeight="1" x14ac:dyDescent="0.25">
      <c r="B85" s="1437"/>
      <c r="C85" s="1437"/>
      <c r="L85" s="149"/>
      <c r="R85" s="149"/>
      <c r="S85" s="1273"/>
      <c r="T85" s="1633"/>
      <c r="U85" s="1134"/>
      <c r="X85" s="610"/>
      <c r="Y85" s="1137"/>
    </row>
    <row r="86" spans="1:25" ht="13.5" x14ac:dyDescent="0.25">
      <c r="B86" s="1091" t="s">
        <v>4359</v>
      </c>
      <c r="C86" s="1437"/>
      <c r="D86" s="149"/>
      <c r="E86" s="149"/>
      <c r="F86" s="149"/>
      <c r="G86" s="149"/>
      <c r="H86" s="149"/>
      <c r="I86" s="1273"/>
      <c r="J86" s="1633"/>
      <c r="K86" s="1134"/>
      <c r="L86" s="149"/>
      <c r="M86" s="1134"/>
      <c r="N86" s="1134"/>
      <c r="O86" s="10"/>
      <c r="P86" s="1134"/>
      <c r="Q86" s="1134"/>
      <c r="R86" s="149"/>
      <c r="X86" s="610"/>
      <c r="Y86" s="1137"/>
    </row>
    <row r="87" spans="1:25" ht="13.5" x14ac:dyDescent="0.25">
      <c r="C87" s="1437"/>
      <c r="D87" s="149"/>
      <c r="E87" s="149"/>
      <c r="F87" s="149"/>
      <c r="G87" s="149"/>
      <c r="H87" s="149"/>
      <c r="I87" s="1273"/>
      <c r="J87" s="1633"/>
      <c r="K87" s="1134"/>
      <c r="L87" s="149"/>
      <c r="M87" s="1134"/>
      <c r="N87" s="1134"/>
      <c r="O87" s="10"/>
      <c r="P87" s="1134"/>
      <c r="Q87" s="1134"/>
      <c r="R87" s="149"/>
      <c r="X87" s="610"/>
      <c r="Y87" s="1137"/>
    </row>
    <row r="88" spans="1:25" ht="15" customHeight="1" x14ac:dyDescent="0.25">
      <c r="A88" s="8" t="str">
        <f>AgyIdx</f>
        <v>01</v>
      </c>
      <c r="B88" s="346"/>
      <c r="F88" s="324"/>
      <c r="G88" s="324"/>
      <c r="H88" s="324"/>
      <c r="I88" s="1642"/>
      <c r="K88" s="1637"/>
      <c r="L88" s="1437"/>
      <c r="M88" s="149"/>
      <c r="N88" s="149"/>
      <c r="O88" s="325"/>
      <c r="P88" s="325"/>
      <c r="Q88" s="325"/>
      <c r="X88" s="610"/>
      <c r="Y88" s="1137"/>
    </row>
    <row r="89" spans="1:25" x14ac:dyDescent="0.2">
      <c r="A89" s="8" t="str">
        <f>AgyIdx</f>
        <v>01</v>
      </c>
      <c r="B89" s="1422"/>
      <c r="I89" s="1133"/>
      <c r="K89" s="1134"/>
      <c r="L89" s="10"/>
      <c r="M89" s="10"/>
      <c r="N89" s="10"/>
      <c r="P89" s="10"/>
      <c r="Q89" s="10"/>
      <c r="X89" s="610"/>
      <c r="Y89" s="1137"/>
    </row>
    <row r="90" spans="1:25" x14ac:dyDescent="0.2">
      <c r="A90" s="8" t="str">
        <f>AgyIdx</f>
        <v>01</v>
      </c>
      <c r="B90" s="324"/>
    </row>
    <row r="91" spans="1:25" ht="15" x14ac:dyDescent="0.2">
      <c r="A91" s="794"/>
      <c r="B91" s="324"/>
      <c r="K91" s="794"/>
    </row>
    <row r="92" spans="1:25" ht="15" x14ac:dyDescent="0.2">
      <c r="A92" s="794"/>
      <c r="B92" s="324"/>
    </row>
    <row r="93" spans="1:25" ht="15" x14ac:dyDescent="0.2">
      <c r="A93" s="794"/>
      <c r="B93" s="324"/>
    </row>
    <row r="94" spans="1:25" ht="3.75" customHeight="1" x14ac:dyDescent="0.2">
      <c r="A94" s="794"/>
      <c r="B94" s="324"/>
    </row>
    <row r="95" spans="1:25" ht="15" x14ac:dyDescent="0.2">
      <c r="A95" s="794"/>
      <c r="B95" s="324"/>
    </row>
    <row r="96" spans="1:25" ht="15" x14ac:dyDescent="0.2">
      <c r="A96" s="794"/>
      <c r="B96" s="324"/>
    </row>
    <row r="97" spans="1:2" ht="15" x14ac:dyDescent="0.2">
      <c r="A97" s="794"/>
      <c r="B97" s="324"/>
    </row>
    <row r="98" spans="1:2" ht="15" x14ac:dyDescent="0.2">
      <c r="A98" s="794"/>
      <c r="B98" s="324"/>
    </row>
    <row r="99" spans="1:2" ht="15" x14ac:dyDescent="0.2">
      <c r="A99" s="794"/>
      <c r="B99" s="324"/>
    </row>
    <row r="100" spans="1:2" ht="3.75" customHeight="1" x14ac:dyDescent="0.2">
      <c r="A100" s="794"/>
      <c r="B100" s="324"/>
    </row>
    <row r="101" spans="1:2" ht="15" x14ac:dyDescent="0.2">
      <c r="A101" s="794"/>
      <c r="B101" s="324"/>
    </row>
    <row r="102" spans="1:2" ht="15" x14ac:dyDescent="0.2">
      <c r="A102" s="794"/>
      <c r="B102" s="324"/>
    </row>
    <row r="103" spans="1:2" ht="3.75" customHeight="1" x14ac:dyDescent="0.2">
      <c r="A103" s="794"/>
      <c r="B103" s="324"/>
    </row>
    <row r="104" spans="1:2" ht="15" x14ac:dyDescent="0.2">
      <c r="A104" s="794"/>
      <c r="B104" s="324"/>
    </row>
    <row r="105" spans="1:2" ht="3.75" customHeight="1" x14ac:dyDescent="0.2">
      <c r="A105" s="794"/>
    </row>
    <row r="106" spans="1:2" ht="15" x14ac:dyDescent="0.2">
      <c r="A106" s="794"/>
    </row>
    <row r="107" spans="1:2" ht="15" x14ac:dyDescent="0.2">
      <c r="A107" s="794"/>
    </row>
    <row r="108" spans="1:2" ht="15" x14ac:dyDescent="0.2">
      <c r="A108" s="794"/>
    </row>
    <row r="109" spans="1:2" ht="15" x14ac:dyDescent="0.2">
      <c r="A109" s="794"/>
    </row>
    <row r="110" spans="1:2" ht="15" x14ac:dyDescent="0.2">
      <c r="A110" s="794"/>
      <c r="B110" s="794"/>
    </row>
    <row r="111" spans="1:2" ht="15" x14ac:dyDescent="0.2">
      <c r="A111" s="794"/>
      <c r="B111" s="794"/>
    </row>
    <row r="112" spans="1:2" ht="15" x14ac:dyDescent="0.2">
      <c r="A112" s="794"/>
      <c r="B112" s="794"/>
    </row>
    <row r="113" spans="1:2" ht="15" x14ac:dyDescent="0.2">
      <c r="A113" s="794"/>
      <c r="B113" s="794"/>
    </row>
  </sheetData>
  <sheetProtection algorithmName="SHA-512" hashValue="h9wV7RwN5MSSO3cx2GuzW8IDGFu7ro5nsgY9M3gk6jCRs2OZ577vy8DsAuD2bSCOEIeazNUEWCDFgU7LkXcR8Q==" saltValue="yOcbnm9d8rmKsJCMJcSaxQ==" spinCount="100000" sheet="1" objects="1" scenarios="1" autoFilter="0"/>
  <mergeCells count="26">
    <mergeCell ref="C45:G45"/>
    <mergeCell ref="P80:Q80"/>
    <mergeCell ref="S80:U80"/>
    <mergeCell ref="P83:Q83"/>
    <mergeCell ref="S83:U83"/>
    <mergeCell ref="C46:G46"/>
    <mergeCell ref="C47:G47"/>
    <mergeCell ref="C55:G55"/>
    <mergeCell ref="C56:G56"/>
    <mergeCell ref="C57:G57"/>
    <mergeCell ref="C58:G58"/>
    <mergeCell ref="C59:G59"/>
    <mergeCell ref="C60:G60"/>
    <mergeCell ref="C73:G73"/>
    <mergeCell ref="C74:G74"/>
    <mergeCell ref="M12:Q12"/>
    <mergeCell ref="B1:T1"/>
    <mergeCell ref="Y1:Y3"/>
    <mergeCell ref="B2:T2"/>
    <mergeCell ref="B3:T3"/>
    <mergeCell ref="B4:T4"/>
    <mergeCell ref="M6:Q6"/>
    <mergeCell ref="M7:Q7"/>
    <mergeCell ref="E8:G8"/>
    <mergeCell ref="M8:Q8"/>
    <mergeCell ref="M9:Q9"/>
  </mergeCells>
  <conditionalFormatting sqref="U1:U3">
    <cfRule type="cellIs" dxfId="21" priority="9" stopIfTrue="1" operator="equal">
      <formula>"na"</formula>
    </cfRule>
  </conditionalFormatting>
  <conditionalFormatting sqref="Y1:Y3">
    <cfRule type="cellIs" dxfId="20" priority="8" stopIfTrue="1" operator="equal">
      <formula>"na"</formula>
    </cfRule>
  </conditionalFormatting>
  <conditionalFormatting sqref="P80">
    <cfRule type="containsText" dxfId="19" priority="7" stopIfTrue="1" operator="containsText" text="Answer Missing">
      <formula>NOT(ISERROR(SEARCH("Answer Missing",P80)))</formula>
    </cfRule>
  </conditionalFormatting>
  <conditionalFormatting sqref="P83">
    <cfRule type="containsText" dxfId="18" priority="6" stopIfTrue="1" operator="containsText" text="Answer Missing">
      <formula>NOT(ISERROR(SEARCH("Answer Missing",P83)))</formula>
    </cfRule>
  </conditionalFormatting>
  <conditionalFormatting sqref="S80">
    <cfRule type="containsText" dxfId="17" priority="5" stopIfTrue="1" operator="containsText" text="Answer Missing">
      <formula>NOT(ISERROR(SEARCH("Answer Missing",S80)))</formula>
    </cfRule>
  </conditionalFormatting>
  <conditionalFormatting sqref="S83">
    <cfRule type="containsText" dxfId="16" priority="4" stopIfTrue="1" operator="containsText" text="Answer Missing">
      <formula>NOT(ISERROR(SEARCH("Answer Missing",S83)))</formula>
    </cfRule>
  </conditionalFormatting>
  <dataValidations count="1">
    <dataValidation type="list" allowBlank="1" showInputMessage="1" showErrorMessage="1" sqref="AB77:AE77 AB66:AE74 AB20:AE47 AB50:AE60" xr:uid="{00000000-0002-0000-4600-000000000000}">
      <formula1>ValuationTech</formula1>
    </dataValidation>
  </dataValidations>
  <hyperlinks>
    <hyperlink ref="B1:R1" location="Index!A1" display="Index!A1" xr:uid="{00000000-0004-0000-4600-000000000000}"/>
  </hyperlinks>
  <pageMargins left="0.7" right="0.7" top="0.75" bottom="0.75" header="0.3" footer="0.3"/>
  <pageSetup scale="85" orientation="landscape" r:id="rId1"/>
  <headerFooter>
    <oddFooter>&amp;R&amp;A (&amp;P of &amp;N)</oddFooter>
  </headerFooter>
  <rowBreaks count="2" manualBreakCount="2">
    <brk id="48" min="1" max="21" man="1"/>
    <brk id="64" min="1" max="21"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01467BC-11D3-4469-8B5B-300B632A6834}">
          <x14:formula1>
            <xm:f>Notes!$AC$3:$AC$8</xm:f>
          </x14:formula1>
          <xm:sqref>C45:G47</xm:sqref>
        </x14:dataValidation>
        <x14:dataValidation type="list" allowBlank="1" showInputMessage="1" showErrorMessage="1" xr:uid="{C8F02C7A-E6C2-4311-B629-FCF1585D0CBE}">
          <x14:formula1>
            <xm:f>Notes!$AC$12:$AC$23</xm:f>
          </x14:formula1>
          <xm:sqref>C55:C60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L89"/>
  <sheetViews>
    <sheetView showGridLines="0" topLeftCell="B9" zoomScaleNormal="100" workbookViewId="0">
      <selection activeCell="D40" sqref="D40"/>
    </sheetView>
  </sheetViews>
  <sheetFormatPr defaultColWidth="9.42578125" defaultRowHeight="12.75" x14ac:dyDescent="0.2"/>
  <cols>
    <col min="1" max="1" width="9.42578125" style="61" hidden="1" customWidth="1"/>
    <col min="2" max="3" width="3.42578125" style="61" customWidth="1"/>
    <col min="4" max="4" width="7.5703125" style="61" customWidth="1"/>
    <col min="5" max="5" width="8.5703125" style="61" customWidth="1"/>
    <col min="6" max="6" width="22.5703125" style="61" customWidth="1"/>
    <col min="7" max="7" width="7.5703125" style="61" customWidth="1"/>
    <col min="8" max="8" width="8.5703125" style="61" customWidth="1"/>
    <col min="9" max="9" width="7.42578125" style="61" customWidth="1"/>
    <col min="10" max="10" width="21.5703125" style="61" customWidth="1"/>
    <col min="11" max="11" width="4.5703125" style="61" customWidth="1"/>
    <col min="12" max="16384" width="9.42578125" style="61"/>
  </cols>
  <sheetData>
    <row r="1" spans="1:12" ht="15.75" x14ac:dyDescent="0.25">
      <c r="A1" s="61" t="str">
        <f t="shared" ref="A1:A10" si="0">AgyIdx</f>
        <v>01</v>
      </c>
      <c r="B1" s="2379" t="str">
        <f>+Index!$A$1</f>
        <v xml:space="preserve">                                                               Office of the State Controller                                                                </v>
      </c>
      <c r="C1" s="2379"/>
      <c r="D1" s="2379"/>
      <c r="E1" s="2379"/>
      <c r="F1" s="2379"/>
      <c r="G1" s="2379"/>
      <c r="H1" s="2379"/>
      <c r="I1" s="2379"/>
      <c r="J1" s="2379"/>
      <c r="K1" s="2432"/>
    </row>
    <row r="2" spans="1:12" ht="15.75" x14ac:dyDescent="0.25">
      <c r="A2" s="61" t="str">
        <f t="shared" si="0"/>
        <v>01</v>
      </c>
      <c r="B2" s="2435" t="str">
        <f>+Index!$A$2</f>
        <v>2022 ACFR Worksheets</v>
      </c>
      <c r="C2" s="2435"/>
      <c r="D2" s="2435"/>
      <c r="E2" s="2435"/>
      <c r="F2" s="2435"/>
      <c r="G2" s="2435"/>
      <c r="H2" s="2435"/>
      <c r="I2" s="2435"/>
      <c r="J2" s="2435"/>
      <c r="K2" s="2432"/>
    </row>
    <row r="3" spans="1:12" ht="15" x14ac:dyDescent="0.25">
      <c r="A3" s="61" t="str">
        <f t="shared" si="0"/>
        <v>01</v>
      </c>
      <c r="B3" s="2454" t="s">
        <v>3838</v>
      </c>
      <c r="C3" s="2454"/>
      <c r="D3" s="2454"/>
      <c r="E3" s="2454"/>
      <c r="F3" s="2454"/>
      <c r="G3" s="2454"/>
      <c r="H3" s="2454"/>
      <c r="I3" s="2454"/>
      <c r="J3" s="2454"/>
      <c r="K3" s="2432"/>
    </row>
    <row r="4" spans="1:12" ht="12.75" customHeight="1" x14ac:dyDescent="0.2">
      <c r="A4" s="61" t="str">
        <f t="shared" si="0"/>
        <v>01</v>
      </c>
      <c r="B4" s="454"/>
      <c r="C4" s="454"/>
      <c r="D4" s="454"/>
      <c r="E4" s="454"/>
      <c r="F4" s="454"/>
      <c r="G4" s="454"/>
      <c r="H4" s="454"/>
      <c r="I4" s="454"/>
      <c r="J4" s="447"/>
      <c r="K4" s="448"/>
    </row>
    <row r="5" spans="1:12" x14ac:dyDescent="0.2">
      <c r="A5" s="61" t="str">
        <f t="shared" si="0"/>
        <v>01</v>
      </c>
      <c r="B5" s="1089"/>
      <c r="C5" s="1089"/>
      <c r="D5" s="1089"/>
      <c r="E5" s="451"/>
      <c r="F5" s="1345"/>
      <c r="G5" s="1335" t="s">
        <v>327</v>
      </c>
      <c r="H5" s="1336" t="str">
        <f>+Index!$E$10</f>
        <v>01</v>
      </c>
      <c r="I5" s="1337"/>
      <c r="J5" s="1337"/>
    </row>
    <row r="6" spans="1:12" x14ac:dyDescent="0.2">
      <c r="A6" s="61" t="str">
        <f t="shared" si="0"/>
        <v>01</v>
      </c>
      <c r="B6" s="1089"/>
      <c r="C6" s="1089"/>
      <c r="D6" s="1089"/>
      <c r="E6" s="1089"/>
      <c r="F6" s="1333"/>
      <c r="G6" s="1335" t="s">
        <v>1154</v>
      </c>
      <c r="H6" s="1338" t="str">
        <f>AgyName</f>
        <v>North Carolina General Assembly</v>
      </c>
      <c r="I6" s="1339"/>
      <c r="J6" s="1339"/>
    </row>
    <row r="7" spans="1:12" x14ac:dyDescent="0.2">
      <c r="A7" s="61" t="str">
        <f t="shared" si="0"/>
        <v>01</v>
      </c>
      <c r="B7" s="2452" t="s">
        <v>3447</v>
      </c>
      <c r="C7" s="2421"/>
      <c r="D7" s="2421"/>
      <c r="E7" s="1334" t="s">
        <v>805</v>
      </c>
      <c r="F7" s="454"/>
      <c r="G7" s="1335" t="s">
        <v>972</v>
      </c>
      <c r="H7" s="1340" t="str">
        <f>CONCATENATE(Index!$E$12," ",Index!$E$14)</f>
        <v xml:space="preserve"> </v>
      </c>
      <c r="I7" s="1370"/>
      <c r="J7" s="1370"/>
    </row>
    <row r="8" spans="1:12" x14ac:dyDescent="0.2">
      <c r="A8" s="61" t="str">
        <f t="shared" si="0"/>
        <v>01</v>
      </c>
      <c r="B8" s="1333"/>
      <c r="C8" s="1333"/>
      <c r="D8" s="1345"/>
      <c r="E8" s="454"/>
      <c r="F8" s="454"/>
      <c r="G8" s="1335" t="s">
        <v>348</v>
      </c>
      <c r="H8" s="1340">
        <f>+Index!$E$13</f>
        <v>0</v>
      </c>
      <c r="I8" s="1370"/>
      <c r="J8" s="1370"/>
    </row>
    <row r="9" spans="1:12" ht="10.35" customHeight="1" thickBot="1" x14ac:dyDescent="0.25">
      <c r="A9" s="61" t="str">
        <f t="shared" si="0"/>
        <v>01</v>
      </c>
      <c r="B9" s="1346"/>
      <c r="C9" s="1346"/>
      <c r="D9" s="1346"/>
      <c r="E9" s="1346"/>
      <c r="F9" s="1346"/>
      <c r="G9" s="1346"/>
      <c r="H9" s="1346"/>
      <c r="I9" s="1346"/>
      <c r="J9" s="1346"/>
    </row>
    <row r="10" spans="1:12" ht="9" customHeight="1" x14ac:dyDescent="0.25">
      <c r="A10" s="61" t="str">
        <f t="shared" si="0"/>
        <v>01</v>
      </c>
      <c r="B10" s="1341"/>
      <c r="C10" s="1341"/>
      <c r="D10" s="1341"/>
      <c r="E10" s="1341"/>
      <c r="F10" s="1341"/>
      <c r="G10" s="1341"/>
      <c r="H10" s="1341"/>
      <c r="I10" s="1341"/>
      <c r="J10" s="1341"/>
    </row>
    <row r="11" spans="1:12" ht="15.75" customHeight="1" x14ac:dyDescent="0.2">
      <c r="B11" s="1204" t="s">
        <v>3821</v>
      </c>
      <c r="C11" s="1204"/>
      <c r="D11" s="1204"/>
      <c r="E11" s="1204"/>
      <c r="F11" s="1204"/>
      <c r="G11" s="1204"/>
      <c r="H11" s="1204"/>
      <c r="I11" s="1204"/>
      <c r="J11" s="1204"/>
      <c r="K11" s="1342"/>
      <c r="L11" s="1306"/>
    </row>
    <row r="12" spans="1:12" ht="12.75" customHeight="1" x14ac:dyDescent="0.2">
      <c r="B12" s="1204" t="s">
        <v>3887</v>
      </c>
      <c r="C12" s="1204"/>
      <c r="D12" s="1204"/>
      <c r="E12" s="1204"/>
      <c r="F12" s="1204"/>
      <c r="G12" s="1204"/>
      <c r="H12" s="1204"/>
      <c r="I12" s="1204"/>
      <c r="J12" s="1204"/>
      <c r="K12" s="1342"/>
      <c r="L12" s="1306"/>
    </row>
    <row r="13" spans="1:12" ht="12.75" customHeight="1" x14ac:dyDescent="0.2">
      <c r="B13" s="2455" t="s">
        <v>3879</v>
      </c>
      <c r="C13" s="2456"/>
      <c r="D13" s="2456"/>
      <c r="E13" s="2456"/>
      <c r="F13" s="2456"/>
      <c r="G13" s="1204"/>
      <c r="H13" s="1204"/>
      <c r="I13" s="1204"/>
      <c r="J13" s="1204"/>
      <c r="K13" s="1342"/>
      <c r="L13" s="1306"/>
    </row>
    <row r="14" spans="1:12" ht="12.75" customHeight="1" x14ac:dyDescent="0.2">
      <c r="B14" s="1426"/>
      <c r="C14" s="1204"/>
      <c r="D14" s="1204"/>
      <c r="E14" s="1204"/>
      <c r="F14" s="1204"/>
      <c r="G14" s="1204"/>
      <c r="H14" s="1204"/>
      <c r="I14" s="1204"/>
      <c r="J14" s="1204"/>
      <c r="K14" s="1342"/>
      <c r="L14" s="1306"/>
    </row>
    <row r="15" spans="1:12" s="63" customFormat="1" ht="12.75" customHeight="1" x14ac:dyDescent="0.25">
      <c r="B15" s="1204" t="s">
        <v>3822</v>
      </c>
      <c r="C15" s="1088"/>
      <c r="D15" s="1089"/>
      <c r="E15" s="1089"/>
      <c r="F15" s="1089"/>
      <c r="G15" s="1089"/>
      <c r="H15" s="1089"/>
      <c r="I15" s="1089"/>
      <c r="J15" s="1089"/>
      <c r="K15" s="61"/>
    </row>
    <row r="16" spans="1:12" s="63" customFormat="1" ht="12.75" customHeight="1" x14ac:dyDescent="0.25">
      <c r="B16" s="1204" t="s">
        <v>3823</v>
      </c>
      <c r="C16" s="1088"/>
      <c r="D16" s="1089"/>
      <c r="E16" s="1089"/>
      <c r="F16" s="1089"/>
      <c r="G16" s="1089"/>
      <c r="H16" s="1089"/>
      <c r="I16" s="1089"/>
      <c r="J16" s="1089"/>
      <c r="K16" s="61"/>
    </row>
    <row r="17" spans="2:11" s="63" customFormat="1" ht="4.3499999999999996" customHeight="1" x14ac:dyDescent="0.25">
      <c r="B17" s="1204"/>
      <c r="C17" s="1088"/>
      <c r="D17" s="1089"/>
      <c r="E17" s="1089"/>
      <c r="F17" s="1089"/>
      <c r="G17" s="1089"/>
      <c r="H17" s="1089"/>
      <c r="I17" s="1089"/>
      <c r="J17" s="1089"/>
      <c r="K17" s="61"/>
    </row>
    <row r="18" spans="2:11" s="63" customFormat="1" ht="12.75" customHeight="1" x14ac:dyDescent="0.25">
      <c r="B18" s="1089"/>
      <c r="C18" s="1204" t="s">
        <v>213</v>
      </c>
      <c r="D18" s="2453" t="s">
        <v>3918</v>
      </c>
      <c r="E18" s="2421"/>
      <c r="F18" s="2421"/>
      <c r="G18" s="2421"/>
      <c r="H18" s="2421"/>
      <c r="I18" s="2421"/>
      <c r="J18" s="2421"/>
      <c r="K18" s="61"/>
    </row>
    <row r="19" spans="2:11" s="63" customFormat="1" ht="12.75" customHeight="1" x14ac:dyDescent="0.25">
      <c r="B19" s="1089"/>
      <c r="C19" s="1204"/>
      <c r="D19" s="2453" t="s">
        <v>3824</v>
      </c>
      <c r="E19" s="2421"/>
      <c r="F19" s="2421"/>
      <c r="G19" s="2421"/>
      <c r="H19" s="2421"/>
      <c r="I19" s="2421"/>
      <c r="J19" s="2421"/>
      <c r="K19" s="61"/>
    </row>
    <row r="20" spans="2:11" s="63" customFormat="1" ht="4.3499999999999996" customHeight="1" x14ac:dyDescent="0.25">
      <c r="B20" s="1089"/>
      <c r="C20" s="1204"/>
      <c r="D20" s="2453"/>
      <c r="E20" s="2421"/>
      <c r="F20" s="2421"/>
      <c r="G20" s="2421"/>
      <c r="H20" s="2421"/>
      <c r="I20" s="2421"/>
      <c r="J20" s="2421"/>
      <c r="K20" s="61"/>
    </row>
    <row r="21" spans="2:11" s="63" customFormat="1" ht="12.75" customHeight="1" x14ac:dyDescent="0.25">
      <c r="B21" s="1089"/>
      <c r="C21" s="1204" t="s">
        <v>214</v>
      </c>
      <c r="D21" s="2453" t="s">
        <v>3825</v>
      </c>
      <c r="E21" s="2421"/>
      <c r="F21" s="2421"/>
      <c r="G21" s="2421"/>
      <c r="H21" s="2421"/>
      <c r="I21" s="2421"/>
      <c r="J21" s="2421"/>
      <c r="K21" s="61"/>
    </row>
    <row r="22" spans="2:11" s="63" customFormat="1" ht="12.75" customHeight="1" x14ac:dyDescent="0.25">
      <c r="B22" s="1089"/>
      <c r="C22" s="1204"/>
      <c r="D22" s="1343" t="s">
        <v>3826</v>
      </c>
      <c r="E22" s="272"/>
      <c r="F22" s="272"/>
      <c r="G22" s="272"/>
      <c r="H22" s="272"/>
      <c r="I22" s="272"/>
      <c r="J22" s="272"/>
      <c r="K22" s="61"/>
    </row>
    <row r="23" spans="2:11" s="63" customFormat="1" ht="4.3499999999999996" customHeight="1" x14ac:dyDescent="0.25">
      <c r="B23" s="1089"/>
      <c r="C23" s="1204"/>
      <c r="D23" s="2453"/>
      <c r="E23" s="2421"/>
      <c r="F23" s="2421"/>
      <c r="G23" s="2421"/>
      <c r="H23" s="2421"/>
      <c r="I23" s="2421"/>
      <c r="J23" s="2421"/>
      <c r="K23" s="61"/>
    </row>
    <row r="24" spans="2:11" s="63" customFormat="1" ht="15.75" x14ac:dyDescent="0.25">
      <c r="B24" s="1089"/>
      <c r="C24" s="1204" t="s">
        <v>143</v>
      </c>
      <c r="D24" s="2421" t="s">
        <v>3880</v>
      </c>
      <c r="E24" s="2421"/>
      <c r="F24" s="2421"/>
      <c r="G24" s="2421"/>
      <c r="H24" s="2421"/>
      <c r="I24" s="2421"/>
      <c r="J24" s="2421"/>
      <c r="K24" s="61"/>
    </row>
    <row r="25" spans="2:11" s="63" customFormat="1" ht="12.75" customHeight="1" x14ac:dyDescent="0.25">
      <c r="B25" s="1089"/>
      <c r="C25" s="1204"/>
      <c r="D25" s="2421" t="s">
        <v>3881</v>
      </c>
      <c r="E25" s="2421"/>
      <c r="F25" s="2421"/>
      <c r="G25" s="2421"/>
      <c r="H25" s="2421"/>
      <c r="I25" s="2421"/>
      <c r="J25" s="2421"/>
      <c r="K25" s="61"/>
    </row>
    <row r="26" spans="2:11" s="63" customFormat="1" ht="12.75" customHeight="1" x14ac:dyDescent="0.25">
      <c r="B26" s="1089"/>
      <c r="C26" s="1204"/>
      <c r="D26" s="272" t="s">
        <v>3882</v>
      </c>
      <c r="E26" s="272"/>
      <c r="F26" s="272"/>
      <c r="G26" s="272"/>
      <c r="H26" s="272"/>
      <c r="I26" s="272"/>
      <c r="J26" s="272"/>
      <c r="K26" s="61"/>
    </row>
    <row r="27" spans="2:11" s="63" customFormat="1" ht="12.75" customHeight="1" x14ac:dyDescent="0.25">
      <c r="B27" s="1088"/>
      <c r="C27" s="1088"/>
      <c r="D27" s="1089"/>
      <c r="E27" s="1089"/>
      <c r="F27" s="1089"/>
      <c r="G27" s="1089"/>
      <c r="H27" s="1089"/>
      <c r="I27" s="1089"/>
      <c r="J27" s="1089"/>
      <c r="K27" s="61"/>
    </row>
    <row r="28" spans="2:11" s="63" customFormat="1" ht="12.75" customHeight="1" x14ac:dyDescent="0.25">
      <c r="B28" s="1204" t="s">
        <v>4685</v>
      </c>
      <c r="C28" s="1088"/>
      <c r="D28" s="1089"/>
      <c r="E28" s="1089"/>
      <c r="F28" s="1089"/>
      <c r="G28" s="1089"/>
      <c r="H28" s="1089"/>
      <c r="I28" s="1089"/>
      <c r="J28" s="1089"/>
      <c r="K28" s="61"/>
    </row>
    <row r="29" spans="2:11" s="63" customFormat="1" ht="12.75" customHeight="1" x14ac:dyDescent="0.25">
      <c r="B29" s="1204" t="s">
        <v>5350</v>
      </c>
      <c r="C29" s="1088"/>
      <c r="D29" s="1089"/>
      <c r="E29" s="1089"/>
      <c r="F29" s="1089"/>
      <c r="G29" s="1089"/>
      <c r="H29" s="1089"/>
      <c r="I29" s="1089"/>
      <c r="J29" s="1089"/>
      <c r="K29" s="61"/>
    </row>
    <row r="30" spans="2:11" s="63" customFormat="1" ht="12.75" customHeight="1" x14ac:dyDescent="0.25">
      <c r="B30" s="1088"/>
      <c r="C30" s="1088"/>
      <c r="D30" s="1089"/>
      <c r="E30" s="1089"/>
      <c r="F30" s="1089"/>
      <c r="G30" s="1089"/>
      <c r="H30" s="1089"/>
      <c r="I30" s="1089"/>
      <c r="J30" s="1089"/>
      <c r="K30" s="61"/>
    </row>
    <row r="31" spans="2:11" s="63" customFormat="1" ht="12.75" customHeight="1" x14ac:dyDescent="0.25">
      <c r="B31" s="1088"/>
      <c r="C31" s="1088"/>
      <c r="D31" s="1090" t="s">
        <v>969</v>
      </c>
      <c r="E31" s="1495"/>
      <c r="F31" s="1420" t="str">
        <f>IF(AND(ISBLANK(E31),ISBLANK(E32))=TRUE,"Answer Missing"," ")</f>
        <v>Answer Missing</v>
      </c>
      <c r="G31" s="1089"/>
      <c r="H31" s="1089"/>
      <c r="I31" s="1089"/>
      <c r="J31" s="1089"/>
      <c r="K31" s="61"/>
    </row>
    <row r="32" spans="2:11" s="63" customFormat="1" ht="12.75" customHeight="1" x14ac:dyDescent="0.25">
      <c r="B32" s="1088"/>
      <c r="C32" s="1088"/>
      <c r="D32" s="1090" t="s">
        <v>970</v>
      </c>
      <c r="E32" s="1495"/>
      <c r="F32" s="1089"/>
      <c r="G32" s="1089"/>
      <c r="H32" s="1089"/>
      <c r="I32" s="1089"/>
      <c r="J32" s="1089"/>
      <c r="K32" s="61"/>
    </row>
    <row r="33" spans="2:12" s="63" customFormat="1" ht="12.75" customHeight="1" x14ac:dyDescent="0.25">
      <c r="B33" s="1088"/>
      <c r="C33" s="1088"/>
      <c r="D33" s="1090"/>
      <c r="E33" s="1492"/>
      <c r="F33" s="1089"/>
      <c r="G33" s="1089"/>
      <c r="H33" s="1089"/>
      <c r="I33" s="1089"/>
      <c r="J33" s="1089"/>
      <c r="K33" s="61"/>
    </row>
    <row r="34" spans="2:12" s="63" customFormat="1" ht="12.75" customHeight="1" x14ac:dyDescent="0.25">
      <c r="B34" s="1089" t="s">
        <v>4686</v>
      </c>
      <c r="C34" s="1088"/>
      <c r="D34" s="1089"/>
      <c r="E34" s="1089"/>
      <c r="F34" s="1089"/>
      <c r="G34" s="1089"/>
      <c r="H34" s="1089"/>
      <c r="I34" s="1089"/>
      <c r="J34" s="1089"/>
      <c r="K34" s="61"/>
    </row>
    <row r="35" spans="2:12" s="63" customFormat="1" ht="12.75" customHeight="1" x14ac:dyDescent="0.25">
      <c r="B35" s="1089" t="s">
        <v>4687</v>
      </c>
      <c r="C35" s="1088"/>
      <c r="D35" s="1089"/>
      <c r="E35" s="1089"/>
      <c r="F35" s="1089"/>
      <c r="G35" s="1089"/>
      <c r="H35" s="1089"/>
      <c r="I35" s="1089"/>
      <c r="J35" s="1089"/>
      <c r="K35" s="61"/>
    </row>
    <row r="36" spans="2:12" s="63" customFormat="1" ht="12.75" customHeight="1" x14ac:dyDescent="0.25">
      <c r="B36" s="1089" t="s">
        <v>3883</v>
      </c>
      <c r="C36" s="1088"/>
      <c r="D36" s="1089"/>
      <c r="E36" s="1089"/>
      <c r="F36" s="1089"/>
      <c r="G36" s="1089"/>
      <c r="H36" s="1089"/>
      <c r="I36" s="1089"/>
      <c r="J36" s="1089"/>
      <c r="K36" s="61"/>
    </row>
    <row r="37" spans="2:12" s="63" customFormat="1" ht="12.75" customHeight="1" x14ac:dyDescent="0.25">
      <c r="B37" s="1088"/>
      <c r="C37" s="1088"/>
      <c r="D37" s="1552"/>
      <c r="E37" s="1493" t="s">
        <v>3884</v>
      </c>
      <c r="F37" s="1089"/>
      <c r="G37" s="1089"/>
      <c r="H37" s="1089"/>
      <c r="I37" s="1089"/>
      <c r="J37" s="1089"/>
      <c r="K37" s="61"/>
    </row>
    <row r="38" spans="2:12" s="63" customFormat="1" ht="12.75" customHeight="1" x14ac:dyDescent="0.25">
      <c r="B38" s="1088"/>
      <c r="C38" s="1088"/>
      <c r="D38" s="1558"/>
      <c r="E38" s="1493" t="s">
        <v>3885</v>
      </c>
      <c r="F38" s="1089"/>
      <c r="G38" s="1089"/>
      <c r="H38" s="1089"/>
      <c r="I38" s="1089"/>
      <c r="J38" s="1089"/>
      <c r="K38" s="61"/>
    </row>
    <row r="39" spans="2:12" s="63" customFormat="1" ht="12.75" customHeight="1" x14ac:dyDescent="0.25">
      <c r="B39" s="1088"/>
      <c r="C39" s="1088"/>
      <c r="D39" s="1558"/>
      <c r="E39" s="1493" t="s">
        <v>3886</v>
      </c>
      <c r="F39" s="1089"/>
      <c r="G39" s="1089"/>
      <c r="H39" s="1089"/>
      <c r="I39" s="1089"/>
      <c r="J39" s="1089"/>
      <c r="K39" s="61"/>
    </row>
    <row r="40" spans="2:12" s="63" customFormat="1" ht="12.75" customHeight="1" x14ac:dyDescent="0.25">
      <c r="B40" s="1088"/>
      <c r="C40" s="1088"/>
      <c r="D40" s="1558"/>
      <c r="E40" s="1493" t="s">
        <v>4688</v>
      </c>
      <c r="F40" s="1089"/>
      <c r="G40" s="1089"/>
      <c r="H40" s="1089"/>
      <c r="I40" s="1089"/>
      <c r="J40" s="1089"/>
      <c r="K40" s="61"/>
    </row>
    <row r="41" spans="2:12" s="63" customFormat="1" ht="12.75" customHeight="1" x14ac:dyDescent="0.25">
      <c r="B41" s="1088"/>
      <c r="C41" s="1088"/>
      <c r="D41" s="1494"/>
      <c r="E41" s="1493"/>
      <c r="F41" s="1089"/>
      <c r="G41" s="1089"/>
      <c r="H41" s="1089"/>
      <c r="I41" s="1089"/>
      <c r="J41" s="1089"/>
      <c r="K41" s="61"/>
    </row>
    <row r="42" spans="2:12" s="63" customFormat="1" ht="12.75" customHeight="1" x14ac:dyDescent="0.25">
      <c r="B42" s="1344" t="s">
        <v>1955</v>
      </c>
      <c r="C42" s="1088"/>
      <c r="D42" s="1089"/>
      <c r="E42" s="1089"/>
      <c r="F42" s="1089"/>
      <c r="G42" s="1089"/>
      <c r="H42" s="1089"/>
      <c r="I42" s="1089"/>
      <c r="J42" s="1089"/>
      <c r="K42" s="61"/>
    </row>
    <row r="43" spans="2:12" ht="12.75" customHeight="1" x14ac:dyDescent="0.2">
      <c r="B43" s="1204" t="s">
        <v>4689</v>
      </c>
      <c r="C43" s="273"/>
      <c r="D43" s="273"/>
      <c r="E43" s="273"/>
      <c r="F43" s="273"/>
      <c r="G43" s="273"/>
      <c r="H43" s="273"/>
      <c r="I43" s="273"/>
      <c r="J43" s="1089"/>
    </row>
    <row r="44" spans="2:12" ht="12.75" customHeight="1" x14ac:dyDescent="0.2">
      <c r="B44" s="1204" t="s">
        <v>4894</v>
      </c>
      <c r="C44" s="273"/>
      <c r="D44" s="273"/>
      <c r="E44" s="273"/>
      <c r="F44" s="273"/>
      <c r="G44" s="273"/>
      <c r="H44" s="273"/>
      <c r="I44" s="273"/>
      <c r="J44" s="1089"/>
    </row>
    <row r="45" spans="2:12" ht="12" customHeight="1" x14ac:dyDescent="0.2">
      <c r="B45" s="1088"/>
      <c r="C45" s="1088"/>
      <c r="D45" s="1089"/>
      <c r="E45" s="1089"/>
      <c r="F45" s="1089"/>
      <c r="G45" s="1089"/>
      <c r="H45" s="1089"/>
      <c r="I45" s="1089"/>
      <c r="J45" s="1089"/>
    </row>
    <row r="46" spans="2:12" ht="5.0999999999999996" customHeight="1" x14ac:dyDescent="0.2">
      <c r="B46" s="1088"/>
      <c r="C46" s="1088"/>
      <c r="D46" s="1089"/>
      <c r="E46" s="1089"/>
      <c r="F46" s="1089"/>
      <c r="G46" s="1089"/>
      <c r="H46" s="1089"/>
      <c r="I46" s="1089"/>
      <c r="J46" s="1089"/>
    </row>
    <row r="47" spans="2:12" ht="15.75" customHeight="1" x14ac:dyDescent="0.2">
      <c r="B47" s="1089"/>
      <c r="C47" s="1089"/>
      <c r="D47" s="1089"/>
      <c r="E47" s="1089"/>
      <c r="F47" s="1089"/>
      <c r="G47" s="1089"/>
      <c r="H47" s="1089"/>
      <c r="I47" s="1089"/>
      <c r="J47" s="1089"/>
    </row>
    <row r="48" spans="2:12" ht="15.75" customHeight="1" x14ac:dyDescent="0.2">
      <c r="B48" s="1089"/>
      <c r="C48" s="1089"/>
      <c r="D48" s="1089"/>
      <c r="E48" s="1089"/>
      <c r="F48" s="1089"/>
      <c r="G48" s="1089"/>
      <c r="H48" s="1089"/>
      <c r="I48" s="1089"/>
      <c r="J48" s="273"/>
      <c r="K48" s="273"/>
      <c r="L48" s="40"/>
    </row>
    <row r="49" spans="2:12" ht="15.75" customHeight="1" x14ac:dyDescent="0.2">
      <c r="B49" s="1089"/>
      <c r="C49" s="1089"/>
      <c r="D49" s="1089"/>
      <c r="E49" s="1089"/>
      <c r="F49" s="1089"/>
      <c r="G49" s="1089"/>
      <c r="H49" s="1089"/>
      <c r="I49" s="1089"/>
      <c r="J49" s="273"/>
      <c r="K49" s="273"/>
      <c r="L49" s="273"/>
    </row>
    <row r="50" spans="2:12" ht="15.75" customHeight="1" x14ac:dyDescent="0.2">
      <c r="B50" s="1088"/>
      <c r="C50" s="1088"/>
      <c r="D50" s="1089"/>
      <c r="E50" s="1089"/>
      <c r="F50" s="1089"/>
      <c r="G50" s="1089"/>
      <c r="H50" s="1089"/>
      <c r="I50" s="1089"/>
      <c r="J50" s="1089"/>
    </row>
    <row r="51" spans="2:12" ht="12" customHeight="1" x14ac:dyDescent="0.2">
      <c r="B51" s="1088"/>
      <c r="C51" s="1088"/>
      <c r="D51" s="1089"/>
      <c r="E51" s="1089"/>
      <c r="F51" s="1089"/>
      <c r="G51" s="1089"/>
      <c r="H51" s="1089"/>
      <c r="I51" s="1089"/>
      <c r="J51" s="1089"/>
    </row>
    <row r="52" spans="2:12" ht="12" customHeight="1" x14ac:dyDescent="0.2">
      <c r="B52" s="1088"/>
      <c r="C52" s="1088"/>
      <c r="D52" s="1089"/>
      <c r="E52" s="1089"/>
      <c r="F52" s="1089"/>
      <c r="G52" s="1089"/>
      <c r="H52" s="1089"/>
      <c r="I52" s="1089"/>
      <c r="J52" s="1089"/>
    </row>
    <row r="53" spans="2:12" ht="12" customHeight="1" x14ac:dyDescent="0.2">
      <c r="B53" s="1088"/>
      <c r="C53" s="1088"/>
      <c r="D53" s="1089"/>
      <c r="E53" s="1089"/>
      <c r="F53" s="1089"/>
      <c r="G53" s="1089"/>
      <c r="H53" s="1089"/>
      <c r="I53" s="1089"/>
      <c r="J53" s="1089"/>
    </row>
    <row r="54" spans="2:12" ht="12" customHeight="1" x14ac:dyDescent="0.2">
      <c r="B54" s="1088"/>
      <c r="C54" s="1088"/>
      <c r="D54" s="1089"/>
      <c r="E54" s="1089"/>
      <c r="F54" s="1089"/>
      <c r="G54" s="1089"/>
      <c r="H54" s="1089"/>
      <c r="I54" s="1089"/>
      <c r="J54" s="1089"/>
    </row>
    <row r="55" spans="2:12" ht="5.0999999999999996" customHeight="1" x14ac:dyDescent="0.2">
      <c r="B55" s="1088"/>
      <c r="C55" s="1088"/>
      <c r="D55" s="1089"/>
      <c r="E55" s="1089"/>
      <c r="F55" s="1089"/>
      <c r="G55" s="1089"/>
      <c r="H55" s="1089"/>
      <c r="I55" s="1089"/>
      <c r="J55" s="1089"/>
    </row>
    <row r="56" spans="2:12" ht="12" customHeight="1" x14ac:dyDescent="0.2">
      <c r="B56" s="1088"/>
      <c r="C56" s="1088"/>
      <c r="D56" s="1089"/>
      <c r="E56" s="1089"/>
      <c r="F56" s="1089"/>
      <c r="G56" s="1089"/>
      <c r="H56" s="1089"/>
      <c r="I56" s="1089"/>
      <c r="J56" s="1089"/>
    </row>
    <row r="57" spans="2:12" ht="12" customHeight="1" x14ac:dyDescent="0.2">
      <c r="B57" s="1088"/>
      <c r="C57" s="1088"/>
      <c r="D57" s="1089"/>
      <c r="E57" s="1089"/>
      <c r="F57" s="1089"/>
      <c r="G57" s="1089"/>
      <c r="H57" s="1089"/>
      <c r="I57" s="1089"/>
      <c r="J57" s="1089"/>
    </row>
    <row r="58" spans="2:12" ht="12" customHeight="1" x14ac:dyDescent="0.2">
      <c r="B58" s="1088"/>
      <c r="C58" s="1088"/>
      <c r="D58" s="1089"/>
      <c r="E58" s="1089"/>
      <c r="F58" s="1089"/>
      <c r="G58" s="1089"/>
      <c r="H58" s="1089"/>
      <c r="I58" s="1089"/>
      <c r="J58" s="1089"/>
    </row>
    <row r="59" spans="2:12" ht="12" customHeight="1" x14ac:dyDescent="0.2">
      <c r="B59" s="1088"/>
      <c r="C59" s="1088"/>
      <c r="D59" s="1089"/>
      <c r="E59" s="1089"/>
      <c r="F59" s="1089"/>
      <c r="G59" s="1089"/>
      <c r="H59" s="1089"/>
      <c r="I59" s="1089"/>
      <c r="J59" s="1089"/>
    </row>
    <row r="60" spans="2:12" ht="12" customHeight="1" x14ac:dyDescent="0.2">
      <c r="B60" s="456"/>
      <c r="C60" s="456"/>
      <c r="D60" s="457"/>
      <c r="E60" s="457"/>
      <c r="F60" s="457"/>
      <c r="G60" s="457"/>
      <c r="H60" s="457"/>
      <c r="I60" s="457"/>
      <c r="J60" s="457"/>
    </row>
    <row r="61" spans="2:12" ht="12" customHeight="1" x14ac:dyDescent="0.2">
      <c r="B61" s="456"/>
      <c r="C61" s="456"/>
      <c r="D61" s="457"/>
      <c r="E61" s="457"/>
      <c r="F61" s="457"/>
      <c r="G61" s="457"/>
      <c r="H61" s="457"/>
      <c r="I61" s="457"/>
      <c r="J61" s="457"/>
    </row>
    <row r="62" spans="2:12" ht="5.0999999999999996" customHeight="1" x14ac:dyDescent="0.2">
      <c r="B62" s="456"/>
      <c r="C62" s="456"/>
      <c r="D62" s="457"/>
      <c r="E62" s="457"/>
      <c r="F62" s="457"/>
      <c r="G62" s="457"/>
      <c r="H62" s="457"/>
      <c r="I62" s="457"/>
      <c r="J62" s="457"/>
    </row>
    <row r="66" spans="1:12" ht="14.1" customHeight="1" x14ac:dyDescent="0.2">
      <c r="B66" s="456"/>
      <c r="C66" s="273"/>
      <c r="D66" s="273"/>
      <c r="E66" s="273"/>
      <c r="F66" s="273"/>
      <c r="G66" s="273"/>
      <c r="H66" s="273"/>
      <c r="I66" s="273"/>
      <c r="J66" s="273"/>
      <c r="K66" s="273"/>
      <c r="L66" s="273"/>
    </row>
    <row r="67" spans="1:12" ht="5.0999999999999996" customHeight="1" x14ac:dyDescent="0.2">
      <c r="B67" s="456"/>
      <c r="C67" s="456"/>
      <c r="D67" s="457"/>
      <c r="E67" s="457"/>
      <c r="F67" s="457"/>
      <c r="G67" s="457"/>
      <c r="H67" s="457"/>
      <c r="I67" s="457"/>
      <c r="J67" s="457"/>
    </row>
    <row r="68" spans="1:12" ht="12" customHeight="1" x14ac:dyDescent="0.2">
      <c r="B68" s="456"/>
      <c r="C68" s="456"/>
      <c r="D68" s="457"/>
      <c r="E68" s="457"/>
      <c r="F68" s="457"/>
      <c r="G68" s="457"/>
      <c r="H68" s="457"/>
      <c r="I68" s="457"/>
      <c r="J68" s="457"/>
    </row>
    <row r="69" spans="1:12" x14ac:dyDescent="0.2">
      <c r="B69" s="456"/>
      <c r="C69" s="456"/>
      <c r="D69" s="457"/>
      <c r="E69" s="457"/>
      <c r="F69" s="457"/>
      <c r="G69" s="457"/>
      <c r="H69" s="457"/>
      <c r="I69" s="457"/>
      <c r="J69" s="457"/>
    </row>
    <row r="70" spans="1:12" x14ac:dyDescent="0.2">
      <c r="B70" s="456"/>
      <c r="C70" s="456"/>
      <c r="D70" s="457"/>
      <c r="E70" s="457"/>
      <c r="F70" s="457"/>
      <c r="G70" s="457"/>
      <c r="H70" s="457"/>
      <c r="I70" s="457"/>
      <c r="J70" s="457"/>
    </row>
    <row r="71" spans="1:12" ht="16.5" customHeight="1" x14ac:dyDescent="0.2">
      <c r="B71" s="456"/>
      <c r="C71" s="456"/>
      <c r="D71" s="457"/>
      <c r="E71" s="457"/>
      <c r="F71" s="457"/>
      <c r="G71" s="457"/>
      <c r="H71" s="457"/>
      <c r="I71" s="457"/>
      <c r="J71" s="457"/>
    </row>
    <row r="72" spans="1:12" ht="5.0999999999999996" customHeight="1" x14ac:dyDescent="0.2">
      <c r="B72" s="456"/>
      <c r="C72" s="456"/>
      <c r="D72" s="457"/>
      <c r="E72" s="457"/>
      <c r="F72" s="457"/>
      <c r="G72" s="457"/>
      <c r="H72" s="457"/>
      <c r="I72" s="457"/>
      <c r="J72" s="457"/>
    </row>
    <row r="73" spans="1:12" x14ac:dyDescent="0.2">
      <c r="B73" s="456"/>
      <c r="C73" s="456"/>
      <c r="D73" s="457"/>
      <c r="E73" s="457"/>
      <c r="F73" s="457"/>
      <c r="G73" s="457"/>
      <c r="H73" s="457"/>
      <c r="I73" s="457"/>
      <c r="J73" s="457"/>
    </row>
    <row r="74" spans="1:12" x14ac:dyDescent="0.2">
      <c r="B74" s="456"/>
      <c r="C74" s="456"/>
      <c r="D74" s="457"/>
      <c r="E74" s="457"/>
      <c r="F74" s="457"/>
      <c r="G74" s="457"/>
      <c r="H74" s="457"/>
      <c r="I74" s="457"/>
      <c r="J74" s="457"/>
    </row>
    <row r="75" spans="1:12" x14ac:dyDescent="0.2">
      <c r="B75" s="456"/>
      <c r="C75" s="456"/>
      <c r="D75" s="457"/>
      <c r="E75" s="457"/>
      <c r="F75" s="457"/>
      <c r="G75" s="457"/>
      <c r="H75" s="457"/>
      <c r="I75" s="457"/>
      <c r="J75" s="457"/>
    </row>
    <row r="76" spans="1:12" ht="16.5" customHeight="1" x14ac:dyDescent="0.2">
      <c r="B76" s="456"/>
      <c r="C76" s="456"/>
      <c r="D76" s="457"/>
      <c r="E76" s="457"/>
      <c r="F76" s="457"/>
      <c r="G76" s="457"/>
      <c r="H76" s="457"/>
      <c r="I76" s="457"/>
      <c r="J76" s="457"/>
    </row>
    <row r="77" spans="1:12" ht="11.1" customHeight="1" x14ac:dyDescent="0.2">
      <c r="B77" s="456"/>
      <c r="C77" s="456"/>
      <c r="D77" s="457"/>
      <c r="E77" s="457"/>
      <c r="F77" s="457"/>
      <c r="G77" s="457"/>
      <c r="H77" s="457"/>
      <c r="I77" s="457"/>
      <c r="J77" s="457"/>
    </row>
    <row r="78" spans="1:12" x14ac:dyDescent="0.2">
      <c r="A78" s="61" t="str">
        <f>AgyIdx</f>
        <v>01</v>
      </c>
      <c r="B78" s="456"/>
      <c r="C78" s="456"/>
      <c r="D78" s="457"/>
      <c r="E78" s="457"/>
      <c r="F78" s="457"/>
      <c r="G78" s="457"/>
      <c r="H78" s="457"/>
      <c r="I78" s="457"/>
      <c r="J78" s="457"/>
    </row>
    <row r="79" spans="1:12" ht="15" x14ac:dyDescent="0.2">
      <c r="A79" s="443" t="str">
        <f ca="1">MID(CELL("filename",A1),FIND("]",CELL("filename",A1))+1,256)</f>
        <v>120</v>
      </c>
      <c r="B79" s="456" t="str">
        <f t="shared" ref="B79:B88" ca="1" si="1">IF(ISNA(INDEX(ErrorTable,MATCH($A$79&amp;$A80&amp;FALSE,ErrorKey,0),6)),"",INDEX(ErrorTable,MATCH($A$79&amp;$A80&amp;FALSE,ErrorKey,0),6))</f>
        <v/>
      </c>
      <c r="C79" s="456"/>
      <c r="D79" s="457"/>
      <c r="E79" s="457"/>
      <c r="F79" s="457"/>
      <c r="G79" s="457"/>
      <c r="H79" s="457"/>
      <c r="I79" s="457"/>
      <c r="J79" s="457"/>
    </row>
    <row r="80" spans="1:12" ht="15" x14ac:dyDescent="0.2">
      <c r="A80" s="443" t="s">
        <v>446</v>
      </c>
      <c r="B80" s="456" t="str">
        <f t="shared" ca="1" si="1"/>
        <v/>
      </c>
      <c r="C80" s="456"/>
      <c r="D80" s="457"/>
      <c r="E80" s="457"/>
      <c r="F80" s="457"/>
      <c r="G80" s="457"/>
      <c r="H80" s="457"/>
      <c r="I80" s="457"/>
      <c r="J80" s="457"/>
    </row>
    <row r="81" spans="1:10" ht="15" x14ac:dyDescent="0.2">
      <c r="A81" s="443" t="s">
        <v>447</v>
      </c>
      <c r="B81" s="456" t="str">
        <f t="shared" ca="1" si="1"/>
        <v/>
      </c>
      <c r="C81" s="456"/>
      <c r="D81" s="457"/>
      <c r="E81" s="457"/>
      <c r="F81" s="457"/>
      <c r="G81" s="457"/>
      <c r="H81" s="457"/>
      <c r="I81" s="457"/>
      <c r="J81" s="457"/>
    </row>
    <row r="82" spans="1:10" ht="15" x14ac:dyDescent="0.2">
      <c r="A82" s="443" t="s">
        <v>448</v>
      </c>
      <c r="B82" s="443" t="str">
        <f t="shared" ca="1" si="1"/>
        <v/>
      </c>
      <c r="C82" s="456"/>
      <c r="D82" s="457"/>
      <c r="E82" s="457"/>
      <c r="F82" s="457"/>
      <c r="G82" s="457"/>
      <c r="H82" s="457"/>
      <c r="I82" s="457"/>
      <c r="J82" s="457"/>
    </row>
    <row r="83" spans="1:10" ht="15" x14ac:dyDescent="0.2">
      <c r="A83" s="443" t="s">
        <v>450</v>
      </c>
      <c r="B83" s="443" t="str">
        <f t="shared" ca="1" si="1"/>
        <v/>
      </c>
      <c r="C83" s="443"/>
    </row>
    <row r="84" spans="1:10" ht="15" x14ac:dyDescent="0.2">
      <c r="A84" s="443" t="s">
        <v>451</v>
      </c>
      <c r="B84" s="443" t="str">
        <f t="shared" ca="1" si="1"/>
        <v/>
      </c>
      <c r="C84" s="443"/>
    </row>
    <row r="85" spans="1:10" ht="15" x14ac:dyDescent="0.2">
      <c r="A85" s="443" t="s">
        <v>452</v>
      </c>
      <c r="B85" s="443" t="str">
        <f t="shared" ca="1" si="1"/>
        <v/>
      </c>
      <c r="C85" s="443"/>
    </row>
    <row r="86" spans="1:10" ht="15" x14ac:dyDescent="0.2">
      <c r="A86" s="443" t="s">
        <v>453</v>
      </c>
      <c r="B86" s="443" t="str">
        <f t="shared" ca="1" si="1"/>
        <v/>
      </c>
      <c r="C86" s="443"/>
    </row>
    <row r="87" spans="1:10" ht="15" x14ac:dyDescent="0.2">
      <c r="A87" s="443" t="s">
        <v>454</v>
      </c>
      <c r="B87" s="443" t="str">
        <f t="shared" ca="1" si="1"/>
        <v/>
      </c>
      <c r="C87" s="443"/>
    </row>
    <row r="88" spans="1:10" ht="15" x14ac:dyDescent="0.2">
      <c r="A88" s="443" t="s">
        <v>455</v>
      </c>
      <c r="B88" s="443" t="str">
        <f t="shared" ca="1" si="1"/>
        <v/>
      </c>
      <c r="C88" s="443"/>
    </row>
    <row r="89" spans="1:10" ht="15" x14ac:dyDescent="0.2">
      <c r="A89" s="443" t="s">
        <v>456</v>
      </c>
      <c r="C89" s="443"/>
    </row>
  </sheetData>
  <sheetProtection algorithmName="SHA-512" hashValue="9lDoY+N3DE9GjyKKze+tsaNiSjfs5c+XosEMVRw0vBc5NpL2vtnjUE7MbV86xeCmzehgCoPt02r5yiBEPPObkA==" saltValue="i1Ou/hSaSjvUyaw2KrLk5g==" spinCount="100000" sheet="1" objects="1" scenarios="1" autoFilter="0"/>
  <mergeCells count="13">
    <mergeCell ref="K1:K3"/>
    <mergeCell ref="B2:J2"/>
    <mergeCell ref="B3:J3"/>
    <mergeCell ref="B7:D7"/>
    <mergeCell ref="D18:J18"/>
    <mergeCell ref="B13:F13"/>
    <mergeCell ref="D25:J25"/>
    <mergeCell ref="B1:J1"/>
    <mergeCell ref="D19:J19"/>
    <mergeCell ref="D23:J23"/>
    <mergeCell ref="D24:J24"/>
    <mergeCell ref="D20:J20"/>
    <mergeCell ref="D21:J21"/>
  </mergeCells>
  <conditionalFormatting sqref="K1:K3">
    <cfRule type="cellIs" dxfId="171" priority="2" stopIfTrue="1" operator="equal">
      <formula>"na"</formula>
    </cfRule>
  </conditionalFormatting>
  <conditionalFormatting sqref="F31">
    <cfRule type="containsText" dxfId="170" priority="1" stopIfTrue="1" operator="containsText" text="Answer Missing">
      <formula>NOT(ISERROR(SEARCH("Answer Missing",F31)))</formula>
    </cfRule>
  </conditionalFormatting>
  <hyperlinks>
    <hyperlink ref="B1:J1" location="Index!A1" display="Index!A1" xr:uid="{00000000-0004-0000-0600-000000000000}"/>
    <hyperlink ref="B13" r:id="rId1" xr:uid="{00000000-0004-0000-0600-000001000000}"/>
    <hyperlink ref="B13:F13" r:id="rId2" display="Financial Reporting Update for GASB 69" xr:uid="{FE317715-AA12-4BC2-AB74-E48E2ADEB3DB}"/>
  </hyperlinks>
  <pageMargins left="0.5" right="0.5" top="0.5" bottom="0.5" header="0.43" footer="0.25"/>
  <pageSetup orientation="portrait" r:id="rId3"/>
  <headerFooter alignWithMargins="0">
    <oddFooter>&amp;R&amp;A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7">
    <pageSetUpPr fitToPage="1"/>
  </sheetPr>
  <dimension ref="A1:U46"/>
  <sheetViews>
    <sheetView showGridLines="0" topLeftCell="B1" zoomScaleNormal="100" workbookViewId="0">
      <selection activeCell="B1" sqref="B1:R1"/>
    </sheetView>
  </sheetViews>
  <sheetFormatPr defaultColWidth="9.42578125" defaultRowHeight="12.75" x14ac:dyDescent="0.2"/>
  <cols>
    <col min="1" max="1" width="6.5703125" style="8" hidden="1" customWidth="1"/>
    <col min="2" max="2" width="6.5703125" style="8" customWidth="1"/>
    <col min="3" max="3" width="1.5703125" style="8" customWidth="1"/>
    <col min="4" max="4" width="6.42578125" style="8" customWidth="1"/>
    <col min="5" max="5" width="7.5703125" style="8" customWidth="1"/>
    <col min="6" max="6" width="1.5703125" style="8" customWidth="1"/>
    <col min="7" max="7" width="4.5703125" style="8" customWidth="1"/>
    <col min="8" max="8" width="0.5703125" style="8" customWidth="1"/>
    <col min="9" max="9" width="3.5703125" style="8" customWidth="1"/>
    <col min="10" max="10" width="1.42578125" style="8" customWidth="1"/>
    <col min="11" max="11" width="13.42578125" style="8" customWidth="1"/>
    <col min="12" max="12" width="2.5703125" style="8" customWidth="1"/>
    <col min="13" max="13" width="11.5703125" style="8" customWidth="1"/>
    <col min="14" max="14" width="1.42578125" style="8" customWidth="1"/>
    <col min="15" max="15" width="8.42578125" style="8" customWidth="1"/>
    <col min="16" max="16" width="1.42578125" style="8" customWidth="1"/>
    <col min="17" max="17" width="15.42578125" style="8" customWidth="1"/>
    <col min="18" max="18" width="0.5703125" style="8" customWidth="1"/>
    <col min="19" max="19" width="7.5703125" style="8" bestFit="1" customWidth="1"/>
    <col min="20" max="20" width="8.42578125" style="8" customWidth="1"/>
    <col min="21" max="21" width="10.5703125" style="8" bestFit="1" customWidth="1"/>
    <col min="22" max="22" width="2.42578125" style="8" customWidth="1"/>
    <col min="23" max="23" width="9.42578125" style="8"/>
    <col min="24" max="24" width="2.42578125" style="8" customWidth="1"/>
    <col min="25" max="25" width="11.5703125" style="8" customWidth="1"/>
    <col min="26" max="26" width="0.42578125" style="8" customWidth="1"/>
    <col min="27" max="16384" width="9.42578125" style="8"/>
  </cols>
  <sheetData>
    <row r="1" spans="1:21" ht="25.15" customHeight="1" x14ac:dyDescent="0.25">
      <c r="B1" s="2449" t="str">
        <f>+Index!$A$1</f>
        <v xml:space="preserve">                                                               Office of the State Controller                                                                </v>
      </c>
      <c r="C1" s="2449"/>
      <c r="D1" s="2449"/>
      <c r="E1" s="2449"/>
      <c r="F1" s="2449"/>
      <c r="G1" s="2449"/>
      <c r="H1" s="2449"/>
      <c r="I1" s="2449"/>
      <c r="J1" s="2449"/>
      <c r="K1" s="2449"/>
      <c r="L1" s="2449"/>
      <c r="M1" s="2449"/>
      <c r="N1" s="2449"/>
      <c r="O1" s="2449"/>
      <c r="P1" s="2449"/>
      <c r="Q1" s="2449"/>
      <c r="R1" s="2449"/>
      <c r="S1" s="2510" t="str">
        <f>IF(Index!$B$98="na","NA","")</f>
        <v/>
      </c>
      <c r="U1" s="182"/>
    </row>
    <row r="2" spans="1:21" ht="15" customHeight="1" x14ac:dyDescent="0.3">
      <c r="B2" s="2953" t="str">
        <f>+Index!$A$2</f>
        <v>2022 ACFR Worksheets</v>
      </c>
      <c r="C2" s="2953"/>
      <c r="D2" s="2953"/>
      <c r="E2" s="2953"/>
      <c r="F2" s="2953"/>
      <c r="G2" s="2953"/>
      <c r="H2" s="2953"/>
      <c r="I2" s="2953"/>
      <c r="J2" s="2953"/>
      <c r="K2" s="2953"/>
      <c r="L2" s="2953"/>
      <c r="M2" s="2953"/>
      <c r="N2" s="2953"/>
      <c r="O2" s="2953"/>
      <c r="P2" s="2953"/>
      <c r="Q2" s="2953"/>
      <c r="R2" s="2953"/>
      <c r="S2" s="2510"/>
      <c r="U2" s="182"/>
    </row>
    <row r="3" spans="1:21" ht="15" customHeight="1" x14ac:dyDescent="0.3">
      <c r="B3" s="2953" t="s">
        <v>1075</v>
      </c>
      <c r="C3" s="2953"/>
      <c r="D3" s="2953"/>
      <c r="E3" s="2953"/>
      <c r="F3" s="2953"/>
      <c r="G3" s="2953"/>
      <c r="H3" s="2953"/>
      <c r="I3" s="2953"/>
      <c r="J3" s="2953"/>
      <c r="K3" s="2953"/>
      <c r="L3" s="2953"/>
      <c r="M3" s="2953"/>
      <c r="N3" s="2953"/>
      <c r="O3" s="2953"/>
      <c r="P3" s="2953"/>
      <c r="Q3" s="2953"/>
      <c r="R3" s="2953"/>
      <c r="S3" s="2510"/>
      <c r="U3" s="182"/>
    </row>
    <row r="4" spans="1:21" ht="15" customHeight="1" x14ac:dyDescent="0.3">
      <c r="B4" s="2953" t="s">
        <v>4360</v>
      </c>
      <c r="C4" s="2953"/>
      <c r="D4" s="2953"/>
      <c r="E4" s="2953"/>
      <c r="F4" s="2953"/>
      <c r="G4" s="2953"/>
      <c r="H4" s="2953"/>
      <c r="I4" s="2953"/>
      <c r="J4" s="2953"/>
      <c r="K4" s="2953"/>
      <c r="L4" s="2953"/>
      <c r="M4" s="2953"/>
      <c r="N4" s="2953"/>
      <c r="O4" s="2953"/>
      <c r="P4" s="2953"/>
      <c r="Q4" s="2953"/>
      <c r="R4" s="2953"/>
    </row>
    <row r="5" spans="1:21" ht="15" customHeight="1" x14ac:dyDescent="0.3">
      <c r="B5" s="2954" t="s">
        <v>3936</v>
      </c>
      <c r="C5" s="2954"/>
      <c r="D5" s="2954"/>
      <c r="E5" s="2954"/>
      <c r="F5" s="2954"/>
      <c r="G5" s="2954"/>
      <c r="H5" s="2954"/>
      <c r="I5" s="2954"/>
      <c r="J5" s="2954"/>
      <c r="K5" s="2954"/>
      <c r="L5" s="2954"/>
      <c r="M5" s="2954"/>
      <c r="N5" s="2954"/>
      <c r="O5" s="2954"/>
      <c r="P5" s="2954"/>
      <c r="Q5" s="2954"/>
      <c r="R5" s="1554"/>
    </row>
    <row r="6" spans="1:21" ht="15" customHeight="1" x14ac:dyDescent="0.2">
      <c r="M6" s="430" t="s">
        <v>137</v>
      </c>
    </row>
    <row r="7" spans="1:21" ht="15" customHeight="1" x14ac:dyDescent="0.2">
      <c r="E7" s="151"/>
      <c r="L7" s="9" t="s">
        <v>327</v>
      </c>
      <c r="M7" s="2914" t="str">
        <f>+Index!$E$10</f>
        <v>01</v>
      </c>
      <c r="N7" s="2914"/>
      <c r="O7" s="2914"/>
      <c r="P7" s="2914"/>
      <c r="Q7" s="2914"/>
    </row>
    <row r="8" spans="1:21" ht="15" customHeight="1" x14ac:dyDescent="0.2">
      <c r="L8" s="9" t="s">
        <v>1154</v>
      </c>
      <c r="M8" s="2914" t="str">
        <f>+Index!$E$11</f>
        <v>North Carolina General Assembly</v>
      </c>
      <c r="N8" s="2914"/>
      <c r="O8" s="2914"/>
      <c r="P8" s="2914"/>
      <c r="Q8" s="2914"/>
    </row>
    <row r="9" spans="1:21" ht="15" customHeight="1" x14ac:dyDescent="0.2">
      <c r="B9" s="8" t="s">
        <v>477</v>
      </c>
      <c r="E9" s="2915" t="s">
        <v>971</v>
      </c>
      <c r="F9" s="2915"/>
      <c r="G9" s="2915"/>
      <c r="H9" s="296"/>
      <c r="I9" s="296"/>
      <c r="L9" s="9" t="s">
        <v>972</v>
      </c>
      <c r="M9" s="2918" t="str">
        <f>CONCATENATE(Index!$E$12," ",Index!$E$14)</f>
        <v xml:space="preserve"> </v>
      </c>
      <c r="N9" s="2918"/>
      <c r="O9" s="2918"/>
      <c r="P9" s="2918"/>
      <c r="Q9" s="2918"/>
    </row>
    <row r="10" spans="1:21" ht="15" customHeight="1" x14ac:dyDescent="0.2">
      <c r="E10" s="776"/>
      <c r="F10" s="776"/>
      <c r="G10" s="776"/>
      <c r="H10" s="296"/>
      <c r="I10" s="296"/>
      <c r="L10" s="9" t="s">
        <v>348</v>
      </c>
      <c r="M10" s="2919">
        <f>+Index!$E$13</f>
        <v>0</v>
      </c>
      <c r="N10" s="2919"/>
      <c r="O10" s="2919"/>
      <c r="P10" s="2919"/>
      <c r="Q10" s="2919"/>
    </row>
    <row r="11" spans="1:21" ht="10.35" customHeight="1" thickBot="1" x14ac:dyDescent="0.25">
      <c r="B11" s="148"/>
      <c r="C11" s="148"/>
      <c r="D11" s="148"/>
      <c r="E11" s="148"/>
      <c r="F11" s="148"/>
      <c r="G11" s="148"/>
      <c r="H11" s="148"/>
      <c r="I11" s="148"/>
      <c r="J11" s="148"/>
      <c r="K11" s="148"/>
      <c r="L11" s="148"/>
      <c r="M11" s="148"/>
      <c r="N11" s="148"/>
      <c r="O11" s="148"/>
      <c r="P11" s="148"/>
      <c r="Q11" s="148"/>
    </row>
    <row r="12" spans="1:21" ht="3" customHeight="1" x14ac:dyDescent="0.2">
      <c r="A12" s="8" t="str">
        <f>AgyIdx</f>
        <v>01</v>
      </c>
    </row>
    <row r="14" spans="1:21" x14ac:dyDescent="0.2">
      <c r="B14" s="8" t="s">
        <v>3587</v>
      </c>
    </row>
    <row r="15" spans="1:21" x14ac:dyDescent="0.2">
      <c r="B15" s="8" t="s">
        <v>4755</v>
      </c>
    </row>
    <row r="17" spans="1:17" x14ac:dyDescent="0.2">
      <c r="B17" s="346" t="s">
        <v>4080</v>
      </c>
    </row>
    <row r="18" spans="1:17" x14ac:dyDescent="0.2">
      <c r="B18" s="346" t="s">
        <v>4081</v>
      </c>
    </row>
    <row r="19" spans="1:17" ht="9" customHeight="1" x14ac:dyDescent="0.2"/>
    <row r="20" spans="1:17" x14ac:dyDescent="0.2">
      <c r="B20" s="2960" t="s">
        <v>1820</v>
      </c>
      <c r="C20" s="2961"/>
      <c r="D20" s="2961"/>
      <c r="E20" s="2961"/>
      <c r="F20" s="2961"/>
      <c r="G20" s="2961"/>
      <c r="H20" s="2961"/>
      <c r="I20" s="2961"/>
      <c r="J20" s="2961"/>
      <c r="K20" s="2961"/>
      <c r="L20" s="2961"/>
      <c r="M20" s="2961"/>
      <c r="N20" s="2961"/>
      <c r="O20" s="2961"/>
      <c r="P20" s="2961"/>
      <c r="Q20" s="2961"/>
    </row>
    <row r="21" spans="1:17" ht="15.75" customHeight="1" x14ac:dyDescent="0.2">
      <c r="Q21" s="1138" t="s">
        <v>1740</v>
      </c>
    </row>
    <row r="22" spans="1:17" x14ac:dyDescent="0.2">
      <c r="B22" s="2957" t="s">
        <v>1721</v>
      </c>
      <c r="C22" s="2575"/>
      <c r="D22" s="2575"/>
      <c r="E22" s="2575"/>
      <c r="F22" s="2575"/>
      <c r="G22" s="2575"/>
      <c r="H22" s="2575"/>
      <c r="I22" s="2575"/>
      <c r="K22" s="2957" t="s">
        <v>1722</v>
      </c>
      <c r="L22" s="2575"/>
      <c r="M22" s="2575"/>
      <c r="N22" s="2575"/>
      <c r="O22" s="2575"/>
      <c r="Q22" s="1139" t="s">
        <v>1741</v>
      </c>
    </row>
    <row r="23" spans="1:17" ht="18.75" customHeight="1" x14ac:dyDescent="0.2">
      <c r="A23" s="8" t="str">
        <f t="shared" ref="A23:A28" si="0">AgyIdx</f>
        <v>01</v>
      </c>
      <c r="B23" s="2958"/>
      <c r="C23" s="2959"/>
      <c r="D23" s="2959"/>
      <c r="E23" s="2959"/>
      <c r="F23" s="2959"/>
      <c r="G23" s="2959"/>
      <c r="H23" s="2959"/>
      <c r="I23" s="2959"/>
      <c r="K23" s="2955"/>
      <c r="L23" s="2956"/>
      <c r="M23" s="2956"/>
      <c r="N23" s="2956"/>
      <c r="O23" s="2956"/>
      <c r="Q23" s="1194"/>
    </row>
    <row r="24" spans="1:17" ht="15.75" customHeight="1" x14ac:dyDescent="0.2">
      <c r="A24" s="8" t="str">
        <f t="shared" si="0"/>
        <v>01</v>
      </c>
      <c r="B24" s="2958"/>
      <c r="C24" s="2959"/>
      <c r="D24" s="2959"/>
      <c r="E24" s="2959"/>
      <c r="F24" s="2959"/>
      <c r="G24" s="2959"/>
      <c r="H24" s="2959"/>
      <c r="I24" s="2959"/>
      <c r="K24" s="2955"/>
      <c r="L24" s="2956"/>
      <c r="M24" s="2956"/>
      <c r="N24" s="2956"/>
      <c r="O24" s="2956"/>
      <c r="Q24" s="1194"/>
    </row>
    <row r="25" spans="1:17" ht="15.75" customHeight="1" x14ac:dyDescent="0.2">
      <c r="A25" s="8" t="str">
        <f t="shared" si="0"/>
        <v>01</v>
      </c>
      <c r="B25" s="2958"/>
      <c r="C25" s="2959"/>
      <c r="D25" s="2959"/>
      <c r="E25" s="2959"/>
      <c r="F25" s="2959"/>
      <c r="G25" s="2959"/>
      <c r="H25" s="2959"/>
      <c r="I25" s="2959"/>
      <c r="K25" s="2955"/>
      <c r="L25" s="2956"/>
      <c r="M25" s="2956"/>
      <c r="N25" s="2956"/>
      <c r="O25" s="2956"/>
      <c r="Q25" s="1194"/>
    </row>
    <row r="26" spans="1:17" ht="15.75" customHeight="1" x14ac:dyDescent="0.2">
      <c r="A26" s="8" t="str">
        <f t="shared" si="0"/>
        <v>01</v>
      </c>
      <c r="B26" s="2958"/>
      <c r="C26" s="2498"/>
      <c r="D26" s="2498"/>
      <c r="E26" s="2498"/>
      <c r="F26" s="2498"/>
      <c r="G26" s="2498"/>
      <c r="H26" s="2498"/>
      <c r="I26" s="2498"/>
      <c r="K26" s="2955"/>
      <c r="L26" s="2498"/>
      <c r="M26" s="2498"/>
      <c r="N26" s="2498"/>
      <c r="O26" s="2498"/>
      <c r="Q26" s="1194"/>
    </row>
    <row r="27" spans="1:17" ht="15.75" customHeight="1" x14ac:dyDescent="0.2">
      <c r="A27" s="8" t="str">
        <f t="shared" si="0"/>
        <v>01</v>
      </c>
      <c r="B27" s="2958"/>
      <c r="C27" s="2498"/>
      <c r="D27" s="2498"/>
      <c r="E27" s="2498"/>
      <c r="F27" s="2498"/>
      <c r="G27" s="2498"/>
      <c r="H27" s="2498"/>
      <c r="I27" s="2498"/>
      <c r="K27" s="2955"/>
      <c r="L27" s="2498"/>
      <c r="M27" s="2498"/>
      <c r="N27" s="2498"/>
      <c r="O27" s="2498"/>
      <c r="Q27" s="1194"/>
    </row>
    <row r="28" spans="1:17" ht="15.75" customHeight="1" x14ac:dyDescent="0.2">
      <c r="A28" s="8" t="str">
        <f t="shared" si="0"/>
        <v>01</v>
      </c>
      <c r="B28" s="2958"/>
      <c r="C28" s="2959"/>
      <c r="D28" s="2959"/>
      <c r="E28" s="2959"/>
      <c r="F28" s="2959"/>
      <c r="G28" s="2959"/>
      <c r="H28" s="2959"/>
      <c r="I28" s="2959"/>
      <c r="K28" s="2955"/>
      <c r="L28" s="2956"/>
      <c r="M28" s="2956"/>
      <c r="N28" s="2956"/>
      <c r="O28" s="2956"/>
      <c r="Q28" s="1194"/>
    </row>
    <row r="29" spans="1:17" ht="15.75" customHeight="1" x14ac:dyDescent="0.2"/>
    <row r="30" spans="1:17" x14ac:dyDescent="0.2">
      <c r="B30" s="2960" t="s">
        <v>1821</v>
      </c>
      <c r="C30" s="2961"/>
      <c r="D30" s="2961"/>
      <c r="E30" s="2961"/>
      <c r="F30" s="2961"/>
      <c r="G30" s="2961"/>
      <c r="H30" s="2961"/>
      <c r="I30" s="2961"/>
      <c r="J30" s="2961"/>
      <c r="K30" s="2961"/>
      <c r="L30" s="2961"/>
      <c r="M30" s="2961"/>
      <c r="N30" s="2961"/>
      <c r="O30" s="2961"/>
      <c r="P30" s="2961"/>
      <c r="Q30" s="2961"/>
    </row>
    <row r="31" spans="1:17" ht="15.75" customHeight="1" x14ac:dyDescent="0.2">
      <c r="Q31" s="1138" t="s">
        <v>1740</v>
      </c>
    </row>
    <row r="32" spans="1:17" x14ac:dyDescent="0.2">
      <c r="B32" s="2957" t="s">
        <v>1721</v>
      </c>
      <c r="C32" s="2575"/>
      <c r="D32" s="2575"/>
      <c r="E32" s="2575"/>
      <c r="F32" s="2575"/>
      <c r="G32" s="2575"/>
      <c r="H32" s="2575"/>
      <c r="I32" s="2575"/>
      <c r="K32" s="2957" t="s">
        <v>1722</v>
      </c>
      <c r="L32" s="2575"/>
      <c r="M32" s="2575"/>
      <c r="N32" s="2575"/>
      <c r="O32" s="2575"/>
      <c r="Q32" s="1139" t="s">
        <v>1741</v>
      </c>
    </row>
    <row r="33" spans="1:17" ht="18.75" customHeight="1" x14ac:dyDescent="0.2">
      <c r="A33" s="8" t="str">
        <f>AgyIdx</f>
        <v>01</v>
      </c>
      <c r="B33" s="2958"/>
      <c r="C33" s="2959"/>
      <c r="D33" s="2959"/>
      <c r="E33" s="2959"/>
      <c r="F33" s="2959"/>
      <c r="G33" s="2959"/>
      <c r="H33" s="2959"/>
      <c r="I33" s="2959"/>
      <c r="K33" s="2955"/>
      <c r="L33" s="2956"/>
      <c r="M33" s="2956"/>
      <c r="N33" s="2956"/>
      <c r="O33" s="2956"/>
      <c r="Q33" s="1194"/>
    </row>
    <row r="34" spans="1:17" ht="15.75" customHeight="1" x14ac:dyDescent="0.2">
      <c r="A34" s="8" t="str">
        <f>AgyIdx</f>
        <v>01</v>
      </c>
      <c r="B34" s="2958"/>
      <c r="C34" s="2959"/>
      <c r="D34" s="2959"/>
      <c r="E34" s="2959"/>
      <c r="F34" s="2959"/>
      <c r="G34" s="2959"/>
      <c r="H34" s="2959"/>
      <c r="I34" s="2959"/>
      <c r="K34" s="2955"/>
      <c r="L34" s="2956"/>
      <c r="M34" s="2956"/>
      <c r="N34" s="2956"/>
      <c r="O34" s="2956"/>
      <c r="Q34" s="1194"/>
    </row>
    <row r="35" spans="1:17" ht="15.75" customHeight="1" x14ac:dyDescent="0.2">
      <c r="A35" s="8" t="str">
        <f>AgyIdx</f>
        <v>01</v>
      </c>
      <c r="B35" s="2958"/>
      <c r="C35" s="2962"/>
      <c r="D35" s="2962"/>
      <c r="E35" s="2962"/>
      <c r="F35" s="2962"/>
      <c r="G35" s="2962"/>
      <c r="H35" s="2962"/>
      <c r="I35" s="2962"/>
      <c r="K35" s="2955"/>
      <c r="L35" s="2962"/>
      <c r="M35" s="2962"/>
      <c r="N35" s="2962"/>
      <c r="O35" s="2962"/>
      <c r="Q35" s="1194"/>
    </row>
    <row r="36" spans="1:17" ht="15.75" customHeight="1" x14ac:dyDescent="0.2">
      <c r="A36" s="8" t="str">
        <f>AgyIdx</f>
        <v>01</v>
      </c>
      <c r="B36" s="2958"/>
      <c r="C36" s="2498"/>
      <c r="D36" s="2498"/>
      <c r="E36" s="2498"/>
      <c r="F36" s="2498"/>
      <c r="G36" s="2498"/>
      <c r="H36" s="2498"/>
      <c r="I36" s="2498"/>
      <c r="K36" s="2955"/>
      <c r="L36" s="2498"/>
      <c r="M36" s="2498"/>
      <c r="N36" s="2498"/>
      <c r="O36" s="2498"/>
      <c r="Q36" s="1194"/>
    </row>
    <row r="37" spans="1:17" ht="15.75" customHeight="1" x14ac:dyDescent="0.2">
      <c r="A37" s="8" t="str">
        <f>AgyIdx</f>
        <v>01</v>
      </c>
      <c r="B37" s="2958"/>
      <c r="C37" s="2498"/>
      <c r="D37" s="2498"/>
      <c r="E37" s="2498"/>
      <c r="F37" s="2498"/>
      <c r="G37" s="2498"/>
      <c r="H37" s="2498"/>
      <c r="I37" s="2498"/>
      <c r="K37" s="2955"/>
      <c r="L37" s="2498"/>
      <c r="M37" s="2498"/>
      <c r="N37" s="2498"/>
      <c r="O37" s="2498"/>
      <c r="Q37" s="1194"/>
    </row>
    <row r="38" spans="1:17" ht="15.75" customHeight="1" x14ac:dyDescent="0.2"/>
    <row r="39" spans="1:17" x14ac:dyDescent="0.2">
      <c r="B39" s="2960" t="s">
        <v>1811</v>
      </c>
      <c r="C39" s="2961"/>
      <c r="D39" s="2961"/>
      <c r="E39" s="2961"/>
      <c r="F39" s="2961"/>
      <c r="G39" s="2961"/>
      <c r="H39" s="2961"/>
      <c r="I39" s="2961"/>
      <c r="J39" s="2961"/>
      <c r="K39" s="2961"/>
      <c r="L39" s="2961"/>
      <c r="M39" s="2961"/>
      <c r="N39" s="2961"/>
      <c r="O39" s="2961"/>
      <c r="P39" s="2961"/>
      <c r="Q39" s="2961"/>
    </row>
    <row r="40" spans="1:17" ht="15.75" customHeight="1" x14ac:dyDescent="0.2">
      <c r="Q40" s="1138" t="s">
        <v>1740</v>
      </c>
    </row>
    <row r="41" spans="1:17" x14ac:dyDescent="0.2">
      <c r="B41" s="2957" t="s">
        <v>1721</v>
      </c>
      <c r="C41" s="2575"/>
      <c r="D41" s="2575"/>
      <c r="E41" s="2575"/>
      <c r="F41" s="2575"/>
      <c r="G41" s="2575"/>
      <c r="H41" s="2575"/>
      <c r="I41" s="2575"/>
      <c r="K41" s="2957" t="s">
        <v>1722</v>
      </c>
      <c r="L41" s="2575"/>
      <c r="M41" s="2575"/>
      <c r="N41" s="2575"/>
      <c r="O41" s="2575"/>
      <c r="Q41" s="1139" t="s">
        <v>1741</v>
      </c>
    </row>
    <row r="42" spans="1:17" ht="18.75" customHeight="1" x14ac:dyDescent="0.2">
      <c r="A42" s="8" t="str">
        <f>AgyIdx</f>
        <v>01</v>
      </c>
      <c r="B42" s="2958"/>
      <c r="C42" s="2959"/>
      <c r="D42" s="2959"/>
      <c r="E42" s="2959"/>
      <c r="F42" s="2959"/>
      <c r="G42" s="2959"/>
      <c r="H42" s="2959"/>
      <c r="I42" s="2959"/>
      <c r="K42" s="2955"/>
      <c r="L42" s="2956"/>
      <c r="M42" s="2956"/>
      <c r="N42" s="2956"/>
      <c r="O42" s="2956"/>
      <c r="Q42" s="1194"/>
    </row>
    <row r="43" spans="1:17" ht="15.75" customHeight="1" x14ac:dyDescent="0.2">
      <c r="A43" s="8" t="str">
        <f>AgyIdx</f>
        <v>01</v>
      </c>
      <c r="B43" s="2958"/>
      <c r="C43" s="2959"/>
      <c r="D43" s="2959"/>
      <c r="E43" s="2959"/>
      <c r="F43" s="2959"/>
      <c r="G43" s="2959"/>
      <c r="H43" s="2959"/>
      <c r="I43" s="2959"/>
      <c r="K43" s="2955"/>
      <c r="L43" s="2956"/>
      <c r="M43" s="2956"/>
      <c r="N43" s="2956"/>
      <c r="O43" s="2956"/>
      <c r="Q43" s="1194"/>
    </row>
    <row r="44" spans="1:17" ht="15.75" customHeight="1" x14ac:dyDescent="0.2">
      <c r="A44" s="8" t="str">
        <f>AgyIdx</f>
        <v>01</v>
      </c>
      <c r="B44" s="2958"/>
      <c r="C44" s="2959"/>
      <c r="D44" s="2959"/>
      <c r="E44" s="2959"/>
      <c r="F44" s="2959"/>
      <c r="G44" s="2959"/>
      <c r="H44" s="2959"/>
      <c r="I44" s="2959"/>
      <c r="K44" s="2955"/>
      <c r="L44" s="2956"/>
      <c r="M44" s="2956"/>
      <c r="N44" s="2956"/>
      <c r="O44" s="2956"/>
      <c r="Q44" s="1194"/>
    </row>
    <row r="45" spans="1:17" ht="9" customHeight="1" x14ac:dyDescent="0.2"/>
    <row r="46" spans="1:17" ht="9" customHeight="1" x14ac:dyDescent="0.2"/>
  </sheetData>
  <sheetProtection algorithmName="SHA-512" hashValue="djz61u7TGmfzgLlCZOfhEswfp3KxLHbqJkNjhbrtu3fgfemd+7vmBvNNnU/NLuZChPefjYmTARhxqn/E219q7Q==" saltValue="vaflK5usjux3TH4jYV2iRw==" spinCount="100000" sheet="1" objects="1" scenarios="1" autoFilter="0"/>
  <customSheetViews>
    <customSheetView guid="{B08879A4-635B-4C39-9937-AC7883D562FC}" showGridLines="0" fitToPage="1">
      <selection activeCell="B1" sqref="B1:R1"/>
      <pageMargins left="0.5" right="0.5" top="0.5" bottom="0.5" header="0.5" footer="0.25"/>
      <printOptions horizontalCentered="1"/>
      <pageSetup scale="96" orientation="portrait" r:id="rId1"/>
      <headerFooter alignWithMargins="0">
        <oddHeader xml:space="preserve"> </oddHeader>
        <oddFooter>&amp;R&amp;A</oddFooter>
      </headerFooter>
    </customSheetView>
    <customSheetView guid="{9FCFC836-1CA5-48BF-958D-24D2EA94B219}" showGridLines="0" fitToPage="1">
      <selection activeCell="B1" sqref="B1:R1"/>
      <pageMargins left="0.5" right="0.5" top="0.5" bottom="0.5" header="0.5" footer="0.25"/>
      <printOptions horizontalCentered="1"/>
      <pageSetup scale="96" orientation="portrait" r:id="rId2"/>
      <headerFooter alignWithMargins="0">
        <oddHeader xml:space="preserve"> </oddHeader>
        <oddFooter>&amp;R&amp;A</oddFooter>
      </headerFooter>
    </customSheetView>
  </customSheetViews>
  <mergeCells count="48">
    <mergeCell ref="K26:O26"/>
    <mergeCell ref="B27:I27"/>
    <mergeCell ref="K25:O25"/>
    <mergeCell ref="B25:I25"/>
    <mergeCell ref="M8:Q8"/>
    <mergeCell ref="M9:Q9"/>
    <mergeCell ref="E9:G9"/>
    <mergeCell ref="K22:O22"/>
    <mergeCell ref="K23:O23"/>
    <mergeCell ref="B20:Q20"/>
    <mergeCell ref="B23:I23"/>
    <mergeCell ref="B26:I26"/>
    <mergeCell ref="M10:Q10"/>
    <mergeCell ref="K44:O44"/>
    <mergeCell ref="B39:Q39"/>
    <mergeCell ref="B41:I41"/>
    <mergeCell ref="B34:I34"/>
    <mergeCell ref="B44:I44"/>
    <mergeCell ref="B35:I35"/>
    <mergeCell ref="K37:O37"/>
    <mergeCell ref="B43:I43"/>
    <mergeCell ref="B37:I37"/>
    <mergeCell ref="K35:O35"/>
    <mergeCell ref="B36:I36"/>
    <mergeCell ref="K36:O36"/>
    <mergeCell ref="K28:O28"/>
    <mergeCell ref="K27:O27"/>
    <mergeCell ref="K43:O43"/>
    <mergeCell ref="B22:I22"/>
    <mergeCell ref="K32:O32"/>
    <mergeCell ref="K33:O33"/>
    <mergeCell ref="B42:I42"/>
    <mergeCell ref="K42:O42"/>
    <mergeCell ref="B28:I28"/>
    <mergeCell ref="K34:O34"/>
    <mergeCell ref="B24:I24"/>
    <mergeCell ref="K24:O24"/>
    <mergeCell ref="B33:I33"/>
    <mergeCell ref="B30:Q30"/>
    <mergeCell ref="B32:I32"/>
    <mergeCell ref="K41:O41"/>
    <mergeCell ref="B2:R2"/>
    <mergeCell ref="B3:R3"/>
    <mergeCell ref="B4:R4"/>
    <mergeCell ref="M7:Q7"/>
    <mergeCell ref="S1:S3"/>
    <mergeCell ref="B5:Q5"/>
    <mergeCell ref="B1:R1"/>
  </mergeCells>
  <conditionalFormatting sqref="S1:S3">
    <cfRule type="cellIs" dxfId="15" priority="2" stopIfTrue="1" operator="equal">
      <formula>"na"</formula>
    </cfRule>
  </conditionalFormatting>
  <conditionalFormatting sqref="U1:U3">
    <cfRule type="cellIs" dxfId="14" priority="1" stopIfTrue="1" operator="equal">
      <formula>"na"</formula>
    </cfRule>
  </conditionalFormatting>
  <hyperlinks>
    <hyperlink ref="B1:R1" location="Index!A1" display="Index!A1" xr:uid="{00000000-0004-0000-4700-000000000000}"/>
  </hyperlinks>
  <printOptions horizontalCentered="1"/>
  <pageMargins left="0.75" right="0.5" top="0.5" bottom="0.5" header="0.5" footer="0.25"/>
  <pageSetup scale="96" orientation="portrait" r:id="rId3"/>
  <headerFooter alignWithMargins="0">
    <oddHeader xml:space="preserve"> </oddHeader>
    <oddFooter>&amp;R&amp;A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0"/>
  <dimension ref="A1:U51"/>
  <sheetViews>
    <sheetView showGridLines="0" topLeftCell="B1" zoomScaleNormal="100" workbookViewId="0">
      <selection activeCell="K21" sqref="K21"/>
    </sheetView>
  </sheetViews>
  <sheetFormatPr defaultColWidth="9.42578125" defaultRowHeight="12.75" x14ac:dyDescent="0.2"/>
  <cols>
    <col min="1" max="1" width="9.42578125" style="8" hidden="1" customWidth="1"/>
    <col min="2" max="2" width="6.5703125" style="8" customWidth="1"/>
    <col min="3" max="3" width="1.5703125" style="8" customWidth="1"/>
    <col min="4" max="4" width="6.42578125" style="8" customWidth="1"/>
    <col min="5" max="5" width="8.5703125" style="8" customWidth="1"/>
    <col min="6" max="6" width="1.5703125" style="8" customWidth="1"/>
    <col min="7" max="7" width="5.5703125" style="8" customWidth="1"/>
    <col min="8" max="8" width="0.5703125" style="8" customWidth="1"/>
    <col min="9" max="9" width="4.5703125" style="8" hidden="1" customWidth="1"/>
    <col min="10" max="10" width="0.5703125" style="8" customWidth="1"/>
    <col min="11" max="11" width="13.42578125" style="8" customWidth="1"/>
    <col min="12" max="12" width="2.5703125" style="8" customWidth="1"/>
    <col min="13" max="13" width="12.5703125" style="8" customWidth="1"/>
    <col min="14" max="14" width="1.42578125" style="8" customWidth="1"/>
    <col min="15" max="15" width="13.42578125" style="8" customWidth="1"/>
    <col min="16" max="16" width="1.42578125" style="8" customWidth="1"/>
    <col min="17" max="17" width="12.5703125" style="8" customWidth="1"/>
    <col min="18" max="18" width="0.5703125" style="8" customWidth="1"/>
    <col min="19" max="19" width="4.5703125" style="8" customWidth="1"/>
    <col min="20" max="20" width="8.42578125" style="8" customWidth="1"/>
    <col min="21" max="21" width="10.5703125" style="8" bestFit="1" customWidth="1"/>
    <col min="22" max="22" width="2.42578125" style="8" customWidth="1"/>
    <col min="23" max="23" width="9.42578125" style="8"/>
    <col min="24" max="24" width="2.42578125" style="8" customWidth="1"/>
    <col min="25" max="25" width="11.5703125" style="8" customWidth="1"/>
    <col min="26" max="26" width="0.42578125" style="8" customWidth="1"/>
    <col min="27" max="16384" width="9.42578125" style="8"/>
  </cols>
  <sheetData>
    <row r="1" spans="1:21" ht="15" customHeight="1" x14ac:dyDescent="0.25">
      <c r="A1" s="8" t="str">
        <f t="shared" ref="A1:A32" si="0">AgyIdx</f>
        <v>01</v>
      </c>
      <c r="B1" s="2449" t="str">
        <f>+Index!$A$1</f>
        <v xml:space="preserve">                                                               Office of the State Controller                                                                </v>
      </c>
      <c r="C1" s="2449"/>
      <c r="D1" s="2449"/>
      <c r="E1" s="2449"/>
      <c r="F1" s="2449"/>
      <c r="G1" s="2449"/>
      <c r="H1" s="2449"/>
      <c r="I1" s="2449"/>
      <c r="J1" s="2449"/>
      <c r="K1" s="2449"/>
      <c r="L1" s="2449"/>
      <c r="M1" s="2449"/>
      <c r="N1" s="2449"/>
      <c r="O1" s="2449"/>
      <c r="P1" s="2449"/>
      <c r="Q1" s="2449"/>
      <c r="R1" s="2449"/>
      <c r="S1" s="2510" t="str">
        <f>IF(Index!$B$99="na","NA","")</f>
        <v/>
      </c>
      <c r="U1" s="2510"/>
    </row>
    <row r="2" spans="1:21" ht="15" customHeight="1" x14ac:dyDescent="0.25">
      <c r="A2" s="8" t="str">
        <f t="shared" si="0"/>
        <v>01</v>
      </c>
      <c r="B2" s="2913" t="str">
        <f>+Index!$A$2</f>
        <v>2022 ACFR Worksheets</v>
      </c>
      <c r="C2" s="2913"/>
      <c r="D2" s="2913"/>
      <c r="E2" s="2913"/>
      <c r="F2" s="2913"/>
      <c r="G2" s="2913"/>
      <c r="H2" s="2913"/>
      <c r="I2" s="2913"/>
      <c r="J2" s="2913"/>
      <c r="K2" s="2913"/>
      <c r="L2" s="2913"/>
      <c r="M2" s="2913"/>
      <c r="N2" s="2913"/>
      <c r="O2" s="2913"/>
      <c r="P2" s="2913"/>
      <c r="Q2" s="2913"/>
      <c r="R2" s="2913"/>
      <c r="S2" s="2510"/>
      <c r="U2" s="2510"/>
    </row>
    <row r="3" spans="1:21" ht="15" customHeight="1" x14ac:dyDescent="0.25">
      <c r="A3" s="8" t="str">
        <f t="shared" si="0"/>
        <v>01</v>
      </c>
      <c r="B3" s="2913" t="s">
        <v>1075</v>
      </c>
      <c r="C3" s="2913"/>
      <c r="D3" s="2913"/>
      <c r="E3" s="2913"/>
      <c r="F3" s="2913"/>
      <c r="G3" s="2913"/>
      <c r="H3" s="2913"/>
      <c r="I3" s="2913"/>
      <c r="J3" s="2913"/>
      <c r="K3" s="2913"/>
      <c r="L3" s="2913"/>
      <c r="M3" s="2913"/>
      <c r="N3" s="2913"/>
      <c r="O3" s="2913"/>
      <c r="P3" s="2913"/>
      <c r="Q3" s="2913"/>
      <c r="R3" s="2913"/>
      <c r="S3" s="2510"/>
      <c r="U3" s="2510"/>
    </row>
    <row r="4" spans="1:21" ht="15" customHeight="1" x14ac:dyDescent="0.25">
      <c r="A4" s="8" t="str">
        <f t="shared" si="0"/>
        <v>01</v>
      </c>
      <c r="B4" s="2913" t="s">
        <v>4110</v>
      </c>
      <c r="C4" s="2913"/>
      <c r="D4" s="2913"/>
      <c r="E4" s="2913"/>
      <c r="F4" s="2913"/>
      <c r="G4" s="2913"/>
      <c r="H4" s="2913"/>
      <c r="I4" s="2913"/>
      <c r="J4" s="2913"/>
      <c r="K4" s="2913"/>
      <c r="L4" s="2913"/>
      <c r="M4" s="2913"/>
      <c r="N4" s="2913"/>
      <c r="O4" s="2913"/>
      <c r="P4" s="2913"/>
      <c r="Q4" s="2913"/>
      <c r="R4" s="2913"/>
    </row>
    <row r="5" spans="1:21" ht="15" customHeight="1" x14ac:dyDescent="0.25">
      <c r="B5" s="1622"/>
      <c r="C5" s="1622"/>
      <c r="D5" s="1622"/>
      <c r="E5" s="1622"/>
      <c r="F5" s="1622"/>
      <c r="G5" s="1622"/>
      <c r="H5" s="1622"/>
      <c r="I5" s="1622"/>
      <c r="J5" s="1622"/>
      <c r="K5" s="1622"/>
      <c r="L5" s="1622"/>
      <c r="M5" s="1622"/>
      <c r="N5" s="1622"/>
      <c r="O5" s="1622"/>
      <c r="P5" s="1622"/>
      <c r="Q5" s="1622"/>
      <c r="R5" s="1622"/>
    </row>
    <row r="6" spans="1:21" ht="15" customHeight="1" x14ac:dyDescent="0.2">
      <c r="A6" s="8" t="str">
        <f t="shared" si="0"/>
        <v>01</v>
      </c>
      <c r="B6" s="1643" t="s">
        <v>4395</v>
      </c>
    </row>
    <row r="7" spans="1:21" ht="15" customHeight="1" x14ac:dyDescent="0.2">
      <c r="D7" s="1643"/>
    </row>
    <row r="8" spans="1:21" ht="15" customHeight="1" x14ac:dyDescent="0.2">
      <c r="A8" s="8" t="str">
        <f t="shared" si="0"/>
        <v>01</v>
      </c>
      <c r="E8" s="776"/>
      <c r="L8" s="9" t="s">
        <v>327</v>
      </c>
      <c r="M8" s="2947" t="str">
        <f>+Index!$E$10</f>
        <v>01</v>
      </c>
      <c r="N8" s="2947"/>
      <c r="O8" s="2947"/>
      <c r="P8" s="2947"/>
      <c r="Q8" s="2947"/>
    </row>
    <row r="9" spans="1:21" ht="15" customHeight="1" x14ac:dyDescent="0.2">
      <c r="A9" s="8" t="str">
        <f t="shared" si="0"/>
        <v>01</v>
      </c>
      <c r="L9" s="9" t="s">
        <v>1154</v>
      </c>
      <c r="M9" s="2947" t="str">
        <f>+Index!$E$11</f>
        <v>North Carolina General Assembly</v>
      </c>
      <c r="N9" s="2947"/>
      <c r="O9" s="2947"/>
      <c r="P9" s="2947"/>
      <c r="Q9" s="2947"/>
    </row>
    <row r="10" spans="1:21" ht="15" customHeight="1" x14ac:dyDescent="0.2">
      <c r="A10" s="8" t="str">
        <f t="shared" si="0"/>
        <v>01</v>
      </c>
      <c r="B10" s="8" t="s">
        <v>477</v>
      </c>
      <c r="E10" s="2915" t="s">
        <v>971</v>
      </c>
      <c r="F10" s="2915"/>
      <c r="G10" s="2915"/>
      <c r="H10" s="296"/>
      <c r="I10" s="296"/>
      <c r="L10" s="9" t="s">
        <v>972</v>
      </c>
      <c r="M10" s="2948" t="str">
        <f>CONCATENATE(Index!$E$12," ",Index!$E$14)</f>
        <v xml:space="preserve"> </v>
      </c>
      <c r="N10" s="2948"/>
      <c r="O10" s="2948"/>
      <c r="P10" s="2948"/>
      <c r="Q10" s="2948"/>
    </row>
    <row r="11" spans="1:21" ht="15" customHeight="1" x14ac:dyDescent="0.2">
      <c r="A11" s="8" t="str">
        <f t="shared" si="0"/>
        <v>01</v>
      </c>
      <c r="E11" s="776"/>
      <c r="F11" s="776"/>
      <c r="G11" s="776"/>
      <c r="H11" s="296"/>
      <c r="I11" s="296"/>
      <c r="L11" s="9" t="s">
        <v>348</v>
      </c>
      <c r="M11" s="2949">
        <f>+Index!$E$13</f>
        <v>0</v>
      </c>
      <c r="N11" s="2949"/>
      <c r="O11" s="2949"/>
      <c r="P11" s="2949"/>
      <c r="Q11" s="2949"/>
    </row>
    <row r="12" spans="1:21" ht="5.25" customHeight="1" thickBot="1" x14ac:dyDescent="0.25">
      <c r="A12" s="8" t="str">
        <f t="shared" si="0"/>
        <v>01</v>
      </c>
      <c r="B12" s="148"/>
      <c r="C12" s="148"/>
      <c r="D12" s="148"/>
      <c r="E12" s="148"/>
      <c r="F12" s="148"/>
      <c r="G12" s="148"/>
      <c r="H12" s="148"/>
      <c r="I12" s="148"/>
      <c r="J12" s="148"/>
      <c r="K12" s="148"/>
      <c r="L12" s="148"/>
      <c r="M12" s="148"/>
      <c r="N12" s="148"/>
      <c r="O12" s="148"/>
      <c r="P12" s="148"/>
      <c r="Q12" s="148"/>
    </row>
    <row r="13" spans="1:21" ht="3" customHeight="1" x14ac:dyDescent="0.2">
      <c r="A13" s="8" t="str">
        <f t="shared" si="0"/>
        <v>01</v>
      </c>
    </row>
    <row r="14" spans="1:21" ht="10.5" customHeight="1" x14ac:dyDescent="0.25">
      <c r="A14" s="8" t="str">
        <f t="shared" si="0"/>
        <v>01</v>
      </c>
      <c r="B14" s="1625"/>
      <c r="C14" s="1625"/>
      <c r="D14" s="1625"/>
      <c r="E14" s="1625"/>
      <c r="F14" s="1625"/>
      <c r="G14" s="1625"/>
      <c r="H14" s="1625"/>
      <c r="I14" s="1625"/>
      <c r="J14" s="1625"/>
      <c r="K14" s="1625"/>
      <c r="L14" s="298"/>
      <c r="M14" s="323"/>
      <c r="N14" s="323"/>
      <c r="O14" s="323"/>
      <c r="P14" s="323"/>
      <c r="Q14" s="323"/>
      <c r="R14" s="149"/>
      <c r="S14" s="149"/>
    </row>
    <row r="15" spans="1:21" ht="13.35" customHeight="1" x14ac:dyDescent="0.25">
      <c r="A15" s="8" t="str">
        <f t="shared" si="0"/>
        <v>01</v>
      </c>
      <c r="B15" s="1625"/>
      <c r="C15" s="1625"/>
      <c r="D15" s="1625"/>
      <c r="E15" s="1625"/>
      <c r="F15" s="1625"/>
      <c r="G15" s="1625"/>
      <c r="H15" s="1625"/>
      <c r="I15" s="1625"/>
      <c r="J15" s="1625"/>
      <c r="R15" s="149"/>
      <c r="S15" s="149"/>
    </row>
    <row r="16" spans="1:21" ht="12" customHeight="1" x14ac:dyDescent="0.25">
      <c r="A16" s="8" t="str">
        <f t="shared" si="0"/>
        <v>01</v>
      </c>
      <c r="B16" s="1625"/>
      <c r="C16" s="1625"/>
      <c r="D16" s="1625"/>
      <c r="E16" s="1625"/>
      <c r="F16" s="1625"/>
      <c r="G16" s="1625"/>
      <c r="H16" s="1625"/>
      <c r="I16" s="1625"/>
      <c r="J16" s="1625"/>
      <c r="K16" s="2963" t="s">
        <v>4111</v>
      </c>
      <c r="L16" s="2963"/>
      <c r="M16" s="2963"/>
      <c r="N16" s="2963"/>
      <c r="O16" s="2963"/>
      <c r="P16" s="2963"/>
      <c r="Q16" s="2963"/>
      <c r="R16" s="149"/>
      <c r="S16" s="149"/>
    </row>
    <row r="17" spans="1:21" ht="12" customHeight="1" x14ac:dyDescent="0.25">
      <c r="A17" s="8" t="str">
        <f t="shared" si="0"/>
        <v>01</v>
      </c>
      <c r="B17" s="1625"/>
      <c r="C17" s="1625"/>
      <c r="D17" s="1625"/>
      <c r="E17" s="1625"/>
      <c r="F17" s="1625"/>
      <c r="G17" s="1625"/>
      <c r="H17" s="1625"/>
      <c r="I17" s="1625"/>
      <c r="J17" s="1625"/>
      <c r="K17" s="1627"/>
      <c r="L17" s="1626"/>
      <c r="M17" s="1627"/>
      <c r="N17" s="1628"/>
      <c r="O17" s="1627" t="s">
        <v>4112</v>
      </c>
      <c r="P17" s="1628"/>
      <c r="Q17" s="1627" t="s">
        <v>4112</v>
      </c>
      <c r="R17" s="149"/>
      <c r="S17" s="149"/>
    </row>
    <row r="18" spans="1:21" ht="12" customHeight="1" x14ac:dyDescent="0.25">
      <c r="A18" s="8" t="str">
        <f t="shared" si="0"/>
        <v>01</v>
      </c>
      <c r="B18" s="1625"/>
      <c r="C18" s="1627"/>
      <c r="D18" s="1625"/>
      <c r="E18" s="298" t="s">
        <v>973</v>
      </c>
      <c r="F18" s="298"/>
      <c r="G18" s="1625"/>
      <c r="H18" s="1625"/>
      <c r="I18" s="1625"/>
      <c r="J18" s="1625"/>
      <c r="K18" s="1627"/>
      <c r="L18" s="1625"/>
      <c r="M18" s="1627" t="s">
        <v>4113</v>
      </c>
      <c r="N18" s="1628"/>
      <c r="O18" s="1627" t="s">
        <v>4114</v>
      </c>
      <c r="P18" s="1628"/>
      <c r="Q18" s="1627" t="s">
        <v>4115</v>
      </c>
      <c r="R18" s="149"/>
      <c r="S18" s="149"/>
      <c r="U18" s="1138"/>
    </row>
    <row r="19" spans="1:21" ht="12" customHeight="1" x14ac:dyDescent="0.25">
      <c r="A19" s="8" t="str">
        <f t="shared" si="0"/>
        <v>01</v>
      </c>
      <c r="B19" s="304" t="s">
        <v>653</v>
      </c>
      <c r="C19" s="1630"/>
      <c r="D19" s="1630"/>
      <c r="E19" s="1630"/>
      <c r="F19" s="304"/>
      <c r="G19" s="1630"/>
      <c r="H19" s="1625"/>
      <c r="I19" s="1625"/>
      <c r="J19" s="1625"/>
      <c r="K19" s="1632" t="s">
        <v>985</v>
      </c>
      <c r="L19" s="1625"/>
      <c r="M19" s="1632" t="s">
        <v>4116</v>
      </c>
      <c r="N19" s="307"/>
      <c r="O19" s="1632" t="s">
        <v>4117</v>
      </c>
      <c r="P19" s="307"/>
      <c r="Q19" s="1632" t="s">
        <v>4118</v>
      </c>
      <c r="R19" s="149"/>
      <c r="S19" s="149"/>
      <c r="U19" s="1138"/>
    </row>
    <row r="20" spans="1:21" ht="12" customHeight="1" x14ac:dyDescent="0.2">
      <c r="A20" s="8" t="str">
        <f t="shared" si="0"/>
        <v>01</v>
      </c>
      <c r="B20" s="149"/>
      <c r="C20" s="149"/>
      <c r="D20" s="149"/>
      <c r="E20" s="149"/>
      <c r="F20" s="149"/>
      <c r="G20" s="149"/>
      <c r="H20" s="149"/>
      <c r="I20" s="1633"/>
      <c r="J20" s="1633"/>
      <c r="K20" s="1634"/>
      <c r="L20" s="1634"/>
      <c r="M20" s="1634"/>
      <c r="N20" s="1634"/>
      <c r="O20" s="1634">
        <v>1</v>
      </c>
      <c r="P20" s="149"/>
      <c r="Q20" s="1634">
        <v>2</v>
      </c>
      <c r="R20" s="1634"/>
      <c r="S20" s="149"/>
    </row>
    <row r="21" spans="1:21" ht="12" customHeight="1" x14ac:dyDescent="0.25">
      <c r="A21" s="8" t="str">
        <f t="shared" si="0"/>
        <v>01</v>
      </c>
      <c r="B21" s="149" t="s">
        <v>1873</v>
      </c>
      <c r="C21" s="1274"/>
      <c r="D21" s="149"/>
      <c r="E21" s="149"/>
      <c r="F21" s="149"/>
      <c r="G21" s="149"/>
      <c r="H21" s="149"/>
      <c r="I21" s="1636" t="s">
        <v>1605</v>
      </c>
      <c r="J21" s="1275"/>
      <c r="K21" s="1409"/>
      <c r="L21" s="1637"/>
      <c r="M21" s="1409"/>
      <c r="N21" s="1637"/>
      <c r="O21" s="1640"/>
      <c r="P21" s="1644"/>
      <c r="Q21" s="1640"/>
      <c r="R21" s="1635"/>
      <c r="S21" s="609" t="s">
        <v>4119</v>
      </c>
      <c r="T21" s="610"/>
      <c r="U21" s="1137"/>
    </row>
    <row r="22" spans="1:21" ht="12" customHeight="1" x14ac:dyDescent="0.25">
      <c r="A22" s="8" t="str">
        <f t="shared" si="0"/>
        <v>01</v>
      </c>
      <c r="B22" s="149" t="s">
        <v>1874</v>
      </c>
      <c r="C22" s="1274"/>
      <c r="D22" s="149"/>
      <c r="E22" s="149"/>
      <c r="F22" s="149"/>
      <c r="G22" s="149"/>
      <c r="H22" s="149"/>
      <c r="I22" s="1636" t="s">
        <v>1606</v>
      </c>
      <c r="J22" s="1275"/>
      <c r="K22" s="1409"/>
      <c r="L22" s="1637"/>
      <c r="M22" s="1409"/>
      <c r="N22" s="1637"/>
      <c r="O22" s="1640"/>
      <c r="P22" s="1644"/>
      <c r="Q22" s="1640"/>
      <c r="R22" s="1635"/>
      <c r="S22" s="609" t="s">
        <v>4119</v>
      </c>
      <c r="T22" s="610"/>
      <c r="U22" s="1137"/>
    </row>
    <row r="23" spans="1:21" ht="12" customHeight="1" x14ac:dyDescent="0.25">
      <c r="A23" s="8" t="str">
        <f t="shared" si="0"/>
        <v>01</v>
      </c>
      <c r="B23" s="149" t="s">
        <v>1875</v>
      </c>
      <c r="C23" s="1274"/>
      <c r="D23" s="149"/>
      <c r="E23" s="149"/>
      <c r="F23" s="149"/>
      <c r="G23" s="149"/>
      <c r="H23" s="149"/>
      <c r="I23" s="1636" t="s">
        <v>1607</v>
      </c>
      <c r="J23" s="1275"/>
      <c r="K23" s="1409"/>
      <c r="L23" s="1637"/>
      <c r="M23" s="1409"/>
      <c r="N23" s="1637"/>
      <c r="O23" s="1640"/>
      <c r="P23" s="1644"/>
      <c r="Q23" s="1640"/>
      <c r="R23" s="1635"/>
      <c r="S23" s="609" t="s">
        <v>4119</v>
      </c>
      <c r="T23" s="610"/>
      <c r="U23" s="1137"/>
    </row>
    <row r="24" spans="1:21" ht="12" customHeight="1" x14ac:dyDescent="0.25">
      <c r="A24" s="8" t="str">
        <f t="shared" si="0"/>
        <v>01</v>
      </c>
      <c r="B24" s="149" t="s">
        <v>1876</v>
      </c>
      <c r="C24" s="1274"/>
      <c r="D24" s="149"/>
      <c r="E24" s="149"/>
      <c r="F24" s="149"/>
      <c r="G24" s="149"/>
      <c r="H24" s="149"/>
      <c r="I24" s="1636" t="s">
        <v>1608</v>
      </c>
      <c r="J24" s="1275"/>
      <c r="K24" s="1409"/>
      <c r="L24" s="1637"/>
      <c r="M24" s="1409"/>
      <c r="N24" s="1637"/>
      <c r="O24" s="1640"/>
      <c r="P24" s="1644"/>
      <c r="Q24" s="1640"/>
      <c r="R24" s="1635"/>
      <c r="S24" s="609" t="s">
        <v>4119</v>
      </c>
      <c r="T24" s="610"/>
      <c r="U24" s="1137"/>
    </row>
    <row r="25" spans="1:21" ht="12" customHeight="1" x14ac:dyDescent="0.25">
      <c r="A25" s="8" t="str">
        <f t="shared" si="0"/>
        <v>01</v>
      </c>
      <c r="B25" s="149" t="s">
        <v>3915</v>
      </c>
      <c r="C25" s="1274"/>
      <c r="D25" s="149"/>
      <c r="E25" s="149"/>
      <c r="F25" s="149"/>
      <c r="G25" s="149"/>
      <c r="H25" s="149"/>
      <c r="I25" s="1636" t="s">
        <v>3916</v>
      </c>
      <c r="J25" s="1275"/>
      <c r="K25" s="1409"/>
      <c r="L25" s="1637"/>
      <c r="M25" s="1409"/>
      <c r="N25" s="1637"/>
      <c r="O25" s="1640"/>
      <c r="P25" s="1644"/>
      <c r="Q25" s="1640"/>
      <c r="R25" s="1635"/>
      <c r="S25" s="609" t="s">
        <v>4119</v>
      </c>
      <c r="T25" s="610"/>
      <c r="U25" s="1137"/>
    </row>
    <row r="26" spans="1:21" ht="12" customHeight="1" x14ac:dyDescent="0.25">
      <c r="A26" s="8" t="str">
        <f t="shared" si="0"/>
        <v>01</v>
      </c>
      <c r="B26" s="149" t="s">
        <v>635</v>
      </c>
      <c r="C26" s="2912"/>
      <c r="D26" s="2912"/>
      <c r="E26" s="2912"/>
      <c r="F26" s="2912"/>
      <c r="G26" s="2912"/>
      <c r="H26" s="149"/>
      <c r="I26" s="1636" t="s">
        <v>1610</v>
      </c>
      <c r="J26" s="1275"/>
      <c r="K26" s="1409"/>
      <c r="L26" s="1637"/>
      <c r="M26" s="1409"/>
      <c r="N26" s="1637"/>
      <c r="O26" s="1640"/>
      <c r="P26" s="1644"/>
      <c r="Q26" s="1640"/>
      <c r="R26" s="1635"/>
      <c r="S26" s="609" t="s">
        <v>4119</v>
      </c>
      <c r="T26" s="610"/>
      <c r="U26" s="1137"/>
    </row>
    <row r="27" spans="1:21" ht="12" customHeight="1" x14ac:dyDescent="0.25">
      <c r="A27" s="8" t="str">
        <f t="shared" si="0"/>
        <v>01</v>
      </c>
      <c r="B27" s="149" t="s">
        <v>635</v>
      </c>
      <c r="C27" s="2952"/>
      <c r="D27" s="2952"/>
      <c r="E27" s="2952"/>
      <c r="F27" s="2952"/>
      <c r="G27" s="2952"/>
      <c r="H27" s="149"/>
      <c r="I27" s="1636" t="s">
        <v>1610</v>
      </c>
      <c r="J27" s="1275"/>
      <c r="K27" s="1409"/>
      <c r="L27" s="1637"/>
      <c r="M27" s="1409"/>
      <c r="N27" s="1637"/>
      <c r="O27" s="1640"/>
      <c r="P27" s="1644"/>
      <c r="Q27" s="1640"/>
      <c r="R27" s="1635"/>
      <c r="S27" s="609" t="s">
        <v>4119</v>
      </c>
      <c r="T27" s="610"/>
      <c r="U27" s="1137"/>
    </row>
    <row r="28" spans="1:21" ht="12" customHeight="1" x14ac:dyDescent="0.25">
      <c r="A28" s="8" t="str">
        <f t="shared" si="0"/>
        <v>01</v>
      </c>
      <c r="B28" s="149" t="s">
        <v>635</v>
      </c>
      <c r="C28" s="2952"/>
      <c r="D28" s="2952"/>
      <c r="E28" s="2952"/>
      <c r="F28" s="2952"/>
      <c r="G28" s="2952"/>
      <c r="H28" s="149"/>
      <c r="I28" s="1636" t="s">
        <v>1611</v>
      </c>
      <c r="J28" s="1275"/>
      <c r="K28" s="1409"/>
      <c r="L28" s="1637"/>
      <c r="M28" s="1409"/>
      <c r="N28" s="1637"/>
      <c r="O28" s="1640"/>
      <c r="P28" s="1644"/>
      <c r="Q28" s="1640"/>
      <c r="R28" s="1635"/>
      <c r="S28" s="609" t="s">
        <v>4119</v>
      </c>
      <c r="T28" s="610"/>
      <c r="U28" s="1137"/>
    </row>
    <row r="29" spans="1:21" ht="14.1" customHeight="1" thickBot="1" x14ac:dyDescent="0.3">
      <c r="A29" s="8" t="str">
        <f t="shared" si="0"/>
        <v>01</v>
      </c>
      <c r="B29" s="1437" t="s">
        <v>4120</v>
      </c>
      <c r="C29" s="149"/>
      <c r="D29" s="149"/>
      <c r="E29" s="149"/>
      <c r="F29" s="149"/>
      <c r="G29" s="149"/>
      <c r="H29" s="149"/>
      <c r="I29" s="1636"/>
      <c r="J29" s="1275"/>
      <c r="K29" s="1645">
        <f>SUM(K21:K28)</f>
        <v>0</v>
      </c>
      <c r="L29" s="1637"/>
      <c r="M29" s="1637"/>
      <c r="N29" s="1637"/>
      <c r="O29" s="1637"/>
      <c r="P29" s="1637"/>
      <c r="Q29" s="1637"/>
      <c r="R29" s="1635"/>
      <c r="S29" s="1646"/>
    </row>
    <row r="30" spans="1:21" ht="4.3499999999999996" customHeight="1" thickTop="1" x14ac:dyDescent="0.25">
      <c r="A30" s="8" t="str">
        <f t="shared" si="0"/>
        <v>01</v>
      </c>
      <c r="B30" s="149"/>
      <c r="C30" s="149"/>
      <c r="D30" s="149"/>
      <c r="E30" s="149"/>
      <c r="F30" s="149"/>
      <c r="G30" s="149"/>
      <c r="H30" s="149"/>
      <c r="I30" s="1636"/>
      <c r="J30" s="1275"/>
      <c r="K30" s="1637"/>
      <c r="L30" s="1134"/>
      <c r="M30" s="1134"/>
      <c r="N30" s="1134"/>
      <c r="O30" s="1134"/>
      <c r="P30" s="1134"/>
      <c r="Q30" s="1134"/>
      <c r="R30" s="149"/>
      <c r="S30" s="149"/>
    </row>
    <row r="31" spans="1:21" ht="15" customHeight="1" x14ac:dyDescent="0.25">
      <c r="A31" s="8" t="str">
        <f t="shared" si="0"/>
        <v>01</v>
      </c>
      <c r="B31" s="309"/>
      <c r="C31" s="1437"/>
      <c r="D31" s="149"/>
      <c r="E31" s="149"/>
      <c r="F31" s="149"/>
      <c r="G31" s="149"/>
      <c r="H31" s="149"/>
      <c r="I31" s="1636"/>
      <c r="J31" s="1275"/>
      <c r="K31" s="1637"/>
      <c r="L31" s="1134"/>
      <c r="M31" s="319"/>
      <c r="N31" s="1134"/>
      <c r="O31" s="1134"/>
      <c r="P31" s="1134"/>
      <c r="Q31" s="1134"/>
      <c r="R31" s="149"/>
      <c r="S31" s="149"/>
    </row>
    <row r="32" spans="1:21" ht="12.6" customHeight="1" x14ac:dyDescent="0.25">
      <c r="A32" s="8" t="str">
        <f t="shared" si="0"/>
        <v>01</v>
      </c>
      <c r="B32" s="149"/>
      <c r="C32" s="149"/>
      <c r="D32" s="149"/>
      <c r="E32" s="149"/>
      <c r="F32" s="149"/>
      <c r="G32" s="149"/>
      <c r="H32" s="149"/>
      <c r="I32" s="1273"/>
      <c r="J32" s="1633"/>
      <c r="K32" s="1637"/>
      <c r="L32" s="1134"/>
      <c r="M32" s="1639"/>
      <c r="N32" s="1134"/>
      <c r="O32" s="1134"/>
      <c r="P32" s="149"/>
      <c r="Q32" s="149"/>
      <c r="R32" s="149"/>
      <c r="S32" s="149"/>
    </row>
    <row r="33" spans="1:19" ht="12.6" customHeight="1" x14ac:dyDescent="0.25">
      <c r="A33" s="8" t="str">
        <f t="shared" ref="A33:A40" si="1">AgyIdx</f>
        <v>01</v>
      </c>
      <c r="B33" s="1091" t="s">
        <v>5532</v>
      </c>
      <c r="C33" s="149"/>
      <c r="D33" s="149"/>
      <c r="E33" s="149"/>
      <c r="F33" s="149"/>
      <c r="G33" s="149"/>
      <c r="H33" s="149"/>
      <c r="I33" s="1273"/>
      <c r="J33" s="1633"/>
      <c r="K33" s="1637"/>
      <c r="L33" s="1134"/>
      <c r="M33" s="1639"/>
      <c r="N33" s="1134"/>
      <c r="O33" s="1134"/>
      <c r="P33" s="149"/>
      <c r="Q33" s="149"/>
      <c r="R33" s="149"/>
      <c r="S33" s="149"/>
    </row>
    <row r="34" spans="1:19" ht="12.6" customHeight="1" x14ac:dyDescent="0.25">
      <c r="A34" s="8" t="str">
        <f t="shared" si="1"/>
        <v>01</v>
      </c>
      <c r="B34" s="1437"/>
      <c r="C34" s="1437"/>
      <c r="D34" s="149"/>
      <c r="E34" s="149"/>
      <c r="F34" s="149"/>
      <c r="G34" s="149"/>
      <c r="H34" s="149"/>
      <c r="I34" s="1273"/>
      <c r="J34" s="1633"/>
      <c r="K34" s="1637"/>
      <c r="L34" s="1134"/>
      <c r="M34" s="1639"/>
      <c r="N34" s="1134"/>
      <c r="O34" s="1134"/>
      <c r="P34" s="149"/>
      <c r="Q34" s="149"/>
      <c r="R34" s="149"/>
      <c r="S34" s="149"/>
    </row>
    <row r="35" spans="1:19" ht="12.6" customHeight="1" x14ac:dyDescent="0.25">
      <c r="A35" s="8" t="str">
        <f t="shared" si="1"/>
        <v>01</v>
      </c>
      <c r="B35" s="1091" t="s">
        <v>1288</v>
      </c>
      <c r="C35" s="1437"/>
      <c r="D35" s="149"/>
      <c r="E35" s="149"/>
      <c r="F35" s="149"/>
      <c r="G35" s="149"/>
      <c r="H35" s="149"/>
      <c r="I35" s="1273"/>
      <c r="J35" s="1633"/>
      <c r="K35" s="1637"/>
      <c r="L35" s="1134"/>
      <c r="M35" s="1637"/>
      <c r="N35" s="1134"/>
      <c r="O35" s="1134"/>
      <c r="P35" s="149"/>
      <c r="Q35" s="149"/>
      <c r="R35" s="149"/>
      <c r="S35" s="149"/>
    </row>
    <row r="36" spans="1:19" ht="12" customHeight="1" x14ac:dyDescent="0.25">
      <c r="A36" s="8" t="str">
        <f t="shared" si="1"/>
        <v>01</v>
      </c>
      <c r="B36" s="1091" t="s">
        <v>4121</v>
      </c>
      <c r="C36" s="1437"/>
      <c r="D36" s="1437"/>
      <c r="E36" s="1437"/>
      <c r="F36" s="1437"/>
      <c r="G36" s="1437"/>
      <c r="H36" s="149"/>
      <c r="I36" s="1642"/>
      <c r="J36" s="1275"/>
      <c r="K36" s="1637"/>
      <c r="L36" s="1273"/>
      <c r="M36" s="1637"/>
      <c r="N36" s="149"/>
      <c r="O36" s="1437"/>
      <c r="P36" s="149"/>
      <c r="Q36" s="149"/>
      <c r="R36" s="149"/>
      <c r="S36" s="149"/>
    </row>
    <row r="37" spans="1:19" x14ac:dyDescent="0.2">
      <c r="A37" s="8" t="str">
        <f t="shared" si="1"/>
        <v>01</v>
      </c>
      <c r="B37" s="1091" t="s">
        <v>4122</v>
      </c>
      <c r="C37" s="149"/>
      <c r="D37" s="149"/>
      <c r="E37" s="149"/>
      <c r="F37" s="149"/>
      <c r="G37" s="149"/>
      <c r="H37" s="149"/>
      <c r="I37" s="1133"/>
      <c r="J37" s="149"/>
      <c r="K37" s="1134"/>
      <c r="L37" s="149"/>
      <c r="M37" s="1134"/>
      <c r="N37" s="1134"/>
      <c r="O37" s="10"/>
      <c r="P37" s="1134"/>
      <c r="Q37" s="1134"/>
      <c r="R37" s="149"/>
      <c r="S37" s="149"/>
    </row>
    <row r="38" spans="1:19" ht="15" customHeight="1" x14ac:dyDescent="0.25">
      <c r="A38" s="8" t="str">
        <f t="shared" si="1"/>
        <v>01</v>
      </c>
      <c r="B38" s="324"/>
      <c r="C38" s="324"/>
      <c r="D38" s="324"/>
      <c r="E38" s="324"/>
      <c r="F38" s="324"/>
      <c r="G38" s="324"/>
      <c r="H38" s="324"/>
      <c r="I38" s="1642"/>
      <c r="K38" s="1637"/>
      <c r="L38" s="1437"/>
      <c r="M38" s="149"/>
      <c r="N38" s="149"/>
      <c r="O38" s="325"/>
      <c r="P38" s="325"/>
      <c r="Q38" s="325"/>
    </row>
    <row r="39" spans="1:19" x14ac:dyDescent="0.2">
      <c r="A39" s="8" t="str">
        <f t="shared" si="1"/>
        <v>01</v>
      </c>
      <c r="I39" s="1133"/>
      <c r="K39" s="1134"/>
      <c r="L39" s="10"/>
      <c r="M39" s="10"/>
      <c r="N39" s="10"/>
      <c r="P39" s="10"/>
      <c r="Q39" s="10"/>
    </row>
    <row r="40" spans="1:19" x14ac:dyDescent="0.2">
      <c r="A40" s="8" t="str">
        <f t="shared" si="1"/>
        <v>01</v>
      </c>
    </row>
    <row r="41" spans="1:19" ht="15" x14ac:dyDescent="0.2">
      <c r="A41" s="794"/>
      <c r="B41" s="794"/>
      <c r="K41" s="794"/>
    </row>
    <row r="42" spans="1:19" ht="15" x14ac:dyDescent="0.2">
      <c r="A42" s="794"/>
      <c r="B42" s="794" t="s">
        <v>4119</v>
      </c>
    </row>
    <row r="43" spans="1:19" ht="15" x14ac:dyDescent="0.2">
      <c r="A43" s="794"/>
      <c r="B43" s="794" t="s">
        <v>4119</v>
      </c>
    </row>
    <row r="44" spans="1:19" ht="15" x14ac:dyDescent="0.2">
      <c r="A44" s="794"/>
      <c r="B44" s="794" t="s">
        <v>4119</v>
      </c>
    </row>
    <row r="45" spans="1:19" ht="15" x14ac:dyDescent="0.2">
      <c r="A45" s="794"/>
      <c r="B45" s="794" t="s">
        <v>4119</v>
      </c>
    </row>
    <row r="46" spans="1:19" ht="15" x14ac:dyDescent="0.2">
      <c r="A46" s="794"/>
      <c r="B46" s="794" t="s">
        <v>4119</v>
      </c>
    </row>
    <row r="47" spans="1:19" ht="15" x14ac:dyDescent="0.2">
      <c r="A47" s="794"/>
      <c r="B47" s="794" t="s">
        <v>4119</v>
      </c>
    </row>
    <row r="48" spans="1:19" ht="15" x14ac:dyDescent="0.2">
      <c r="A48" s="794"/>
      <c r="B48" s="794" t="s">
        <v>4119</v>
      </c>
    </row>
    <row r="49" spans="1:2" ht="15" x14ac:dyDescent="0.2">
      <c r="A49" s="794"/>
      <c r="B49" s="794" t="s">
        <v>4119</v>
      </c>
    </row>
    <row r="50" spans="1:2" ht="15" x14ac:dyDescent="0.2">
      <c r="A50" s="794"/>
      <c r="B50" s="794" t="s">
        <v>4119</v>
      </c>
    </row>
    <row r="51" spans="1:2" ht="15" x14ac:dyDescent="0.2">
      <c r="A51" s="794"/>
      <c r="B51" s="794" t="s">
        <v>4119</v>
      </c>
    </row>
  </sheetData>
  <sheetProtection algorithmName="SHA-512" hashValue="zHyMYiWSeI4GGAT8uO0kV6FTPr9flxTckDbf5fL09cmtLK4n4vk/YplPEZP9Ra83ZpyIl/i0WnWaiJjgtCiw7Q==" saltValue="MYcqkconVodlA2U0ITOiAw==" spinCount="100000" sheet="1" objects="1" scenarios="1" autoFilter="0"/>
  <mergeCells count="15">
    <mergeCell ref="C26:G26"/>
    <mergeCell ref="C27:G27"/>
    <mergeCell ref="C28:G28"/>
    <mergeCell ref="K16:Q16"/>
    <mergeCell ref="M8:Q8"/>
    <mergeCell ref="M9:Q9"/>
    <mergeCell ref="E10:G10"/>
    <mergeCell ref="M10:Q10"/>
    <mergeCell ref="M11:Q11"/>
    <mergeCell ref="B4:R4"/>
    <mergeCell ref="B1:R1"/>
    <mergeCell ref="S1:S3"/>
    <mergeCell ref="U1:U3"/>
    <mergeCell ref="B2:R2"/>
    <mergeCell ref="B3:R3"/>
  </mergeCells>
  <conditionalFormatting sqref="S1:S3">
    <cfRule type="cellIs" dxfId="13" priority="2" stopIfTrue="1" operator="equal">
      <formula>"na"</formula>
    </cfRule>
  </conditionalFormatting>
  <conditionalFormatting sqref="U1:U3">
    <cfRule type="cellIs" dxfId="12" priority="1" stopIfTrue="1" operator="equal">
      <formula>"na"</formula>
    </cfRule>
  </conditionalFormatting>
  <hyperlinks>
    <hyperlink ref="B1:R1" location="Index!A1" display="Index!A1" xr:uid="{00000000-0004-0000-4800-000000000000}"/>
  </hyperlinks>
  <pageMargins left="0.7" right="0.7" top="0.75" bottom="0.75" header="0.3" footer="0.3"/>
  <pageSetup scale="96" orientation="portrait" r:id="rId1"/>
  <headerFooter>
    <oddFooter>&amp;R&amp;A</oddFooter>
  </headerFooter>
  <colBreaks count="1" manualBreakCount="1">
    <brk id="19"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1"/>
  <dimension ref="A1:J54"/>
  <sheetViews>
    <sheetView showGridLines="0" topLeftCell="A22" zoomScaleNormal="100" workbookViewId="0">
      <selection activeCell="V58" sqref="V58"/>
    </sheetView>
  </sheetViews>
  <sheetFormatPr defaultColWidth="9.42578125" defaultRowHeight="12.75" x14ac:dyDescent="0.2"/>
  <cols>
    <col min="10" max="10" width="9.5703125" customWidth="1"/>
  </cols>
  <sheetData>
    <row r="1" spans="1:10" ht="15.75" x14ac:dyDescent="0.25">
      <c r="A1" s="2379" t="str">
        <f>+Index!$A$1</f>
        <v xml:space="preserve">                                                               Office of the State Controller                                                                </v>
      </c>
      <c r="B1" s="2379"/>
      <c r="C1" s="2379"/>
      <c r="D1" s="2379"/>
      <c r="E1" s="2379"/>
      <c r="F1" s="2379"/>
      <c r="G1" s="2379"/>
      <c r="H1" s="2379"/>
      <c r="I1" s="2379"/>
      <c r="J1" s="2510" t="str">
        <f>IF(Index!$B$100="na","NA","")</f>
        <v/>
      </c>
    </row>
    <row r="2" spans="1:10" ht="15.75" x14ac:dyDescent="0.25">
      <c r="A2" s="2435" t="str">
        <f>+Index!$A$2</f>
        <v>2022 ACFR Worksheets</v>
      </c>
      <c r="B2" s="2435"/>
      <c r="C2" s="2435"/>
      <c r="D2" s="2435"/>
      <c r="E2" s="2435"/>
      <c r="F2" s="2435"/>
      <c r="G2" s="2435"/>
      <c r="H2" s="2435"/>
      <c r="I2" s="2435"/>
      <c r="J2" s="2510"/>
    </row>
    <row r="3" spans="1:10" ht="15.75" x14ac:dyDescent="0.25">
      <c r="A3" s="2436" t="s">
        <v>1075</v>
      </c>
      <c r="B3" s="2436"/>
      <c r="C3" s="2436"/>
      <c r="D3" s="2436"/>
      <c r="E3" s="2436"/>
      <c r="F3" s="2436"/>
      <c r="G3" s="2436"/>
      <c r="H3" s="2436"/>
      <c r="I3" s="2436"/>
      <c r="J3" s="2510"/>
    </row>
    <row r="4" spans="1:10" ht="15.75" x14ac:dyDescent="0.25">
      <c r="A4" s="2436" t="s">
        <v>4123</v>
      </c>
      <c r="B4" s="2436"/>
      <c r="C4" s="2436"/>
      <c r="D4" s="2436"/>
      <c r="E4" s="2436"/>
      <c r="F4" s="2436"/>
      <c r="G4" s="2436"/>
      <c r="H4" s="2436"/>
      <c r="I4" s="2436"/>
    </row>
    <row r="5" spans="1:10" x14ac:dyDescent="0.2">
      <c r="B5" s="454"/>
      <c r="C5" s="454"/>
      <c r="D5" s="454"/>
      <c r="E5" s="61"/>
      <c r="F5" s="454"/>
      <c r="G5" s="454"/>
      <c r="H5" s="454"/>
      <c r="I5" s="447"/>
    </row>
    <row r="6" spans="1:10" x14ac:dyDescent="0.2">
      <c r="A6" s="1643" t="s">
        <v>4154</v>
      </c>
      <c r="B6" s="454"/>
      <c r="C6" s="454"/>
      <c r="D6" s="454"/>
      <c r="E6" s="61"/>
      <c r="F6" s="454"/>
      <c r="G6" s="454"/>
      <c r="H6" s="454"/>
      <c r="I6" s="447"/>
    </row>
    <row r="7" spans="1:10" x14ac:dyDescent="0.2">
      <c r="A7" s="1643" t="s">
        <v>4155</v>
      </c>
      <c r="B7" s="454"/>
      <c r="C7" s="454"/>
      <c r="D7" s="454"/>
      <c r="E7" s="61"/>
      <c r="F7" s="454"/>
      <c r="G7" s="454"/>
      <c r="H7" s="454"/>
      <c r="I7" s="447"/>
    </row>
    <row r="8" spans="1:10" x14ac:dyDescent="0.2">
      <c r="A8" s="61"/>
      <c r="B8" s="1089"/>
      <c r="C8" s="1089"/>
      <c r="D8" s="451"/>
      <c r="E8" s="1345"/>
      <c r="F8" s="1335" t="s">
        <v>327</v>
      </c>
      <c r="G8" s="1336" t="str">
        <f>+Index!$E$10</f>
        <v>01</v>
      </c>
      <c r="H8" s="1337"/>
      <c r="I8" s="1337"/>
      <c r="J8" s="272"/>
    </row>
    <row r="9" spans="1:10" x14ac:dyDescent="0.2">
      <c r="A9" s="1089"/>
      <c r="B9" s="1089"/>
      <c r="C9" s="1089"/>
      <c r="D9" s="1089"/>
      <c r="E9" s="1333"/>
      <c r="F9" s="1335" t="s">
        <v>1154</v>
      </c>
      <c r="G9" s="1338" t="str">
        <f>AgyName</f>
        <v>North Carolina General Assembly</v>
      </c>
      <c r="H9" s="1339"/>
      <c r="I9" s="1339"/>
    </row>
    <row r="10" spans="1:10" x14ac:dyDescent="0.2">
      <c r="A10" s="2581" t="s">
        <v>3447</v>
      </c>
      <c r="B10" s="2581"/>
      <c r="C10" s="1334" t="s">
        <v>805</v>
      </c>
      <c r="E10" s="454"/>
      <c r="F10" s="1335" t="s">
        <v>972</v>
      </c>
      <c r="G10" s="1340" t="str">
        <f>CONCATENATE(Index!$E$12," ",Index!$E$14)</f>
        <v xml:space="preserve"> </v>
      </c>
      <c r="H10" s="1370"/>
      <c r="I10" s="1370"/>
    </row>
    <row r="11" spans="1:10" x14ac:dyDescent="0.2">
      <c r="A11" s="1333"/>
      <c r="B11" s="1333"/>
      <c r="C11" s="1345"/>
      <c r="D11" s="454"/>
      <c r="E11" s="454"/>
      <c r="F11" s="1335" t="s">
        <v>348</v>
      </c>
      <c r="G11" s="1340">
        <f>+Index!$E$13</f>
        <v>0</v>
      </c>
      <c r="H11" s="1370"/>
      <c r="I11" s="1370"/>
    </row>
    <row r="12" spans="1:10" ht="13.5" thickBot="1" x14ac:dyDescent="0.25">
      <c r="A12" s="1346"/>
      <c r="B12" s="1346"/>
      <c r="C12" s="1346"/>
      <c r="D12" s="1346"/>
      <c r="E12" s="1346"/>
      <c r="F12" s="1346"/>
      <c r="G12" s="1346"/>
      <c r="H12" s="1346"/>
      <c r="I12" s="1346"/>
      <c r="J12" s="838"/>
    </row>
    <row r="13" spans="1:10" ht="15" x14ac:dyDescent="0.25">
      <c r="A13" s="1341"/>
      <c r="B13" s="1341"/>
      <c r="C13" s="1341"/>
      <c r="D13" s="1341"/>
      <c r="E13" s="1341"/>
      <c r="F13" s="1341"/>
      <c r="G13" s="1341"/>
      <c r="H13" s="1341"/>
      <c r="I13" s="1341"/>
    </row>
    <row r="14" spans="1:10" x14ac:dyDescent="0.2">
      <c r="A14" s="1204" t="s">
        <v>4124</v>
      </c>
      <c r="B14" s="1204"/>
      <c r="C14" s="1204"/>
      <c r="D14" s="1204"/>
      <c r="E14" s="1204"/>
      <c r="F14" s="1204"/>
      <c r="G14" s="1204"/>
      <c r="H14" s="1204"/>
      <c r="I14" s="1204"/>
    </row>
    <row r="15" spans="1:10" x14ac:dyDescent="0.2">
      <c r="A15" s="1204" t="s">
        <v>4125</v>
      </c>
      <c r="B15" s="1204"/>
      <c r="C15" s="1204"/>
      <c r="D15" s="1204"/>
      <c r="E15" s="1204"/>
      <c r="F15" s="1204"/>
      <c r="G15" s="1204"/>
      <c r="H15" s="1204"/>
      <c r="I15" s="1204"/>
    </row>
    <row r="16" spans="1:10" x14ac:dyDescent="0.2">
      <c r="A16" s="1204"/>
      <c r="B16" s="1204"/>
      <c r="C16" s="1204"/>
      <c r="D16" s="1204"/>
      <c r="E16" s="1204"/>
      <c r="F16" s="1204"/>
      <c r="G16" s="1204"/>
      <c r="H16" s="1204"/>
      <c r="I16" s="1204"/>
    </row>
    <row r="17" spans="1:9" x14ac:dyDescent="0.2">
      <c r="A17" s="1204" t="s">
        <v>4126</v>
      </c>
      <c r="B17" s="1204"/>
      <c r="C17" s="1204"/>
      <c r="D17" s="1204"/>
      <c r="E17" s="1204"/>
      <c r="F17" s="1204"/>
      <c r="G17" s="1204"/>
      <c r="H17" s="1204"/>
      <c r="I17" s="1204"/>
    </row>
    <row r="18" spans="1:9" x14ac:dyDescent="0.2">
      <c r="A18" s="1426" t="s">
        <v>4127</v>
      </c>
      <c r="B18" s="1204"/>
      <c r="C18" s="1204"/>
      <c r="D18" s="1204"/>
      <c r="E18" s="1204"/>
      <c r="F18" s="1204"/>
      <c r="G18" s="1204"/>
      <c r="H18" s="1204"/>
      <c r="I18" s="1204"/>
    </row>
    <row r="19" spans="1:9" x14ac:dyDescent="0.2">
      <c r="A19" s="1426"/>
      <c r="B19" s="1204"/>
      <c r="C19" s="1204"/>
      <c r="D19" s="1204"/>
      <c r="E19" s="1204"/>
      <c r="F19" s="1204"/>
      <c r="G19" s="1204"/>
      <c r="H19" s="1204"/>
      <c r="I19" s="1204"/>
    </row>
    <row r="20" spans="1:9" ht="15.75" x14ac:dyDescent="0.25">
      <c r="A20" s="756" t="s">
        <v>4128</v>
      </c>
      <c r="B20" s="1204"/>
      <c r="C20" s="1204"/>
      <c r="D20" s="1204"/>
      <c r="E20" s="1204"/>
      <c r="F20" s="1204"/>
      <c r="G20" s="1204"/>
      <c r="H20" s="1204"/>
      <c r="I20" s="1204"/>
    </row>
    <row r="21" spans="1:9" ht="15.75" x14ac:dyDescent="0.25">
      <c r="A21" s="756"/>
      <c r="B21" s="1204"/>
      <c r="C21" s="1204"/>
      <c r="D21" s="1204"/>
      <c r="E21" s="1204"/>
      <c r="F21" s="1204"/>
      <c r="G21" s="1204"/>
      <c r="H21" s="1204"/>
      <c r="I21" s="1204"/>
    </row>
    <row r="22" spans="1:9" x14ac:dyDescent="0.2">
      <c r="A22" s="1204" t="s">
        <v>4129</v>
      </c>
      <c r="B22" s="1088"/>
      <c r="C22" s="1089"/>
      <c r="D22" s="1089"/>
      <c r="E22" s="1089"/>
      <c r="F22" s="1089"/>
      <c r="G22" s="1089"/>
      <c r="H22" s="1089"/>
      <c r="I22" s="1089"/>
    </row>
    <row r="23" spans="1:9" x14ac:dyDescent="0.2">
      <c r="A23" s="1204" t="s">
        <v>4130</v>
      </c>
      <c r="B23" s="1088"/>
      <c r="C23" s="1089"/>
      <c r="D23" s="1089"/>
      <c r="E23" s="1089"/>
      <c r="F23" s="1089"/>
      <c r="G23" s="1089"/>
      <c r="H23" s="1089"/>
      <c r="I23" s="1089"/>
    </row>
    <row r="24" spans="1:9" x14ac:dyDescent="0.2">
      <c r="A24" s="1647" t="s">
        <v>4131</v>
      </c>
      <c r="B24" s="1088"/>
      <c r="C24" s="1089"/>
      <c r="D24" s="1089"/>
      <c r="E24" s="1089"/>
      <c r="F24" s="1089"/>
      <c r="G24" s="1089"/>
      <c r="H24" s="1089"/>
      <c r="I24" s="1089"/>
    </row>
    <row r="25" spans="1:9" x14ac:dyDescent="0.2">
      <c r="A25" s="1493" t="s">
        <v>4738</v>
      </c>
      <c r="B25" s="1204"/>
      <c r="C25" s="1204"/>
      <c r="D25" s="272"/>
      <c r="E25" s="272"/>
      <c r="F25" s="272"/>
      <c r="G25" s="272"/>
      <c r="H25" s="272"/>
      <c r="I25" s="272"/>
    </row>
    <row r="26" spans="1:9" x14ac:dyDescent="0.2">
      <c r="A26" s="1493" t="s">
        <v>4739</v>
      </c>
      <c r="B26" s="1204"/>
      <c r="C26" s="1204"/>
      <c r="D26" s="272"/>
      <c r="E26" s="272"/>
      <c r="F26" s="272"/>
      <c r="G26" s="272"/>
      <c r="H26" s="272"/>
      <c r="I26" s="272"/>
    </row>
    <row r="27" spans="1:9" x14ac:dyDescent="0.2">
      <c r="A27" s="1493" t="s">
        <v>4740</v>
      </c>
      <c r="B27" s="1204"/>
      <c r="C27" s="1204"/>
      <c r="D27" s="272"/>
      <c r="E27" s="272"/>
      <c r="F27" s="272"/>
      <c r="G27" s="272"/>
      <c r="H27" s="272"/>
      <c r="I27" s="272"/>
    </row>
    <row r="28" spans="1:9" x14ac:dyDescent="0.2">
      <c r="A28" s="1493" t="s">
        <v>4741</v>
      </c>
      <c r="B28" s="1204"/>
      <c r="C28" s="1204"/>
      <c r="D28" s="272"/>
      <c r="E28" s="272"/>
      <c r="F28" s="272"/>
      <c r="G28" s="272"/>
      <c r="H28" s="272"/>
      <c r="I28" s="272"/>
    </row>
    <row r="29" spans="1:9" x14ac:dyDescent="0.2">
      <c r="A29" s="1493" t="s">
        <v>4742</v>
      </c>
      <c r="B29" s="1204"/>
      <c r="C29" s="1204"/>
      <c r="D29" s="272"/>
      <c r="E29" s="272"/>
      <c r="F29" s="272"/>
      <c r="G29" s="272"/>
      <c r="H29" s="272"/>
      <c r="I29" s="272"/>
    </row>
    <row r="30" spans="1:9" x14ac:dyDescent="0.2">
      <c r="A30" s="1204"/>
      <c r="B30" s="1204"/>
      <c r="C30" s="1204"/>
      <c r="D30" s="272"/>
      <c r="E30" s="272"/>
      <c r="F30" s="272"/>
      <c r="G30" s="272"/>
      <c r="H30" s="272"/>
      <c r="I30" s="272"/>
    </row>
    <row r="31" spans="1:9" x14ac:dyDescent="0.2">
      <c r="A31" s="1204" t="s">
        <v>4132</v>
      </c>
      <c r="B31" s="1204"/>
      <c r="C31" s="1204"/>
      <c r="D31" s="272"/>
      <c r="E31" s="272"/>
      <c r="F31" s="272"/>
      <c r="G31" s="272"/>
      <c r="H31" s="272"/>
      <c r="I31" s="272"/>
    </row>
    <row r="32" spans="1:9" x14ac:dyDescent="0.2">
      <c r="A32" s="1204" t="s">
        <v>4133</v>
      </c>
      <c r="B32" s="1204"/>
      <c r="C32" s="1204"/>
      <c r="D32" s="272"/>
      <c r="E32" s="272"/>
      <c r="F32" s="272"/>
      <c r="G32" s="272"/>
      <c r="H32" s="272"/>
      <c r="I32" s="272"/>
    </row>
    <row r="33" spans="1:9" x14ac:dyDescent="0.2">
      <c r="A33" s="1204"/>
      <c r="B33" s="1204"/>
      <c r="C33" s="1090" t="s">
        <v>969</v>
      </c>
      <c r="D33" s="1369"/>
      <c r="E33" s="272"/>
      <c r="F33" s="272"/>
      <c r="G33" s="272"/>
      <c r="H33" s="272"/>
      <c r="I33" s="272"/>
    </row>
    <row r="34" spans="1:9" x14ac:dyDescent="0.2">
      <c r="A34" s="1204"/>
      <c r="B34" s="1204"/>
      <c r="C34" s="1090" t="s">
        <v>970</v>
      </c>
      <c r="D34" s="1369"/>
      <c r="E34" s="272"/>
      <c r="F34" s="272"/>
      <c r="G34" s="272"/>
      <c r="H34" s="272"/>
      <c r="I34" s="272"/>
    </row>
    <row r="35" spans="1:9" x14ac:dyDescent="0.2">
      <c r="A35" s="1089"/>
      <c r="B35" s="1204"/>
      <c r="C35" s="1204"/>
      <c r="D35" s="272"/>
      <c r="E35" s="272"/>
      <c r="F35" s="272"/>
      <c r="G35" s="272"/>
      <c r="H35" s="272"/>
      <c r="I35" s="272"/>
    </row>
    <row r="36" spans="1:9" x14ac:dyDescent="0.2">
      <c r="A36" s="1344" t="s">
        <v>1955</v>
      </c>
      <c r="B36" s="1204"/>
      <c r="C36" s="1204"/>
      <c r="D36" s="272"/>
      <c r="E36" s="272"/>
      <c r="F36" s="272"/>
      <c r="G36" s="272"/>
      <c r="H36" s="272"/>
      <c r="I36" s="272"/>
    </row>
    <row r="37" spans="1:9" x14ac:dyDescent="0.2">
      <c r="A37" s="1204" t="s">
        <v>5525</v>
      </c>
      <c r="B37" s="1204"/>
      <c r="C37" s="1204"/>
      <c r="D37" s="272"/>
      <c r="E37" s="272"/>
      <c r="F37" s="272"/>
      <c r="G37" s="272"/>
      <c r="H37" s="272"/>
      <c r="I37" s="272"/>
    </row>
    <row r="38" spans="1:9" x14ac:dyDescent="0.2">
      <c r="A38" s="1089"/>
      <c r="B38" s="1204"/>
      <c r="C38" s="1204"/>
      <c r="D38" s="272"/>
      <c r="E38" s="272"/>
      <c r="F38" s="272"/>
      <c r="G38" s="272"/>
      <c r="H38" s="272"/>
      <c r="I38" s="272"/>
    </row>
    <row r="39" spans="1:9" ht="15.75" x14ac:dyDescent="0.25">
      <c r="A39" s="756" t="s">
        <v>4134</v>
      </c>
      <c r="B39" s="1204"/>
      <c r="C39" s="1204"/>
      <c r="D39" s="272"/>
      <c r="E39" s="272"/>
      <c r="F39" s="272"/>
      <c r="G39" s="272"/>
      <c r="H39" s="272"/>
      <c r="I39" s="272"/>
    </row>
    <row r="40" spans="1:9" x14ac:dyDescent="0.2">
      <c r="A40" s="1089"/>
      <c r="B40" s="1204"/>
      <c r="C40" s="1204"/>
      <c r="D40" s="272"/>
      <c r="E40" s="272"/>
      <c r="F40" s="272"/>
      <c r="G40" s="272"/>
      <c r="H40" s="272"/>
      <c r="I40" s="272"/>
    </row>
    <row r="41" spans="1:9" x14ac:dyDescent="0.2">
      <c r="A41" s="1089" t="s">
        <v>4135</v>
      </c>
      <c r="B41" s="1204"/>
      <c r="C41" s="1204"/>
      <c r="D41" s="272"/>
      <c r="E41" s="272"/>
      <c r="F41" s="272"/>
      <c r="G41" s="272"/>
      <c r="H41" s="272"/>
      <c r="I41" s="272"/>
    </row>
    <row r="42" spans="1:9" x14ac:dyDescent="0.2">
      <c r="A42" s="1089" t="s">
        <v>4136</v>
      </c>
      <c r="B42" s="1204"/>
      <c r="C42" s="1204"/>
      <c r="D42" s="272"/>
      <c r="E42" s="272"/>
      <c r="F42" s="272"/>
      <c r="G42" s="272"/>
      <c r="H42" s="272"/>
      <c r="I42" s="272"/>
    </row>
    <row r="43" spans="1:9" x14ac:dyDescent="0.2">
      <c r="B43" s="1088"/>
      <c r="C43" s="1089"/>
      <c r="D43" s="1089"/>
      <c r="E43" s="1089"/>
      <c r="F43" s="1089"/>
      <c r="G43" s="1089"/>
      <c r="H43" s="1089"/>
      <c r="I43" s="1089"/>
    </row>
    <row r="44" spans="1:9" x14ac:dyDescent="0.2">
      <c r="A44" s="1204" t="s">
        <v>4137</v>
      </c>
      <c r="B44" s="1088"/>
      <c r="C44" s="1089"/>
      <c r="D44" s="1089"/>
      <c r="E44" s="1089"/>
      <c r="F44" s="1089"/>
      <c r="G44" s="1089"/>
      <c r="H44" s="1089"/>
      <c r="I44" s="1089"/>
    </row>
    <row r="45" spans="1:9" x14ac:dyDescent="0.2">
      <c r="A45" s="1204" t="s">
        <v>4138</v>
      </c>
      <c r="B45" s="1088"/>
      <c r="C45" s="1089"/>
      <c r="D45" s="1089"/>
      <c r="E45" s="1089"/>
      <c r="F45" s="1089"/>
      <c r="G45" s="1089"/>
      <c r="H45" s="1089"/>
      <c r="I45" s="1089"/>
    </row>
    <row r="46" spans="1:9" x14ac:dyDescent="0.2">
      <c r="A46" s="1204" t="s">
        <v>4139</v>
      </c>
      <c r="B46" s="1088"/>
      <c r="C46" s="1089"/>
      <c r="D46" s="1089"/>
      <c r="E46" s="1089"/>
      <c r="F46" s="1089"/>
      <c r="G46" s="1089"/>
      <c r="H46" s="1089"/>
      <c r="I46" s="1089"/>
    </row>
    <row r="47" spans="1:9" x14ac:dyDescent="0.2">
      <c r="A47" s="1204" t="s">
        <v>4140</v>
      </c>
      <c r="B47" s="1088"/>
      <c r="C47" s="1089"/>
      <c r="D47" s="1089"/>
      <c r="E47" s="1089"/>
      <c r="F47" s="1089"/>
      <c r="G47" s="1089"/>
      <c r="H47" s="1089"/>
      <c r="I47" s="1089"/>
    </row>
    <row r="48" spans="1:9" x14ac:dyDescent="0.2">
      <c r="A48" s="1088"/>
      <c r="B48" s="1088"/>
      <c r="C48" s="1090" t="s">
        <v>969</v>
      </c>
      <c r="D48" s="1369"/>
      <c r="E48" s="1089"/>
      <c r="F48" s="1089"/>
      <c r="G48" s="1089"/>
      <c r="H48" s="1089"/>
      <c r="I48" s="1089"/>
    </row>
    <row r="49" spans="1:9" x14ac:dyDescent="0.2">
      <c r="A49" s="1088"/>
      <c r="B49" s="1088"/>
      <c r="C49" s="1090" t="s">
        <v>970</v>
      </c>
      <c r="D49" s="1369"/>
      <c r="E49" s="1089"/>
      <c r="F49" s="1089"/>
      <c r="G49" s="1089"/>
      <c r="H49" s="1089"/>
      <c r="I49" s="1089"/>
    </row>
    <row r="50" spans="1:9" x14ac:dyDescent="0.2">
      <c r="A50" s="1088"/>
      <c r="B50" s="1088"/>
      <c r="C50" s="1089"/>
      <c r="D50" s="1089"/>
      <c r="E50" s="1089"/>
      <c r="F50" s="1089"/>
      <c r="G50" s="1089"/>
      <c r="H50" s="1089"/>
      <c r="I50" s="1089"/>
    </row>
    <row r="51" spans="1:9" ht="15.75" x14ac:dyDescent="0.25">
      <c r="A51" s="1344" t="s">
        <v>1955</v>
      </c>
      <c r="B51" s="1088"/>
      <c r="C51" s="63"/>
      <c r="D51" s="63"/>
      <c r="E51" s="1089"/>
      <c r="F51" s="1089"/>
      <c r="G51" s="1089"/>
      <c r="H51" s="1089"/>
      <c r="I51" s="1089"/>
    </row>
    <row r="52" spans="1:9" x14ac:dyDescent="0.2">
      <c r="A52" s="1204" t="s">
        <v>5525</v>
      </c>
      <c r="B52" s="1089"/>
      <c r="C52" s="1089"/>
      <c r="D52" s="1089"/>
      <c r="E52" s="1089"/>
      <c r="F52" s="1089"/>
      <c r="G52" s="1089"/>
      <c r="H52" s="1089"/>
      <c r="I52" s="1089"/>
    </row>
    <row r="53" spans="1:9" x14ac:dyDescent="0.2">
      <c r="A53" s="1088"/>
      <c r="B53" s="1088"/>
      <c r="C53" s="1089"/>
      <c r="D53" s="1089"/>
      <c r="E53" s="1089"/>
      <c r="F53" s="1089"/>
      <c r="G53" s="1089"/>
      <c r="H53" s="1089"/>
      <c r="I53" s="1089"/>
    </row>
    <row r="54" spans="1:9" x14ac:dyDescent="0.2">
      <c r="A54" s="61"/>
      <c r="B54" s="273"/>
      <c r="C54" s="273"/>
      <c r="D54" s="273"/>
      <c r="E54" s="273"/>
      <c r="F54" s="273"/>
      <c r="G54" s="273"/>
      <c r="H54" s="273"/>
      <c r="I54" s="1089"/>
    </row>
  </sheetData>
  <sheetProtection algorithmName="SHA-512" hashValue="+V3kB+9ddXXaCkjvHvKDUq52fwn5Wmj16QP15d7AcGSknzyHFvEo91okL5A8B3NmDJvQCiUdufLVL/qZuFVRRQ==" saltValue="aK6+U42y2F4uyOwkVZfVFQ==" spinCount="100000" sheet="1" objects="1" scenarios="1" autoFilter="0"/>
  <mergeCells count="6">
    <mergeCell ref="A10:B10"/>
    <mergeCell ref="A1:I1"/>
    <mergeCell ref="J1:J3"/>
    <mergeCell ref="A2:I2"/>
    <mergeCell ref="A3:I3"/>
    <mergeCell ref="A4:I4"/>
  </mergeCells>
  <conditionalFormatting sqref="J1:J3">
    <cfRule type="cellIs" dxfId="11" priority="1" stopIfTrue="1" operator="equal">
      <formula>"na"</formula>
    </cfRule>
  </conditionalFormatting>
  <hyperlinks>
    <hyperlink ref="A1:I1" location="Index!A1" display="Index!A1" xr:uid="{00000000-0004-0000-4900-000000000000}"/>
    <hyperlink ref="A18" r:id="rId1" xr:uid="{00000000-0004-0000-4900-000001000000}"/>
  </hyperlinks>
  <pageMargins left="0.7" right="0.7" top="0.75" bottom="0.75" header="0.3" footer="0.3"/>
  <pageSetup scale="88" orientation="portrait" r:id="rId2"/>
  <headerFooter>
    <oddFooter xml:space="preserve">&amp;R&amp;A </oddFooter>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2">
    <tabColor theme="4" tint="0.59999389629810485"/>
    <pageSetUpPr fitToPage="1"/>
  </sheetPr>
  <dimension ref="A1:S272"/>
  <sheetViews>
    <sheetView zoomScaleNormal="100" zoomScaleSheetLayoutView="100" workbookViewId="0">
      <selection activeCell="O24" sqref="O24"/>
    </sheetView>
  </sheetViews>
  <sheetFormatPr defaultRowHeight="12.75" x14ac:dyDescent="0.2"/>
  <cols>
    <col min="1" max="1" width="5.5703125" customWidth="1"/>
    <col min="2" max="2" width="11" customWidth="1"/>
    <col min="3" max="3" width="7.5703125" customWidth="1"/>
    <col min="4" max="4" width="19.42578125" customWidth="1"/>
    <col min="5" max="5" width="13.42578125" customWidth="1"/>
    <col min="6" max="6" width="18.5703125" style="649" customWidth="1"/>
    <col min="7" max="7" width="4.5703125" customWidth="1"/>
    <col min="8" max="8" width="3.5703125" customWidth="1"/>
    <col min="9" max="9" width="18.5703125" customWidth="1"/>
    <col min="10" max="10" width="3.42578125" customWidth="1"/>
    <col min="11" max="11" width="21.28515625" customWidth="1"/>
    <col min="12" max="12" width="13.42578125" style="2128" bestFit="1" customWidth="1"/>
    <col min="15" max="15" width="12.85546875" customWidth="1"/>
  </cols>
  <sheetData>
    <row r="1" spans="1:19" ht="25.15" customHeight="1" x14ac:dyDescent="0.25">
      <c r="A1" s="2449" t="str">
        <f>+Index!$A$1</f>
        <v xml:space="preserve">                                                               Office of the State Controller                                                                </v>
      </c>
      <c r="B1" s="2449"/>
      <c r="C1" s="2449"/>
      <c r="D1" s="2449"/>
      <c r="E1" s="2449"/>
      <c r="F1" s="2449"/>
      <c r="G1" s="2449"/>
      <c r="H1" s="818" t="str">
        <f>IF(Index!$B$101="na", "NA", "")</f>
        <v/>
      </c>
      <c r="I1" s="1317"/>
      <c r="J1" s="622"/>
      <c r="K1" s="622"/>
      <c r="L1" s="2130"/>
      <c r="M1" s="622"/>
      <c r="N1" s="622"/>
      <c r="O1" s="2174" t="s">
        <v>5104</v>
      </c>
      <c r="P1" s="2174" t="str">
        <f>IFERROR(VLOOKUP(C5,FCCSent,2,FALSE),"")</f>
        <v/>
      </c>
      <c r="Q1" s="2194" t="s">
        <v>5105</v>
      </c>
      <c r="R1" s="622"/>
    </row>
    <row r="2" spans="1:19" ht="16.5" x14ac:dyDescent="0.3">
      <c r="A2" s="2431" t="str">
        <f>+Index!$A$2</f>
        <v>2022 ACFR Worksheets</v>
      </c>
      <c r="B2" s="2431"/>
      <c r="C2" s="2431"/>
      <c r="D2" s="2431"/>
      <c r="E2" s="2431"/>
      <c r="F2" s="2431"/>
      <c r="G2" s="2431"/>
      <c r="H2" s="818"/>
      <c r="I2" s="623"/>
      <c r="J2" s="623"/>
      <c r="K2" s="632"/>
      <c r="L2" s="2195"/>
      <c r="M2" s="632"/>
      <c r="N2" s="632"/>
      <c r="O2" s="2174" t="s">
        <v>5106</v>
      </c>
      <c r="P2" s="2174" t="str">
        <f>VLOOKUP(C5,FCCSnum,2,FALSE)</f>
        <v>0100</v>
      </c>
      <c r="Q2" s="632"/>
      <c r="R2" s="632"/>
    </row>
    <row r="3" spans="1:19" ht="49.5" customHeight="1" x14ac:dyDescent="0.3">
      <c r="A3" s="2975" t="s">
        <v>4716</v>
      </c>
      <c r="B3" s="2975"/>
      <c r="C3" s="2975"/>
      <c r="D3" s="2975"/>
      <c r="E3" s="2975"/>
      <c r="F3" s="2975"/>
      <c r="G3" s="2975"/>
      <c r="H3" s="623"/>
      <c r="I3" s="623"/>
      <c r="J3" s="623"/>
      <c r="K3" s="632"/>
      <c r="L3" s="2195"/>
      <c r="M3" s="632"/>
      <c r="N3" s="632"/>
      <c r="O3" s="632"/>
      <c r="P3" s="632"/>
      <c r="Q3" s="632"/>
      <c r="R3" s="632"/>
    </row>
    <row r="4" spans="1:19" ht="15.75" customHeight="1" x14ac:dyDescent="0.2">
      <c r="A4" s="2932"/>
      <c r="B4" s="2932"/>
      <c r="C4" s="2932"/>
      <c r="D4" s="2932"/>
      <c r="E4" s="2932"/>
      <c r="F4" s="2932"/>
      <c r="G4" s="2932"/>
      <c r="H4" s="2932"/>
      <c r="I4" s="2932"/>
    </row>
    <row r="5" spans="1:19" s="200" customFormat="1" ht="21.75" customHeight="1" x14ac:dyDescent="0.25">
      <c r="A5" s="200" t="s">
        <v>327</v>
      </c>
      <c r="C5" s="636" t="str">
        <f>+Index!$E$10</f>
        <v>01</v>
      </c>
      <c r="D5" s="1488"/>
      <c r="E5" s="799" t="s">
        <v>972</v>
      </c>
      <c r="F5" s="2977" t="str">
        <f>+CONCATENATE(Index!$E$12," ",Index!$E$14)</f>
        <v xml:space="preserve"> </v>
      </c>
      <c r="G5" s="2977"/>
      <c r="K5" s="633"/>
      <c r="L5" s="2196"/>
      <c r="S5" s="199"/>
    </row>
    <row r="6" spans="1:19" s="200" customFormat="1" ht="15" customHeight="1" x14ac:dyDescent="0.2">
      <c r="A6" s="200" t="s">
        <v>1154</v>
      </c>
      <c r="C6" s="2973" t="str">
        <f>+Index!$E$11</f>
        <v>North Carolina General Assembly</v>
      </c>
      <c r="D6" s="2973"/>
      <c r="E6" s="800" t="s">
        <v>348</v>
      </c>
      <c r="F6" s="2978">
        <f>+Index!$E$13</f>
        <v>0</v>
      </c>
      <c r="G6" s="2978"/>
      <c r="K6" s="634"/>
      <c r="L6" s="2197"/>
      <c r="M6" s="634"/>
      <c r="N6" s="634"/>
      <c r="O6" s="634"/>
      <c r="P6" s="634"/>
      <c r="Q6" s="634"/>
      <c r="R6" s="201"/>
      <c r="S6" s="199"/>
    </row>
    <row r="7" spans="1:19" s="200" customFormat="1" ht="15" customHeight="1" x14ac:dyDescent="0.2">
      <c r="A7" s="200" t="s">
        <v>477</v>
      </c>
      <c r="C7" s="1047" t="e">
        <f>INDEX(NetAssetsData,MATCH('905'!$C$5,NetAssetsDataRow,0),4)</f>
        <v>#N/A</v>
      </c>
      <c r="F7" s="801"/>
      <c r="L7" s="2196"/>
      <c r="S7" s="199"/>
    </row>
    <row r="8" spans="1:19" s="124" customFormat="1" ht="48.75" customHeight="1" x14ac:dyDescent="0.2">
      <c r="A8" s="2979" t="s">
        <v>4039</v>
      </c>
      <c r="B8" s="2980"/>
      <c r="C8" s="2980"/>
      <c r="D8" s="2980"/>
      <c r="E8" s="2980"/>
      <c r="F8" s="2980"/>
      <c r="G8" s="2980"/>
      <c r="H8" s="2980"/>
      <c r="I8" s="2981"/>
      <c r="L8" s="2127"/>
    </row>
    <row r="9" spans="1:19" x14ac:dyDescent="0.2">
      <c r="A9" s="200"/>
      <c r="F9" s="1247" t="s">
        <v>1828</v>
      </c>
      <c r="I9" s="38"/>
    </row>
    <row r="10" spans="1:19" x14ac:dyDescent="0.2">
      <c r="B10" s="2976" t="s">
        <v>1891</v>
      </c>
      <c r="C10" s="2976"/>
      <c r="D10" s="2976"/>
      <c r="E10" s="2976"/>
      <c r="G10" s="14"/>
      <c r="I10" s="1229" t="s">
        <v>1819</v>
      </c>
      <c r="L10" s="2198" t="s">
        <v>5107</v>
      </c>
    </row>
    <row r="11" spans="1:19" x14ac:dyDescent="0.2">
      <c r="B11" s="783" t="s">
        <v>628</v>
      </c>
      <c r="C11" s="783"/>
      <c r="F11" s="1087" t="str">
        <f>TEXT(Data!$A$2,"mmmm d,yyyy")</f>
        <v>June 30,2022</v>
      </c>
      <c r="G11" s="982"/>
      <c r="I11" s="1087" t="str">
        <f>TEXT(Data!$A$4,"mmmm d,yyyy")</f>
        <v>June 30,2021</v>
      </c>
    </row>
    <row r="12" spans="1:19" x14ac:dyDescent="0.2">
      <c r="A12" s="2" t="s">
        <v>3585</v>
      </c>
      <c r="B12" s="784" t="s">
        <v>629</v>
      </c>
      <c r="C12" s="784"/>
      <c r="G12" s="820"/>
    </row>
    <row r="13" spans="1:19" x14ac:dyDescent="0.2">
      <c r="A13" s="335">
        <v>1000</v>
      </c>
      <c r="B13" s="2876" t="s">
        <v>630</v>
      </c>
      <c r="C13" s="2876"/>
      <c r="D13" s="2876"/>
      <c r="E13" s="2876"/>
      <c r="F13" s="658">
        <v>0</v>
      </c>
      <c r="G13" s="14"/>
      <c r="I13" s="650" t="e">
        <f>INDEX(PY905Data,MATCH($A13,PY905Row,0),MATCH($C$5,PY905Col,0))</f>
        <v>#N/A</v>
      </c>
      <c r="L13" s="2194">
        <v>11111000</v>
      </c>
    </row>
    <row r="14" spans="1:19" x14ac:dyDescent="0.2">
      <c r="A14" s="335">
        <v>1010</v>
      </c>
      <c r="B14" s="2876" t="s">
        <v>1419</v>
      </c>
      <c r="C14" s="2876"/>
      <c r="D14" s="2876"/>
      <c r="E14" s="2876"/>
      <c r="F14" s="659">
        <v>0</v>
      </c>
      <c r="I14" s="649" t="e">
        <f>INDEX(PY905Data,MATCH($A14,PY905Row,0),MATCH($C$5,PY905Col,0))</f>
        <v>#N/A</v>
      </c>
      <c r="L14" s="2128">
        <v>11121000</v>
      </c>
    </row>
    <row r="15" spans="1:19" x14ac:dyDescent="0.2">
      <c r="A15" s="335">
        <v>1050</v>
      </c>
      <c r="B15" s="2876" t="s">
        <v>425</v>
      </c>
      <c r="C15" s="2876"/>
      <c r="D15" s="2876"/>
      <c r="E15" s="2876"/>
      <c r="F15" s="659">
        <v>0</v>
      </c>
      <c r="G15" s="14"/>
      <c r="I15" s="649" t="e">
        <f>INDEX(PY905Data,MATCH($A15,PY905Row,0),MATCH($C$5,PY905Col,0))</f>
        <v>#N/A</v>
      </c>
      <c r="L15" s="2128">
        <v>11210100</v>
      </c>
    </row>
    <row r="16" spans="1:19" x14ac:dyDescent="0.2">
      <c r="A16" s="335">
        <v>1060</v>
      </c>
      <c r="B16" s="2876" t="s">
        <v>1223</v>
      </c>
      <c r="C16" s="2876"/>
      <c r="D16" s="2876"/>
      <c r="E16" s="2876"/>
      <c r="F16" s="844">
        <v>0</v>
      </c>
      <c r="G16" s="821"/>
      <c r="I16" s="649" t="e">
        <f>INDEX(PY905Data,MATCH($A16,PY905Row,0),MATCH($C$5,PY905Col,0))</f>
        <v>#N/A</v>
      </c>
      <c r="L16" s="2128">
        <v>11221000</v>
      </c>
    </row>
    <row r="17" spans="1:12" x14ac:dyDescent="0.2">
      <c r="A17" s="335">
        <v>1090</v>
      </c>
      <c r="B17" s="2964" t="s">
        <v>1421</v>
      </c>
      <c r="C17" s="2964"/>
      <c r="D17" s="2964"/>
      <c r="E17" s="2964"/>
      <c r="F17" s="844">
        <v>0</v>
      </c>
      <c r="G17" s="1719" t="e">
        <f>IF(AND(ABS(F17)&gt;=1,$C$7="4XXX"),"Universities do not record securities lending collateral for CAFR"," ")</f>
        <v>#N/A</v>
      </c>
      <c r="I17" s="649" t="e">
        <f>INDEX(PY905Data,MATCH($A17,PY905Row,0),MATCH($C$5,PY905Col,0))</f>
        <v>#N/A</v>
      </c>
      <c r="L17" s="2128">
        <v>11230000</v>
      </c>
    </row>
    <row r="18" spans="1:12" x14ac:dyDescent="0.2">
      <c r="A18" s="335"/>
      <c r="B18" s="335" t="s">
        <v>198</v>
      </c>
      <c r="C18" s="335"/>
      <c r="I18" s="649"/>
    </row>
    <row r="19" spans="1:12" x14ac:dyDescent="0.2">
      <c r="A19" s="335">
        <v>1110</v>
      </c>
      <c r="B19" s="2969" t="s">
        <v>199</v>
      </c>
      <c r="C19" s="2969"/>
      <c r="D19" s="2969"/>
      <c r="E19" s="2969"/>
      <c r="F19" s="659">
        <v>0</v>
      </c>
      <c r="I19" s="649" t="e">
        <f t="shared" ref="I19:I36" si="0">INDEX(PY905Data,MATCH($A19,PY905Row,0),MATCH($C$5,PY905Col,0))</f>
        <v>#N/A</v>
      </c>
      <c r="L19" s="2128">
        <v>11320000</v>
      </c>
    </row>
    <row r="20" spans="1:12" x14ac:dyDescent="0.2">
      <c r="A20" s="335">
        <v>1120</v>
      </c>
      <c r="B20" s="2969" t="s">
        <v>312</v>
      </c>
      <c r="C20" s="2969"/>
      <c r="D20" s="2969"/>
      <c r="E20" s="2969"/>
      <c r="F20" s="659">
        <v>0</v>
      </c>
      <c r="I20" s="649" t="e">
        <f t="shared" si="0"/>
        <v>#N/A</v>
      </c>
      <c r="L20" s="2128">
        <v>11341000</v>
      </c>
    </row>
    <row r="21" spans="1:12" x14ac:dyDescent="0.2">
      <c r="A21" s="335">
        <v>1130</v>
      </c>
      <c r="B21" s="2969" t="s">
        <v>200</v>
      </c>
      <c r="C21" s="2969"/>
      <c r="D21" s="2969"/>
      <c r="E21" s="2969"/>
      <c r="F21" s="659">
        <v>0</v>
      </c>
      <c r="I21" s="649" t="e">
        <f t="shared" si="0"/>
        <v>#N/A</v>
      </c>
      <c r="L21" s="2128">
        <v>11351000</v>
      </c>
    </row>
    <row r="22" spans="1:12" x14ac:dyDescent="0.2">
      <c r="A22" s="335">
        <v>1160</v>
      </c>
      <c r="B22" s="2969" t="s">
        <v>637</v>
      </c>
      <c r="C22" s="2969"/>
      <c r="D22" s="2969"/>
      <c r="E22" s="2969"/>
      <c r="F22" s="659">
        <v>0</v>
      </c>
      <c r="I22" s="649" t="e">
        <f t="shared" si="0"/>
        <v>#N/A</v>
      </c>
      <c r="L22" s="2128">
        <v>11336000</v>
      </c>
    </row>
    <row r="23" spans="1:12" x14ac:dyDescent="0.2">
      <c r="A23" s="335">
        <v>1175</v>
      </c>
      <c r="B23" s="2876" t="s">
        <v>4965</v>
      </c>
      <c r="C23" s="2876"/>
      <c r="D23" s="2876"/>
      <c r="E23" s="2876"/>
      <c r="F23" s="1036">
        <f>'535'!H34</f>
        <v>0</v>
      </c>
      <c r="I23" s="649" t="e">
        <f t="shared" si="0"/>
        <v>#N/A</v>
      </c>
      <c r="K23" s="1844"/>
      <c r="L23" s="2128">
        <v>11450100</v>
      </c>
    </row>
    <row r="24" spans="1:12" x14ac:dyDescent="0.2">
      <c r="A24" s="1129">
        <v>1190</v>
      </c>
      <c r="B24" s="2964" t="s">
        <v>1484</v>
      </c>
      <c r="C24" s="2964"/>
      <c r="D24" s="2964"/>
      <c r="E24" s="2964"/>
      <c r="F24" s="1036">
        <f>'525'!H24</f>
        <v>0</v>
      </c>
      <c r="G24" t="str">
        <f>IF(F24='525'!H24, " ", "Problem: Must agree to ws 525 total  Due frm St of NC Comp Unit")</f>
        <v xml:space="preserve"> </v>
      </c>
      <c r="I24" s="649" t="e">
        <f t="shared" si="0"/>
        <v>#N/A</v>
      </c>
      <c r="L24" s="1610">
        <v>11470000</v>
      </c>
    </row>
    <row r="25" spans="1:12" x14ac:dyDescent="0.2">
      <c r="A25" s="1129">
        <v>1195</v>
      </c>
      <c r="B25" s="2964" t="s">
        <v>4261</v>
      </c>
      <c r="C25" s="2964"/>
      <c r="D25" s="2964"/>
      <c r="E25" s="2964"/>
      <c r="F25" s="1036">
        <f>'616'!D30</f>
        <v>0</v>
      </c>
      <c r="G25" t="str">
        <f>IF(F25='616'!D30, " ", "Problem: Must agree to ws 616 total  Due from Agency/Institution Comp Unit")</f>
        <v xml:space="preserve"> </v>
      </c>
      <c r="H25" s="14"/>
      <c r="I25" s="649" t="e">
        <f t="shared" si="0"/>
        <v>#N/A</v>
      </c>
      <c r="L25" s="2128">
        <v>11480000</v>
      </c>
    </row>
    <row r="26" spans="1:12" x14ac:dyDescent="0.2">
      <c r="A26" s="1129">
        <v>1200</v>
      </c>
      <c r="B26" s="2964" t="s">
        <v>1485</v>
      </c>
      <c r="C26" s="2964"/>
      <c r="D26" s="2964"/>
      <c r="E26" s="2964"/>
      <c r="F26" s="1036">
        <f>'515'!H25</f>
        <v>0</v>
      </c>
      <c r="G26" t="str">
        <f>IF(F26='515'!H25, " ", "Problem: Must agree to ws 515 total  Due from Primary Government")</f>
        <v xml:space="preserve"> </v>
      </c>
      <c r="I26" s="649" t="e">
        <f t="shared" si="0"/>
        <v>#N/A</v>
      </c>
      <c r="L26" s="1610">
        <v>11460000</v>
      </c>
    </row>
    <row r="27" spans="1:12" x14ac:dyDescent="0.2">
      <c r="A27" s="335">
        <v>1220</v>
      </c>
      <c r="B27" s="2968" t="s">
        <v>931</v>
      </c>
      <c r="C27" s="2968"/>
      <c r="D27" s="2968"/>
      <c r="E27" s="2968"/>
      <c r="F27" s="659">
        <v>0</v>
      </c>
      <c r="I27" s="649" t="e">
        <f t="shared" si="0"/>
        <v>#N/A</v>
      </c>
      <c r="L27" s="2128">
        <v>11611000</v>
      </c>
    </row>
    <row r="28" spans="1:12" x14ac:dyDescent="0.2">
      <c r="A28" s="335">
        <v>1230</v>
      </c>
      <c r="B28" s="2876" t="s">
        <v>631</v>
      </c>
      <c r="C28" s="2876"/>
      <c r="D28" s="2876"/>
      <c r="E28" s="2876"/>
      <c r="F28" s="659">
        <v>0</v>
      </c>
      <c r="I28" s="649" t="e">
        <f t="shared" si="0"/>
        <v>#N/A</v>
      </c>
      <c r="L28" s="2128">
        <v>11910000</v>
      </c>
    </row>
    <row r="29" spans="1:12" x14ac:dyDescent="0.2">
      <c r="A29" s="335">
        <v>1210</v>
      </c>
      <c r="B29" s="2876" t="s">
        <v>549</v>
      </c>
      <c r="C29" s="2876"/>
      <c r="D29" s="2876"/>
      <c r="E29" s="2876"/>
      <c r="F29" s="659">
        <v>0</v>
      </c>
      <c r="I29" s="649" t="e">
        <f t="shared" si="0"/>
        <v>#N/A</v>
      </c>
      <c r="L29" s="2128">
        <v>11510000</v>
      </c>
    </row>
    <row r="30" spans="1:12" x14ac:dyDescent="0.2">
      <c r="A30" s="335">
        <v>1211</v>
      </c>
      <c r="B30" s="2974" t="s">
        <v>5505</v>
      </c>
      <c r="C30" s="2974"/>
      <c r="D30" s="2974"/>
      <c r="E30" s="2974"/>
      <c r="F30" s="659">
        <v>0</v>
      </c>
      <c r="I30" s="649" t="e">
        <f t="shared" si="0"/>
        <v>#N/A</v>
      </c>
      <c r="K30" s="1844" t="s">
        <v>5663</v>
      </c>
      <c r="L30" s="2225">
        <v>11530000</v>
      </c>
    </row>
    <row r="31" spans="1:12" x14ac:dyDescent="0.2">
      <c r="A31" s="335">
        <v>1020</v>
      </c>
      <c r="B31" s="2876" t="s">
        <v>641</v>
      </c>
      <c r="C31" s="2876"/>
      <c r="D31" s="2876"/>
      <c r="E31" s="2876"/>
      <c r="F31" s="659">
        <v>0</v>
      </c>
      <c r="I31" s="649" t="e">
        <f t="shared" si="0"/>
        <v>#N/A</v>
      </c>
      <c r="L31" s="2193" t="s">
        <v>5108</v>
      </c>
    </row>
    <row r="32" spans="1:12" x14ac:dyDescent="0.2">
      <c r="A32" s="335">
        <v>1030</v>
      </c>
      <c r="B32" s="2876" t="s">
        <v>1420</v>
      </c>
      <c r="C32" s="2876"/>
      <c r="D32" s="2876"/>
      <c r="E32" s="2876"/>
      <c r="F32" s="659">
        <v>0</v>
      </c>
      <c r="I32" s="649" t="e">
        <f t="shared" si="0"/>
        <v>#N/A</v>
      </c>
      <c r="L32" s="2193" t="s">
        <v>5109</v>
      </c>
    </row>
    <row r="33" spans="1:12" x14ac:dyDescent="0.2">
      <c r="A33" s="335">
        <v>1070</v>
      </c>
      <c r="B33" s="2876" t="s">
        <v>426</v>
      </c>
      <c r="C33" s="2876"/>
      <c r="D33" s="2876"/>
      <c r="E33" s="2876"/>
      <c r="F33" s="659">
        <v>0</v>
      </c>
      <c r="I33" s="649" t="e">
        <f t="shared" si="0"/>
        <v>#N/A</v>
      </c>
      <c r="L33" s="2128">
        <v>11212500</v>
      </c>
    </row>
    <row r="34" spans="1:12" x14ac:dyDescent="0.2">
      <c r="A34" s="335">
        <v>1232</v>
      </c>
      <c r="B34" s="2876" t="s">
        <v>1346</v>
      </c>
      <c r="C34" s="2876"/>
      <c r="D34" s="2876"/>
      <c r="E34" s="2876"/>
      <c r="F34" s="659">
        <v>0</v>
      </c>
      <c r="I34" s="649" t="e">
        <f t="shared" si="0"/>
        <v>#N/A</v>
      </c>
      <c r="L34" s="2128">
        <v>11970000</v>
      </c>
    </row>
    <row r="35" spans="1:12" x14ac:dyDescent="0.2">
      <c r="A35" s="335">
        <v>1235</v>
      </c>
      <c r="B35" s="2876" t="s">
        <v>4445</v>
      </c>
      <c r="C35" s="2876"/>
      <c r="D35" s="2876"/>
      <c r="E35" s="2876"/>
      <c r="F35" s="659">
        <v>0</v>
      </c>
      <c r="I35" s="649" t="e">
        <f t="shared" si="0"/>
        <v>#N/A</v>
      </c>
      <c r="K35" s="1610"/>
      <c r="L35" s="2128">
        <v>11491000</v>
      </c>
    </row>
    <row r="36" spans="1:12" x14ac:dyDescent="0.2">
      <c r="A36" s="335">
        <v>1233</v>
      </c>
      <c r="B36" s="2876" t="s">
        <v>4441</v>
      </c>
      <c r="C36" s="2876"/>
      <c r="D36" s="2876"/>
      <c r="E36" s="2876"/>
      <c r="F36" s="659">
        <v>0</v>
      </c>
      <c r="I36" s="649" t="e">
        <f t="shared" si="0"/>
        <v>#N/A</v>
      </c>
      <c r="K36" s="1610"/>
      <c r="L36" s="2128">
        <v>11978000</v>
      </c>
    </row>
    <row r="37" spans="1:12" x14ac:dyDescent="0.2">
      <c r="B37" s="2876" t="s">
        <v>424</v>
      </c>
      <c r="C37" s="2876"/>
      <c r="D37" s="2876"/>
      <c r="E37" s="2876"/>
      <c r="F37" s="661">
        <f>SUM(F12:F36)</f>
        <v>0</v>
      </c>
      <c r="I37" s="661" t="e">
        <f>SUM(I12:I36)</f>
        <v>#N/A</v>
      </c>
      <c r="K37" s="1610"/>
    </row>
    <row r="39" spans="1:12" x14ac:dyDescent="0.2">
      <c r="B39" s="784" t="s">
        <v>640</v>
      </c>
    </row>
    <row r="40" spans="1:12" x14ac:dyDescent="0.2">
      <c r="A40" s="335">
        <v>1300</v>
      </c>
      <c r="B40" s="2876" t="s">
        <v>425</v>
      </c>
      <c r="C40" s="2876"/>
      <c r="D40" s="2876"/>
      <c r="E40" s="2876"/>
      <c r="F40" s="659">
        <v>0</v>
      </c>
      <c r="I40" s="649" t="e">
        <f>INDEX(PY905Data,MATCH($A40,PY905Row,0),MATCH($C$5,PY905Col,0))</f>
        <v>#N/A</v>
      </c>
      <c r="L40" s="2128">
        <v>12210100</v>
      </c>
    </row>
    <row r="41" spans="1:12" x14ac:dyDescent="0.2">
      <c r="A41" s="335">
        <v>1310</v>
      </c>
      <c r="B41" s="2876" t="s">
        <v>1223</v>
      </c>
      <c r="C41" s="2876"/>
      <c r="D41" s="2876"/>
      <c r="E41" s="2876"/>
      <c r="F41" s="844">
        <v>0</v>
      </c>
      <c r="G41" s="335"/>
      <c r="I41" s="649" t="e">
        <f>INDEX(PY905Data,MATCH($A41,PY905Row,0),MATCH($C$5,PY905Col,0))</f>
        <v>#N/A</v>
      </c>
      <c r="L41" s="2128">
        <v>12212200</v>
      </c>
    </row>
    <row r="42" spans="1:12" x14ac:dyDescent="0.2">
      <c r="A42" s="335"/>
      <c r="B42" s="335" t="s">
        <v>198</v>
      </c>
      <c r="C42" s="335"/>
      <c r="I42" s="649"/>
    </row>
    <row r="43" spans="1:12" x14ac:dyDescent="0.2">
      <c r="A43" s="335">
        <v>1340</v>
      </c>
      <c r="B43" s="2969" t="s">
        <v>199</v>
      </c>
      <c r="C43" s="2969"/>
      <c r="D43" s="2969"/>
      <c r="E43" s="2969"/>
      <c r="F43" s="659">
        <v>0</v>
      </c>
      <c r="I43" s="649" t="e">
        <f t="shared" ref="I43:I53" si="1">INDEX(PY905Data,MATCH($A43,PY905Row,0),MATCH($C$5,PY905Col,0))</f>
        <v>#N/A</v>
      </c>
      <c r="L43" s="2128">
        <v>12320000</v>
      </c>
    </row>
    <row r="44" spans="1:12" hidden="1" x14ac:dyDescent="0.2">
      <c r="A44" s="335">
        <v>1345</v>
      </c>
      <c r="B44" s="2969" t="s">
        <v>312</v>
      </c>
      <c r="C44" s="2969"/>
      <c r="D44" s="2969"/>
      <c r="E44" s="2969"/>
      <c r="F44" s="659">
        <v>0</v>
      </c>
      <c r="G44" s="821"/>
      <c r="I44" s="649" t="e">
        <f t="shared" si="1"/>
        <v>#N/A</v>
      </c>
      <c r="L44" s="2192"/>
    </row>
    <row r="45" spans="1:12" x14ac:dyDescent="0.2">
      <c r="A45" s="335">
        <v>1350</v>
      </c>
      <c r="B45" s="2969" t="s">
        <v>200</v>
      </c>
      <c r="C45" s="2969"/>
      <c r="D45" s="2969"/>
      <c r="E45" s="2969"/>
      <c r="F45" s="659">
        <v>0</v>
      </c>
      <c r="I45" s="649" t="e">
        <f t="shared" si="1"/>
        <v>#N/A</v>
      </c>
      <c r="L45" s="2128">
        <v>12351000</v>
      </c>
    </row>
    <row r="46" spans="1:12" x14ac:dyDescent="0.2">
      <c r="A46" s="335">
        <v>1370</v>
      </c>
      <c r="B46" s="2969" t="s">
        <v>637</v>
      </c>
      <c r="C46" s="2969"/>
      <c r="D46" s="2969"/>
      <c r="E46" s="2969"/>
      <c r="F46" s="659">
        <v>0</v>
      </c>
      <c r="I46" s="649" t="e">
        <f t="shared" si="1"/>
        <v>#N/A</v>
      </c>
      <c r="L46" s="2128">
        <v>12336000</v>
      </c>
    </row>
    <row r="47" spans="1:12" x14ac:dyDescent="0.2">
      <c r="A47" s="335">
        <v>1400</v>
      </c>
      <c r="B47" s="2876" t="s">
        <v>549</v>
      </c>
      <c r="C47" s="2876"/>
      <c r="D47" s="2876"/>
      <c r="E47" s="2876"/>
      <c r="F47" s="659">
        <v>0</v>
      </c>
      <c r="I47" s="649" t="e">
        <f t="shared" si="1"/>
        <v>#N/A</v>
      </c>
      <c r="L47" s="2128">
        <v>12510000</v>
      </c>
    </row>
    <row r="48" spans="1:12" x14ac:dyDescent="0.2">
      <c r="A48" s="335">
        <v>1401</v>
      </c>
      <c r="B48" s="2974" t="s">
        <v>5505</v>
      </c>
      <c r="C48" s="2974"/>
      <c r="D48" s="2974"/>
      <c r="E48" s="2974"/>
      <c r="F48" s="659">
        <v>0</v>
      </c>
      <c r="I48" s="649" t="e">
        <f t="shared" si="1"/>
        <v>#N/A</v>
      </c>
      <c r="K48" s="1844" t="s">
        <v>5663</v>
      </c>
      <c r="L48" s="2225">
        <v>12530000</v>
      </c>
    </row>
    <row r="49" spans="1:12" x14ac:dyDescent="0.2">
      <c r="A49" s="335">
        <v>1415</v>
      </c>
      <c r="B49" s="2876" t="s">
        <v>1417</v>
      </c>
      <c r="C49" s="2876"/>
      <c r="D49" s="2876"/>
      <c r="E49" s="2876"/>
      <c r="F49" s="659">
        <v>0</v>
      </c>
      <c r="G49" s="14"/>
      <c r="I49" s="649" t="e">
        <f t="shared" si="1"/>
        <v>#N/A</v>
      </c>
      <c r="L49" s="2128">
        <v>12950000</v>
      </c>
    </row>
    <row r="50" spans="1:12" x14ac:dyDescent="0.2">
      <c r="A50" s="335">
        <v>1420</v>
      </c>
      <c r="B50" s="2876" t="s">
        <v>631</v>
      </c>
      <c r="C50" s="2876"/>
      <c r="D50" s="2876"/>
      <c r="E50" s="2876"/>
      <c r="F50" s="659">
        <v>0</v>
      </c>
      <c r="I50" s="649" t="e">
        <f t="shared" si="1"/>
        <v>#N/A</v>
      </c>
      <c r="L50" s="2128">
        <v>12910000</v>
      </c>
    </row>
    <row r="51" spans="1:12" x14ac:dyDescent="0.2">
      <c r="A51" s="335">
        <v>1270</v>
      </c>
      <c r="B51" s="2876" t="s">
        <v>641</v>
      </c>
      <c r="C51" s="2876"/>
      <c r="D51" s="2876"/>
      <c r="E51" s="2876"/>
      <c r="F51" s="659">
        <v>0</v>
      </c>
      <c r="I51" s="649" t="e">
        <f t="shared" si="1"/>
        <v>#N/A</v>
      </c>
      <c r="L51" s="2128">
        <v>12111000</v>
      </c>
    </row>
    <row r="52" spans="1:12" x14ac:dyDescent="0.2">
      <c r="A52" s="335">
        <v>1280</v>
      </c>
      <c r="B52" s="2876" t="s">
        <v>1422</v>
      </c>
      <c r="C52" s="2876"/>
      <c r="D52" s="2876"/>
      <c r="E52" s="2876"/>
      <c r="F52" s="659">
        <v>0</v>
      </c>
      <c r="I52" s="649" t="e">
        <f t="shared" si="1"/>
        <v>#N/A</v>
      </c>
      <c r="L52" s="2128">
        <v>12122000</v>
      </c>
    </row>
    <row r="53" spans="1:12" x14ac:dyDescent="0.2">
      <c r="A53" s="335">
        <v>1410</v>
      </c>
      <c r="B53" s="2876" t="s">
        <v>426</v>
      </c>
      <c r="C53" s="2876"/>
      <c r="D53" s="2876"/>
      <c r="E53" s="2876"/>
      <c r="F53" s="659">
        <v>0</v>
      </c>
      <c r="I53" s="649" t="e">
        <f t="shared" si="1"/>
        <v>#N/A</v>
      </c>
      <c r="L53" s="2128">
        <v>12212500</v>
      </c>
    </row>
    <row r="54" spans="1:12" hidden="1" x14ac:dyDescent="0.2">
      <c r="A54" s="335"/>
      <c r="B54" s="2876" t="s">
        <v>1296</v>
      </c>
      <c r="C54" s="2876"/>
      <c r="D54" s="2876"/>
      <c r="E54" s="2876"/>
      <c r="F54" s="844">
        <v>0</v>
      </c>
      <c r="G54" s="821"/>
      <c r="I54" s="649"/>
      <c r="L54" s="2192"/>
    </row>
    <row r="55" spans="1:12" x14ac:dyDescent="0.2">
      <c r="A55" s="1129">
        <v>1395</v>
      </c>
      <c r="B55" s="2876" t="s">
        <v>1486</v>
      </c>
      <c r="C55" s="2876"/>
      <c r="D55" s="2876"/>
      <c r="E55" s="2876"/>
      <c r="F55" s="1036">
        <f>'525'!H33</f>
        <v>0</v>
      </c>
      <c r="G55" t="str">
        <f>IF(F55='525'!H33, " ", "Problem: Must agree to ws 525 total  Restricted due frm St of NC Comp Unit")</f>
        <v xml:space="preserve"> </v>
      </c>
      <c r="I55" s="649" t="e">
        <f>INDEX(PY905Data,MATCH($A55,PY905Row,0),MATCH($C$5,PY905Col,0))</f>
        <v>#N/A</v>
      </c>
      <c r="L55" s="1610">
        <v>12420000</v>
      </c>
    </row>
    <row r="56" spans="1:12" x14ac:dyDescent="0.2">
      <c r="A56" s="1129">
        <v>1390</v>
      </c>
      <c r="B56" s="2876" t="s">
        <v>1487</v>
      </c>
      <c r="C56" s="2876"/>
      <c r="D56" s="2876"/>
      <c r="E56" s="2876"/>
      <c r="F56" s="1036">
        <f>'515'!H31</f>
        <v>0</v>
      </c>
      <c r="G56" t="str">
        <f>IF(F56='515'!H31, " ", "Problem: Must agree to ws 515 total Restricted Due from Primary Govt")</f>
        <v xml:space="preserve"> </v>
      </c>
      <c r="I56" s="649" t="e">
        <f>INDEX(PY905Data,MATCH($A56,PY905Row,0),MATCH($C$5,PY905Col,0))</f>
        <v>#N/A</v>
      </c>
      <c r="L56" s="1610">
        <v>12410000</v>
      </c>
    </row>
    <row r="57" spans="1:12" x14ac:dyDescent="0.2">
      <c r="A57" s="335">
        <v>1432</v>
      </c>
      <c r="B57" s="2876" t="s">
        <v>1346</v>
      </c>
      <c r="C57" s="2876"/>
      <c r="D57" s="2876"/>
      <c r="E57" s="2876"/>
      <c r="F57" s="659">
        <v>0</v>
      </c>
      <c r="I57" s="649" t="e">
        <f>INDEX(PY905Data,MATCH($A57,PY905Row,0),MATCH($C$5,PY905Col,0))</f>
        <v>#N/A</v>
      </c>
      <c r="L57" s="2128">
        <v>12970000</v>
      </c>
    </row>
    <row r="58" spans="1:12" x14ac:dyDescent="0.2">
      <c r="A58" s="335">
        <v>1434</v>
      </c>
      <c r="B58" s="2876" t="s">
        <v>4445</v>
      </c>
      <c r="C58" s="2876"/>
      <c r="D58" s="2876"/>
      <c r="E58" s="2876"/>
      <c r="F58" s="659">
        <v>0</v>
      </c>
      <c r="I58" s="649" t="e">
        <f>INDEX(PY905Data,MATCH($A58,PY905Row,0),MATCH($C$5,PY905Col,0))</f>
        <v>#N/A</v>
      </c>
      <c r="K58" s="1610"/>
      <c r="L58" s="2128">
        <v>12491000</v>
      </c>
    </row>
    <row r="59" spans="1:12" x14ac:dyDescent="0.2">
      <c r="A59" s="335">
        <v>1433</v>
      </c>
      <c r="B59" s="2876" t="s">
        <v>4441</v>
      </c>
      <c r="C59" s="2876"/>
      <c r="D59" s="2876"/>
      <c r="E59" s="2876"/>
      <c r="F59" s="659">
        <v>0</v>
      </c>
      <c r="I59" s="649" t="e">
        <f>INDEX(PY905Data,MATCH($A59,PY905Row,0),MATCH($C$5,PY905Col,0))</f>
        <v>#N/A</v>
      </c>
      <c r="K59" s="1610"/>
      <c r="L59" s="2128">
        <v>12978000</v>
      </c>
    </row>
    <row r="60" spans="1:12" ht="10.5" customHeight="1" x14ac:dyDescent="0.2">
      <c r="A60" s="335"/>
      <c r="B60" s="2558" t="s">
        <v>1414</v>
      </c>
      <c r="C60" s="2558"/>
      <c r="D60" s="2558"/>
      <c r="E60" s="2558"/>
      <c r="I60" s="649"/>
    </row>
    <row r="61" spans="1:12" x14ac:dyDescent="0.2">
      <c r="A61" s="1129">
        <v>1480</v>
      </c>
      <c r="B61" s="2969" t="s">
        <v>1488</v>
      </c>
      <c r="C61" s="2969"/>
      <c r="D61" s="2969"/>
      <c r="E61" s="2969"/>
      <c r="F61" s="1036">
        <f>'201'!T20</f>
        <v>0</v>
      </c>
      <c r="G61" s="14" t="str">
        <f>IF(F61='201'!T20," ","Problem:Must agree to worksheet 201 - complete the 201 worksheet first")</f>
        <v xml:space="preserve"> </v>
      </c>
      <c r="I61" s="649" t="e">
        <f t="shared" ref="I61:I66" si="2">INDEX(PY905Data,MATCH($A61,PY905Row,0),MATCH($C$5,PY905Col,0))</f>
        <v>#N/A</v>
      </c>
    </row>
    <row r="62" spans="1:12" x14ac:dyDescent="0.2">
      <c r="A62" s="1129">
        <v>1490</v>
      </c>
      <c r="B62" s="2969" t="s">
        <v>1489</v>
      </c>
      <c r="C62" s="2969"/>
      <c r="D62" s="2969"/>
      <c r="E62" s="2969"/>
      <c r="F62" s="1036">
        <f>'201'!T21</f>
        <v>0</v>
      </c>
      <c r="G62" s="14" t="str">
        <f>IF(F62='201'!T21," ","Problem:Must agree to worksheet 201")</f>
        <v xml:space="preserve"> </v>
      </c>
      <c r="I62" s="649" t="e">
        <f t="shared" si="2"/>
        <v>#N/A</v>
      </c>
    </row>
    <row r="63" spans="1:12" x14ac:dyDescent="0.2">
      <c r="A63" s="1129">
        <v>1500</v>
      </c>
      <c r="B63" s="2969" t="s">
        <v>1490</v>
      </c>
      <c r="C63" s="2969"/>
      <c r="D63" s="2969"/>
      <c r="E63" s="2969"/>
      <c r="F63" s="1036">
        <f>'201'!T22</f>
        <v>0</v>
      </c>
      <c r="G63" s="14" t="str">
        <f>IF(F63='201'!T22," ","Problem:Must agree to worksheet 201")</f>
        <v xml:space="preserve"> </v>
      </c>
      <c r="I63" s="649" t="e">
        <f t="shared" si="2"/>
        <v>#N/A</v>
      </c>
    </row>
    <row r="64" spans="1:12" x14ac:dyDescent="0.2">
      <c r="A64" s="1129">
        <v>1503</v>
      </c>
      <c r="B64" s="2969" t="s">
        <v>1491</v>
      </c>
      <c r="C64" s="2969"/>
      <c r="D64" s="2969"/>
      <c r="E64" s="2969"/>
      <c r="F64" s="1036">
        <f>'201'!T23</f>
        <v>0</v>
      </c>
      <c r="G64" s="14" t="str">
        <f>IF(F64='201'!T23," ","Problem:Must agree to worksheet 201")</f>
        <v xml:space="preserve"> </v>
      </c>
      <c r="I64" s="649" t="e">
        <f t="shared" si="2"/>
        <v>#N/A</v>
      </c>
    </row>
    <row r="65" spans="1:11" x14ac:dyDescent="0.2">
      <c r="A65" s="1129">
        <v>1505</v>
      </c>
      <c r="B65" s="2969" t="s">
        <v>1492</v>
      </c>
      <c r="C65" s="2969"/>
      <c r="D65" s="2969"/>
      <c r="E65" s="2969"/>
      <c r="F65" s="1036">
        <f>'201'!T24</f>
        <v>0</v>
      </c>
      <c r="G65" s="14" t="str">
        <f>IF(F65='201'!T24," ","Problem:Must agree to worksheet 201")</f>
        <v xml:space="preserve"> </v>
      </c>
      <c r="I65" s="649" t="e">
        <f t="shared" si="2"/>
        <v>#N/A</v>
      </c>
    </row>
    <row r="66" spans="1:11" x14ac:dyDescent="0.2">
      <c r="A66" s="1129">
        <v>1506</v>
      </c>
      <c r="B66" s="2969" t="s">
        <v>1808</v>
      </c>
      <c r="C66" s="2969"/>
      <c r="D66" s="2969"/>
      <c r="E66" s="2969"/>
      <c r="F66" s="1036">
        <f>'201'!T25</f>
        <v>0</v>
      </c>
      <c r="G66" s="14" t="str">
        <f>IF(F66='201'!T25," ","Problem:Must agree to worksheet 201")</f>
        <v xml:space="preserve"> </v>
      </c>
      <c r="I66" s="649" t="e">
        <f t="shared" si="2"/>
        <v>#N/A</v>
      </c>
      <c r="J66" s="272"/>
    </row>
    <row r="67" spans="1:11" ht="12" customHeight="1" x14ac:dyDescent="0.2">
      <c r="A67" s="335"/>
      <c r="B67" s="2876" t="s">
        <v>1415</v>
      </c>
      <c r="C67" s="2876"/>
      <c r="D67" s="2876"/>
      <c r="E67" s="2876"/>
      <c r="F67" s="661">
        <f>SUM(F61:F66)</f>
        <v>0</v>
      </c>
      <c r="G67" s="14"/>
      <c r="I67" s="661" t="e">
        <f>SUM(I61:I66)</f>
        <v>#N/A</v>
      </c>
      <c r="J67" s="272"/>
    </row>
    <row r="68" spans="1:11" ht="10.5" customHeight="1" x14ac:dyDescent="0.2">
      <c r="A68" s="335"/>
      <c r="B68" s="2558" t="s">
        <v>419</v>
      </c>
      <c r="C68" s="2558"/>
      <c r="D68" s="2558"/>
      <c r="E68" s="2558"/>
    </row>
    <row r="69" spans="1:11" x14ac:dyDescent="0.2">
      <c r="A69" s="1129">
        <v>1520</v>
      </c>
      <c r="B69" s="2969" t="s">
        <v>1493</v>
      </c>
      <c r="C69" s="2969"/>
      <c r="D69" s="2969"/>
      <c r="E69" s="2969"/>
      <c r="F69" s="1036">
        <f>'201'!T27</f>
        <v>0</v>
      </c>
      <c r="G69" s="14" t="str">
        <f>IF(F69='201'!T27," ","Problem:Must agree to worksheet 201")</f>
        <v xml:space="preserve"> </v>
      </c>
      <c r="I69" s="649" t="e">
        <f t="shared" ref="I69:I80" si="3">INDEX(PY905Data,MATCH($A69,PY905Row,0),MATCH($C$5,PY905Col,0))</f>
        <v>#N/A</v>
      </c>
    </row>
    <row r="70" spans="1:11" x14ac:dyDescent="0.2">
      <c r="A70" s="1129">
        <v>1530</v>
      </c>
      <c r="B70" s="2969" t="s">
        <v>1494</v>
      </c>
      <c r="C70" s="2969"/>
      <c r="D70" s="2969"/>
      <c r="E70" s="2969"/>
      <c r="F70" s="1036">
        <f>'201'!T28</f>
        <v>0</v>
      </c>
      <c r="G70" s="14" t="str">
        <f>IF(F70='201'!T28," ","Problem:Must agree to worksheet 201")</f>
        <v xml:space="preserve"> </v>
      </c>
      <c r="I70" s="649" t="e">
        <f t="shared" si="3"/>
        <v>#N/A</v>
      </c>
    </row>
    <row r="71" spans="1:11" x14ac:dyDescent="0.2">
      <c r="A71" s="1129">
        <v>1540</v>
      </c>
      <c r="B71" s="2969" t="s">
        <v>1495</v>
      </c>
      <c r="C71" s="2969"/>
      <c r="D71" s="2969"/>
      <c r="E71" s="2969"/>
      <c r="F71" s="1036">
        <f>'201'!T29</f>
        <v>0</v>
      </c>
      <c r="G71" s="14" t="str">
        <f>IF(F71='201'!T29," ","Problem:Must agree to worksheet 201")</f>
        <v xml:space="preserve"> </v>
      </c>
      <c r="I71" s="649" t="e">
        <f t="shared" si="3"/>
        <v>#N/A</v>
      </c>
    </row>
    <row r="72" spans="1:11" x14ac:dyDescent="0.2">
      <c r="A72" s="1129">
        <v>1550</v>
      </c>
      <c r="B72" s="2969" t="s">
        <v>1496</v>
      </c>
      <c r="C72" s="2969"/>
      <c r="D72" s="2969"/>
      <c r="E72" s="2969"/>
      <c r="F72" s="1036">
        <f>'201'!T30</f>
        <v>0</v>
      </c>
      <c r="G72" s="14" t="str">
        <f>IF(F72='201'!T30," ","Problem:Must agree to worksheet 201")</f>
        <v xml:space="preserve"> </v>
      </c>
      <c r="I72" s="649" t="e">
        <f t="shared" si="3"/>
        <v>#N/A</v>
      </c>
    </row>
    <row r="73" spans="1:11" x14ac:dyDescent="0.2">
      <c r="A73" s="1129">
        <v>1481</v>
      </c>
      <c r="B73" s="2982" t="s">
        <v>5509</v>
      </c>
      <c r="C73" s="2982"/>
      <c r="D73" s="2982"/>
      <c r="E73" s="2982"/>
      <c r="F73" s="1036">
        <f>'201'!T37</f>
        <v>0</v>
      </c>
      <c r="G73" s="14" t="str">
        <f>IF(F73='201'!T37," ","Problem:Must agree to worksheet 201")</f>
        <v xml:space="preserve"> </v>
      </c>
      <c r="I73" s="649" t="e">
        <f t="shared" si="3"/>
        <v>#N/A</v>
      </c>
      <c r="K73" s="1844" t="s">
        <v>5663</v>
      </c>
    </row>
    <row r="74" spans="1:11" x14ac:dyDescent="0.2">
      <c r="A74" s="1129">
        <v>1521</v>
      </c>
      <c r="B74" s="2982" t="s">
        <v>5508</v>
      </c>
      <c r="C74" s="2982"/>
      <c r="D74" s="2982"/>
      <c r="E74" s="2982"/>
      <c r="F74" s="1036">
        <f>'201'!T38</f>
        <v>0</v>
      </c>
      <c r="G74" s="14" t="str">
        <f>IF(F74='201'!T38," ","Problem:Must agree to worksheet 201")</f>
        <v xml:space="preserve"> </v>
      </c>
      <c r="I74" s="649" t="e">
        <f t="shared" si="3"/>
        <v>#N/A</v>
      </c>
      <c r="K74" s="1844" t="s">
        <v>5663</v>
      </c>
    </row>
    <row r="75" spans="1:11" x14ac:dyDescent="0.2">
      <c r="A75" s="1129">
        <v>1531</v>
      </c>
      <c r="B75" s="2982" t="s">
        <v>5506</v>
      </c>
      <c r="C75" s="2982"/>
      <c r="D75" s="2982"/>
      <c r="E75" s="2982"/>
      <c r="F75" s="1036">
        <f>'201'!T39</f>
        <v>0</v>
      </c>
      <c r="G75" s="14" t="str">
        <f>IF(F75='201'!T39," ","Problem:Must agree to worksheet 201")</f>
        <v xml:space="preserve"> </v>
      </c>
      <c r="I75" s="649" t="e">
        <f t="shared" si="3"/>
        <v>#N/A</v>
      </c>
      <c r="K75" s="1844" t="s">
        <v>5663</v>
      </c>
    </row>
    <row r="76" spans="1:11" x14ac:dyDescent="0.2">
      <c r="A76" s="1129">
        <v>1551</v>
      </c>
      <c r="B76" s="2982" t="s">
        <v>5507</v>
      </c>
      <c r="C76" s="2982"/>
      <c r="D76" s="2982"/>
      <c r="E76" s="2982"/>
      <c r="F76" s="1036">
        <f>'201'!T40</f>
        <v>0</v>
      </c>
      <c r="G76" s="14" t="str">
        <f>IF(F76='201'!T40," ","Problem:Must agree to worksheet 201")</f>
        <v xml:space="preserve"> </v>
      </c>
      <c r="I76" s="649" t="e">
        <f t="shared" si="3"/>
        <v>#N/A</v>
      </c>
      <c r="K76" s="1844" t="s">
        <v>5663</v>
      </c>
    </row>
    <row r="77" spans="1:11" x14ac:dyDescent="0.2">
      <c r="A77" s="1129">
        <v>1553</v>
      </c>
      <c r="B77" s="2969" t="s">
        <v>1497</v>
      </c>
      <c r="C77" s="2969"/>
      <c r="D77" s="2969"/>
      <c r="E77" s="2969"/>
      <c r="F77" s="1036">
        <f>'201'!T33</f>
        <v>0</v>
      </c>
      <c r="G77" s="14" t="str">
        <f>IF(F77='201'!T33," ","Problem:Must agree to worksheet 201")</f>
        <v xml:space="preserve"> </v>
      </c>
      <c r="I77" s="649" t="e">
        <f t="shared" si="3"/>
        <v>#N/A</v>
      </c>
    </row>
    <row r="78" spans="1:11" x14ac:dyDescent="0.2">
      <c r="A78" s="1129">
        <v>1555</v>
      </c>
      <c r="B78" s="2969" t="s">
        <v>1498</v>
      </c>
      <c r="C78" s="2969"/>
      <c r="D78" s="2969"/>
      <c r="E78" s="2969"/>
      <c r="F78" s="1036">
        <f>'201'!T34</f>
        <v>0</v>
      </c>
      <c r="G78" s="14" t="str">
        <f>IF(F78='201'!T34," ","Problem:Must agree to worksheet 201")</f>
        <v xml:space="preserve"> </v>
      </c>
      <c r="I78" s="649" t="e">
        <f t="shared" si="3"/>
        <v>#N/A</v>
      </c>
    </row>
    <row r="79" spans="1:11" x14ac:dyDescent="0.2">
      <c r="A79" s="1129">
        <v>1560</v>
      </c>
      <c r="B79" s="2969" t="s">
        <v>1809</v>
      </c>
      <c r="C79" s="2969"/>
      <c r="D79" s="2969"/>
      <c r="E79" s="2969"/>
      <c r="F79" s="1036">
        <f>'201'!T35</f>
        <v>0</v>
      </c>
      <c r="G79" s="14" t="str">
        <f>IF(F79='201'!T35," ","Problem:Must agree to worksheet 201")</f>
        <v xml:space="preserve"> </v>
      </c>
      <c r="I79" s="649" t="e">
        <f t="shared" si="3"/>
        <v>#N/A</v>
      </c>
    </row>
    <row r="80" spans="1:11" x14ac:dyDescent="0.2">
      <c r="A80" s="1129">
        <v>1570</v>
      </c>
      <c r="B80" s="2876" t="s">
        <v>1744</v>
      </c>
      <c r="C80" s="2876"/>
      <c r="D80" s="2876"/>
      <c r="E80" s="2876"/>
      <c r="F80" s="1048">
        <f>-'210'!Q31</f>
        <v>0</v>
      </c>
      <c r="G80" s="14" t="str">
        <f>IF(F80=-'210'!Q31," ","Problem:Must agree to total accumulated depreciation per worksheet 210 cell O25, entered here as a negative number")</f>
        <v xml:space="preserve"> </v>
      </c>
      <c r="I80" s="651" t="e">
        <f t="shared" si="3"/>
        <v>#N/A</v>
      </c>
      <c r="J80" s="272"/>
    </row>
    <row r="81" spans="1:12" x14ac:dyDescent="0.2">
      <c r="A81" s="785"/>
      <c r="B81" s="2876" t="s">
        <v>1416</v>
      </c>
      <c r="C81" s="2876"/>
      <c r="D81" s="2876"/>
      <c r="E81" s="2876"/>
      <c r="F81" s="651">
        <f>SUM(F69:F80)</f>
        <v>0</v>
      </c>
      <c r="G81" s="14"/>
      <c r="I81" s="651" t="e">
        <f>SUM(I69:I80)</f>
        <v>#N/A</v>
      </c>
    </row>
    <row r="82" spans="1:12" x14ac:dyDescent="0.2">
      <c r="A82" s="675"/>
      <c r="B82" s="2965" t="s">
        <v>784</v>
      </c>
      <c r="C82" s="2965"/>
      <c r="D82" s="2965"/>
      <c r="E82" s="2965"/>
      <c r="F82" s="661">
        <f>SUM(F40:F81)-F67-F81</f>
        <v>0</v>
      </c>
      <c r="I82" s="661" t="e">
        <f>SUM(I40:I81)-I67-I81</f>
        <v>#N/A</v>
      </c>
    </row>
    <row r="83" spans="1:12" ht="6.75" customHeight="1" x14ac:dyDescent="0.2">
      <c r="I83" s="649"/>
    </row>
    <row r="84" spans="1:12" x14ac:dyDescent="0.2">
      <c r="B84" s="2965" t="s">
        <v>785</v>
      </c>
      <c r="C84" s="2965"/>
      <c r="D84" s="2965"/>
      <c r="E84" s="2965"/>
      <c r="F84" s="651">
        <f>F82+F37</f>
        <v>0</v>
      </c>
      <c r="I84" s="651" t="e">
        <f>I82+I37</f>
        <v>#N/A</v>
      </c>
    </row>
    <row r="85" spans="1:12" ht="6" customHeight="1" x14ac:dyDescent="0.2"/>
    <row r="86" spans="1:12" ht="12.75" customHeight="1" x14ac:dyDescent="0.2">
      <c r="B86" s="783" t="s">
        <v>1929</v>
      </c>
    </row>
    <row r="87" spans="1:12" ht="12.75" customHeight="1" x14ac:dyDescent="0.2">
      <c r="A87" s="1401">
        <v>1234</v>
      </c>
      <c r="B87" s="2876" t="s">
        <v>1930</v>
      </c>
      <c r="C87" s="2876"/>
      <c r="D87" s="2876"/>
      <c r="E87" s="2876"/>
      <c r="F87" s="659">
        <v>0</v>
      </c>
      <c r="I87" s="649" t="e">
        <f t="shared" ref="I87:I93" si="4">INDEX(PY905Data,MATCH($A87,PY905Row,0),MATCH($C$5,PY905Col,0))</f>
        <v>#N/A</v>
      </c>
      <c r="L87" s="2128">
        <v>61100002</v>
      </c>
    </row>
    <row r="88" spans="1:12" ht="12.75" customHeight="1" x14ac:dyDescent="0.2">
      <c r="A88" s="1401">
        <v>1236</v>
      </c>
      <c r="B88" s="2876" t="s">
        <v>3582</v>
      </c>
      <c r="C88" s="2876"/>
      <c r="D88" s="2876"/>
      <c r="E88" s="2876"/>
      <c r="F88" s="659">
        <v>0</v>
      </c>
      <c r="I88" s="649" t="e">
        <f t="shared" si="4"/>
        <v>#N/A</v>
      </c>
      <c r="L88" s="2128">
        <v>61100003</v>
      </c>
    </row>
    <row r="89" spans="1:12" ht="12.75" customHeight="1" x14ac:dyDescent="0.2">
      <c r="A89" s="1401">
        <v>1242</v>
      </c>
      <c r="B89" s="2876" t="s">
        <v>4599</v>
      </c>
      <c r="C89" s="2876"/>
      <c r="D89" s="2876"/>
      <c r="E89" s="2876"/>
      <c r="F89" s="659">
        <v>0</v>
      </c>
      <c r="I89" s="649" t="e">
        <f t="shared" si="4"/>
        <v>#N/A</v>
      </c>
      <c r="K89" s="1610"/>
      <c r="L89" s="2128">
        <v>61100007</v>
      </c>
    </row>
    <row r="90" spans="1:12" ht="12.75" customHeight="1" x14ac:dyDescent="0.2">
      <c r="A90" s="1401">
        <v>1237</v>
      </c>
      <c r="B90" s="2876" t="s">
        <v>3866</v>
      </c>
      <c r="C90" s="2876"/>
      <c r="D90" s="2876"/>
      <c r="E90" s="2876"/>
      <c r="F90" s="659">
        <v>0</v>
      </c>
      <c r="I90" s="649" t="e">
        <f t="shared" si="4"/>
        <v>#N/A</v>
      </c>
      <c r="K90" s="1544"/>
      <c r="L90" s="2128">
        <v>61100008</v>
      </c>
    </row>
    <row r="91" spans="1:12" ht="12.75" customHeight="1" x14ac:dyDescent="0.2">
      <c r="A91" s="1401">
        <v>1241</v>
      </c>
      <c r="B91" s="2876" t="s">
        <v>4443</v>
      </c>
      <c r="C91" s="2876"/>
      <c r="D91" s="2876"/>
      <c r="E91" s="2876"/>
      <c r="F91" s="659">
        <v>0</v>
      </c>
      <c r="I91" s="649" t="e">
        <f t="shared" si="4"/>
        <v>#N/A</v>
      </c>
      <c r="K91" s="1610"/>
      <c r="L91" s="2128">
        <v>61100009</v>
      </c>
    </row>
    <row r="92" spans="1:12" ht="12.75" customHeight="1" x14ac:dyDescent="0.2">
      <c r="A92" s="1401">
        <v>1238</v>
      </c>
      <c r="B92" s="2876" t="s">
        <v>3873</v>
      </c>
      <c r="C92" s="2876"/>
      <c r="D92" s="2876"/>
      <c r="E92" s="2876"/>
      <c r="F92" s="659">
        <v>0</v>
      </c>
      <c r="I92" s="649" t="e">
        <f t="shared" si="4"/>
        <v>#N/A</v>
      </c>
      <c r="L92" s="2128">
        <v>61100006</v>
      </c>
    </row>
    <row r="93" spans="1:12" ht="12" customHeight="1" x14ac:dyDescent="0.2">
      <c r="A93" s="1401">
        <v>1239</v>
      </c>
      <c r="B93" s="2876" t="s">
        <v>3944</v>
      </c>
      <c r="C93" s="2876"/>
      <c r="D93" s="2876"/>
      <c r="E93" s="2876"/>
      <c r="F93" s="660">
        <v>0</v>
      </c>
      <c r="I93" s="649" t="e">
        <f t="shared" si="4"/>
        <v>#N/A</v>
      </c>
      <c r="L93" s="2128">
        <v>61100004</v>
      </c>
    </row>
    <row r="94" spans="1:12" ht="13.5" customHeight="1" x14ac:dyDescent="0.2">
      <c r="B94" s="2965" t="s">
        <v>3556</v>
      </c>
      <c r="C94" s="2965"/>
      <c r="D94" s="2965"/>
      <c r="E94" s="2965"/>
      <c r="F94" s="661">
        <f>SUM(F86:F93)</f>
        <v>0</v>
      </c>
      <c r="I94" s="661" t="e">
        <f>SUM(I86:I93)</f>
        <v>#N/A</v>
      </c>
    </row>
    <row r="95" spans="1:12" ht="6" customHeight="1" x14ac:dyDescent="0.2">
      <c r="B95" s="398"/>
      <c r="C95" s="398"/>
      <c r="D95" s="398"/>
      <c r="E95" s="398"/>
      <c r="F95" s="659"/>
      <c r="I95" s="649"/>
    </row>
    <row r="96" spans="1:12" ht="9.75" customHeight="1" x14ac:dyDescent="0.2">
      <c r="B96" s="783" t="s">
        <v>500</v>
      </c>
    </row>
    <row r="97" spans="1:12" ht="10.5" customHeight="1" x14ac:dyDescent="0.2">
      <c r="B97" s="784" t="s">
        <v>274</v>
      </c>
    </row>
    <row r="98" spans="1:12" ht="12" customHeight="1" x14ac:dyDescent="0.2">
      <c r="A98" s="335"/>
      <c r="B98" s="335" t="s">
        <v>275</v>
      </c>
      <c r="C98" s="335"/>
    </row>
    <row r="99" spans="1:12" ht="12.75" customHeight="1" x14ac:dyDescent="0.2">
      <c r="A99" s="335">
        <v>1640</v>
      </c>
      <c r="B99" s="2969" t="s">
        <v>786</v>
      </c>
      <c r="C99" s="2969"/>
      <c r="D99" s="2969"/>
      <c r="E99" s="2969"/>
      <c r="F99" s="659">
        <v>0</v>
      </c>
      <c r="I99" s="649" t="e">
        <f>INDEX(PY905Data,MATCH($A99,PY905Row,0),MATCH($C$5,PY905Col,0))</f>
        <v>#N/A</v>
      </c>
      <c r="L99" s="2128">
        <v>21110000</v>
      </c>
    </row>
    <row r="100" spans="1:12" x14ac:dyDescent="0.2">
      <c r="A100" s="335">
        <v>1650</v>
      </c>
      <c r="B100" s="2969" t="s">
        <v>815</v>
      </c>
      <c r="C100" s="2969"/>
      <c r="D100" s="2969"/>
      <c r="E100" s="2969"/>
      <c r="F100" s="659">
        <v>0</v>
      </c>
      <c r="I100" s="649" t="e">
        <f>INDEX(PY905Data,MATCH($A100,PY905Row,0),MATCH($C$5,PY905Col,0))</f>
        <v>#N/A</v>
      </c>
      <c r="L100" s="2128">
        <v>21121000</v>
      </c>
    </row>
    <row r="101" spans="1:12" ht="11.25" customHeight="1" x14ac:dyDescent="0.2">
      <c r="A101" s="335">
        <v>1660</v>
      </c>
      <c r="B101" s="2969" t="s">
        <v>816</v>
      </c>
      <c r="C101" s="2969"/>
      <c r="D101" s="2969"/>
      <c r="E101" s="2969"/>
      <c r="F101" s="659">
        <v>0</v>
      </c>
      <c r="I101" s="649" t="e">
        <f>INDEX(PY905Data,MATCH($A101,PY905Row,0),MATCH($C$5,PY905Col,0))</f>
        <v>#N/A</v>
      </c>
      <c r="L101" s="2128">
        <v>21131000</v>
      </c>
    </row>
    <row r="102" spans="1:12" x14ac:dyDescent="0.2">
      <c r="A102" s="335">
        <v>1670</v>
      </c>
      <c r="B102" s="2969" t="s">
        <v>700</v>
      </c>
      <c r="C102" s="2969"/>
      <c r="D102" s="2969"/>
      <c r="E102" s="2969"/>
      <c r="F102" s="659">
        <v>0</v>
      </c>
      <c r="I102" s="649" t="e">
        <f>INDEX(PY905Data,MATCH($A102,PY905Row,0),MATCH($C$5,PY905Col,0))</f>
        <v>#N/A</v>
      </c>
      <c r="L102" s="2128">
        <v>21523000</v>
      </c>
    </row>
    <row r="103" spans="1:12" x14ac:dyDescent="0.2">
      <c r="A103" s="335">
        <v>1840</v>
      </c>
      <c r="B103" s="2876" t="s">
        <v>278</v>
      </c>
      <c r="C103" s="2876"/>
      <c r="D103" s="2876"/>
      <c r="E103" s="2876"/>
      <c r="F103" s="659">
        <v>0</v>
      </c>
      <c r="I103" s="649" t="e">
        <f>INDEX(PY905Data,MATCH($A103,PY905Row,0),MATCH($C$5,PY905Col,0))</f>
        <v>#N/A</v>
      </c>
      <c r="L103" s="2128">
        <v>21621000</v>
      </c>
    </row>
    <row r="104" spans="1:12" ht="9.75" customHeight="1" x14ac:dyDescent="0.2">
      <c r="A104" s="335"/>
      <c r="B104" s="335" t="s">
        <v>1423</v>
      </c>
      <c r="C104" s="335"/>
      <c r="D104" s="335"/>
      <c r="E104" s="335"/>
      <c r="I104" s="649"/>
    </row>
    <row r="105" spans="1:12" x14ac:dyDescent="0.2">
      <c r="A105" s="1129">
        <v>1788</v>
      </c>
      <c r="B105" s="2969" t="s">
        <v>4620</v>
      </c>
      <c r="C105" s="2969"/>
      <c r="D105" s="2969"/>
      <c r="E105" s="2969"/>
      <c r="F105" s="1036">
        <f>'310'!M37</f>
        <v>0</v>
      </c>
      <c r="G105" t="str">
        <f>IF(F105='310'!M37," ","Problem: Must agree to ws 310 ")</f>
        <v xml:space="preserve"> </v>
      </c>
      <c r="I105" s="649" t="e">
        <f t="shared" ref="I105:I131" si="5">INDEX(PY905Data,MATCH($A105,PY905Row,0),MATCH($C$5,PY905Col,0))</f>
        <v>#N/A</v>
      </c>
    </row>
    <row r="106" spans="1:12" x14ac:dyDescent="0.2">
      <c r="A106" s="1129">
        <v>1785</v>
      </c>
      <c r="B106" s="2969" t="s">
        <v>1499</v>
      </c>
      <c r="C106" s="2969"/>
      <c r="D106" s="2969"/>
      <c r="E106" s="2969"/>
      <c r="F106" s="1036">
        <f>'310'!M38</f>
        <v>0</v>
      </c>
      <c r="G106" t="str">
        <f>IF(F106='310'!M38," ","Problem: Must agree to ws 310 ")</f>
        <v xml:space="preserve"> </v>
      </c>
      <c r="I106" s="649" t="e">
        <f t="shared" si="5"/>
        <v>#N/A</v>
      </c>
    </row>
    <row r="107" spans="1:12" x14ac:dyDescent="0.2">
      <c r="A107" s="1988">
        <v>1790</v>
      </c>
      <c r="B107" s="2969" t="s">
        <v>4621</v>
      </c>
      <c r="C107" s="2969"/>
      <c r="D107" s="2969"/>
      <c r="E107" s="2969"/>
      <c r="F107" s="1036">
        <f>'310'!M39</f>
        <v>0</v>
      </c>
      <c r="G107" t="str">
        <f>IF(F107='310'!M39," ","Problem: Must agree to ws 310 ")</f>
        <v xml:space="preserve"> </v>
      </c>
      <c r="I107" s="649" t="e">
        <f t="shared" si="5"/>
        <v>#N/A</v>
      </c>
      <c r="K107" s="1610"/>
    </row>
    <row r="108" spans="1:12" x14ac:dyDescent="0.2">
      <c r="A108" s="1988">
        <v>1791</v>
      </c>
      <c r="B108" s="2969" t="s">
        <v>4701</v>
      </c>
      <c r="C108" s="2969"/>
      <c r="D108" s="2969"/>
      <c r="E108" s="2969"/>
      <c r="F108" s="1036">
        <f>'310'!M40</f>
        <v>0</v>
      </c>
      <c r="G108" t="str">
        <f>IF(F108='310'!M40," ","Problem: Must agree to ws 310 ")</f>
        <v xml:space="preserve"> </v>
      </c>
      <c r="I108" s="649" t="e">
        <f t="shared" si="5"/>
        <v>#N/A</v>
      </c>
      <c r="K108" s="1610"/>
    </row>
    <row r="109" spans="1:12" x14ac:dyDescent="0.2">
      <c r="A109" s="1129">
        <v>1787</v>
      </c>
      <c r="B109" s="2969" t="s">
        <v>1500</v>
      </c>
      <c r="C109" s="2969"/>
      <c r="D109" s="2969"/>
      <c r="E109" s="2969"/>
      <c r="F109" s="1036">
        <f>'310'!M41</f>
        <v>0</v>
      </c>
      <c r="G109" t="str">
        <f>IF(F109='310'!M41," ","Problem: Must agree to ws 310 ")</f>
        <v xml:space="preserve"> </v>
      </c>
      <c r="I109" s="649" t="e">
        <f t="shared" si="5"/>
        <v>#N/A</v>
      </c>
    </row>
    <row r="110" spans="1:12" x14ac:dyDescent="0.2">
      <c r="A110" s="1129">
        <v>1730</v>
      </c>
      <c r="B110" s="2876" t="s">
        <v>1501</v>
      </c>
      <c r="C110" s="2876"/>
      <c r="D110" s="2876"/>
      <c r="E110" s="2876"/>
      <c r="F110" s="1036">
        <f>'530'!H31</f>
        <v>0</v>
      </c>
      <c r="G110" t="str">
        <f>IF(F110='530'!H31," ","Problem: Must agree to ws 530 Due to St of NC Comp Unit")</f>
        <v xml:space="preserve"> </v>
      </c>
      <c r="I110" s="649" t="e">
        <f t="shared" si="5"/>
        <v>#N/A</v>
      </c>
      <c r="L110" s="1610">
        <v>21260000</v>
      </c>
    </row>
    <row r="111" spans="1:12" x14ac:dyDescent="0.2">
      <c r="A111" s="1129">
        <v>1735</v>
      </c>
      <c r="B111" s="2876" t="s">
        <v>4262</v>
      </c>
      <c r="C111" s="2876"/>
      <c r="D111" s="2876"/>
      <c r="E111" s="2876"/>
      <c r="F111" s="1036">
        <f>'616'!D47</f>
        <v>0</v>
      </c>
      <c r="G111" s="1033" t="str">
        <f>IF(F111='616'!D47, " ", "Problem: Must agree to ws 616 total Due to Agency/Institution Comp Unit")</f>
        <v xml:space="preserve"> </v>
      </c>
      <c r="I111" s="649" t="e">
        <f t="shared" si="5"/>
        <v>#N/A</v>
      </c>
      <c r="L111" s="2128">
        <v>21270000</v>
      </c>
    </row>
    <row r="112" spans="1:12" x14ac:dyDescent="0.2">
      <c r="A112" s="1129">
        <v>1740</v>
      </c>
      <c r="B112" s="2876" t="s">
        <v>1502</v>
      </c>
      <c r="C112" s="2876"/>
      <c r="D112" s="2876"/>
      <c r="E112" s="2876"/>
      <c r="F112" s="1036">
        <f>'520'!H31</f>
        <v>0</v>
      </c>
      <c r="G112" t="str">
        <f>IF(F112='520'!H31," ","Problem: Must agree to ws 520 Due to Primary Govt")</f>
        <v xml:space="preserve"> </v>
      </c>
      <c r="I112" s="649" t="e">
        <f t="shared" si="5"/>
        <v>#N/A</v>
      </c>
      <c r="L112" s="1610">
        <v>21250000</v>
      </c>
    </row>
    <row r="113" spans="1:12" x14ac:dyDescent="0.2">
      <c r="A113" s="335">
        <v>1890</v>
      </c>
      <c r="B113" s="2876" t="s">
        <v>569</v>
      </c>
      <c r="C113" s="2876"/>
      <c r="D113" s="2876"/>
      <c r="E113" s="2876"/>
      <c r="F113" s="659">
        <v>0</v>
      </c>
      <c r="I113" s="649" t="e">
        <f t="shared" si="5"/>
        <v>#N/A</v>
      </c>
      <c r="L113" s="2128">
        <v>21811000</v>
      </c>
    </row>
    <row r="114" spans="1:12" ht="11.25" customHeight="1" x14ac:dyDescent="0.2">
      <c r="A114" s="335">
        <v>1750</v>
      </c>
      <c r="B114" s="2876" t="s">
        <v>277</v>
      </c>
      <c r="C114" s="2876"/>
      <c r="D114" s="2876"/>
      <c r="E114" s="2876"/>
      <c r="F114" s="659">
        <v>0</v>
      </c>
      <c r="I114" s="649" t="e">
        <f t="shared" si="5"/>
        <v>#N/A</v>
      </c>
      <c r="L114" s="2128">
        <v>21310000</v>
      </c>
    </row>
    <row r="115" spans="1:12" ht="10.5" customHeight="1" x14ac:dyDescent="0.2">
      <c r="A115" s="335">
        <v>1760</v>
      </c>
      <c r="B115" s="2876" t="s">
        <v>1402</v>
      </c>
      <c r="C115" s="2876"/>
      <c r="D115" s="2876"/>
      <c r="E115" s="2876"/>
      <c r="F115" s="659">
        <v>0</v>
      </c>
      <c r="G115" s="1719" t="e">
        <f>IF(AND(ABS(F115)&gt;=1,$C$7="4XXX"),"Universities do not record obligations under securities lending for CAFR"," ")</f>
        <v>#N/A</v>
      </c>
      <c r="I115" s="649" t="e">
        <f t="shared" si="5"/>
        <v>#N/A</v>
      </c>
      <c r="L115" s="2128">
        <v>21315000</v>
      </c>
    </row>
    <row r="116" spans="1:12" x14ac:dyDescent="0.2">
      <c r="A116" s="335">
        <v>1870</v>
      </c>
      <c r="B116" s="2876" t="s">
        <v>739</v>
      </c>
      <c r="C116" s="2876"/>
      <c r="D116" s="2876"/>
      <c r="E116" s="2876"/>
      <c r="F116" s="659">
        <v>0</v>
      </c>
      <c r="I116" s="649" t="e">
        <f t="shared" si="5"/>
        <v>#N/A</v>
      </c>
      <c r="L116" s="2128">
        <v>21712000</v>
      </c>
    </row>
    <row r="117" spans="1:12" x14ac:dyDescent="0.2">
      <c r="A117" s="335">
        <v>1880</v>
      </c>
      <c r="B117" s="2876" t="s">
        <v>701</v>
      </c>
      <c r="C117" s="2876"/>
      <c r="D117" s="2876"/>
      <c r="E117" s="2876"/>
      <c r="F117" s="659">
        <v>0</v>
      </c>
      <c r="G117" s="335"/>
      <c r="I117" s="649" t="e">
        <f t="shared" si="5"/>
        <v>#N/A</v>
      </c>
      <c r="L117" s="2128">
        <v>21719000</v>
      </c>
    </row>
    <row r="118" spans="1:12" x14ac:dyDescent="0.2">
      <c r="A118" s="335">
        <v>1762</v>
      </c>
      <c r="B118" s="2876" t="s">
        <v>1347</v>
      </c>
      <c r="C118" s="2876"/>
      <c r="D118" s="2876"/>
      <c r="E118" s="2876"/>
      <c r="F118" s="659">
        <v>0</v>
      </c>
      <c r="I118" s="649" t="e">
        <f t="shared" si="5"/>
        <v>#N/A</v>
      </c>
      <c r="L118" s="2128">
        <v>21920000</v>
      </c>
    </row>
    <row r="119" spans="1:12" x14ac:dyDescent="0.2">
      <c r="A119" s="1129">
        <v>1775</v>
      </c>
      <c r="B119" s="2876" t="s">
        <v>4622</v>
      </c>
      <c r="C119" s="2876"/>
      <c r="D119" s="2876"/>
      <c r="E119" s="2876"/>
      <c r="F119" s="1036">
        <f>'310'!O26</f>
        <v>0</v>
      </c>
      <c r="G119" t="str">
        <f>IF(F119='310'!O26," ","Problem: Must agree to ws 310 Notes from direct borrowings Due within one year")</f>
        <v xml:space="preserve"> </v>
      </c>
      <c r="I119" s="649" t="e">
        <f t="shared" si="5"/>
        <v>#N/A</v>
      </c>
      <c r="K119" s="1610"/>
    </row>
    <row r="120" spans="1:12" x14ac:dyDescent="0.2">
      <c r="A120" s="1129">
        <v>1780</v>
      </c>
      <c r="B120" s="2974" t="s">
        <v>5510</v>
      </c>
      <c r="C120" s="2974"/>
      <c r="D120" s="2974"/>
      <c r="E120" s="2974"/>
      <c r="F120" s="1036">
        <f>'310'!O27</f>
        <v>0</v>
      </c>
      <c r="G120" t="str">
        <f>IF(F120='310'!O27," ","Problem: Must agree to ws 310 Capital leases payable Due within one year")</f>
        <v xml:space="preserve"> </v>
      </c>
      <c r="I120" s="649" t="e">
        <f t="shared" si="5"/>
        <v>#N/A</v>
      </c>
      <c r="K120" s="1844" t="s">
        <v>5663</v>
      </c>
    </row>
    <row r="121" spans="1:12" x14ac:dyDescent="0.2">
      <c r="A121" s="1129">
        <v>1800</v>
      </c>
      <c r="B121" s="2876" t="s">
        <v>1503</v>
      </c>
      <c r="C121" s="2876"/>
      <c r="D121" s="2876"/>
      <c r="E121" s="2876"/>
      <c r="F121" s="1036">
        <f>SUM('310'!O17+'310'!O18+'310'!O20+'310'!O21+'310'!O19)</f>
        <v>0</v>
      </c>
      <c r="G121" t="str">
        <f>IF(F121='310'!O17+'310'!O18+'310'!O20+'310'!O21," ","Problem: Must agree to ws 310 Sum of Bonds &amp; COPS payable Due within one year")</f>
        <v xml:space="preserve"> </v>
      </c>
      <c r="I121" s="649" t="e">
        <f t="shared" si="5"/>
        <v>#N/A</v>
      </c>
      <c r="K121" s="1844"/>
    </row>
    <row r="122" spans="1:12" x14ac:dyDescent="0.2">
      <c r="A122" s="1129">
        <v>1850</v>
      </c>
      <c r="B122" s="2876" t="s">
        <v>1504</v>
      </c>
      <c r="C122" s="2876"/>
      <c r="D122" s="2876"/>
      <c r="E122" s="2876"/>
      <c r="F122" s="1036">
        <f>'310'!O24</f>
        <v>0</v>
      </c>
      <c r="G122" t="str">
        <f>IF(F122='310'!O24," ","Problem: Must agree to ws 310 Arbitrage rebate payable Due within one year")</f>
        <v xml:space="preserve"> </v>
      </c>
      <c r="I122" s="649" t="e">
        <f t="shared" si="5"/>
        <v>#N/A</v>
      </c>
    </row>
    <row r="123" spans="1:12" x14ac:dyDescent="0.2">
      <c r="A123" s="1129">
        <v>1851</v>
      </c>
      <c r="B123" s="2876" t="s">
        <v>3799</v>
      </c>
      <c r="C123" s="2876"/>
      <c r="D123" s="2876"/>
      <c r="E123" s="2876"/>
      <c r="F123" s="1036">
        <f>'310'!O25</f>
        <v>0</v>
      </c>
      <c r="G123" t="str">
        <f>IF(F123='310'!O25," ","Problem: Must agree to ws 310 Workers Compensation Due within one year")</f>
        <v xml:space="preserve"> </v>
      </c>
      <c r="I123" s="649" t="e">
        <f t="shared" si="5"/>
        <v>#N/A</v>
      </c>
    </row>
    <row r="124" spans="1:12" x14ac:dyDescent="0.2">
      <c r="A124" s="1129">
        <v>1786</v>
      </c>
      <c r="B124" s="2876" t="s">
        <v>1505</v>
      </c>
      <c r="C124" s="2876"/>
      <c r="D124" s="2876"/>
      <c r="E124" s="2876"/>
      <c r="F124" s="1036">
        <f>'310'!O28</f>
        <v>0</v>
      </c>
      <c r="G124" t="str">
        <f>IF(F124='310'!O28," ","Problem: Must agree to ws 310 Annuity and life income payable Due within one year")</f>
        <v xml:space="preserve"> </v>
      </c>
      <c r="I124" s="649" t="e">
        <f t="shared" si="5"/>
        <v>#N/A</v>
      </c>
    </row>
    <row r="125" spans="1:12" x14ac:dyDescent="0.2">
      <c r="A125" s="1129">
        <v>1855</v>
      </c>
      <c r="B125" s="2876" t="s">
        <v>1506</v>
      </c>
      <c r="C125" s="2876"/>
      <c r="D125" s="2876"/>
      <c r="E125" s="2876"/>
      <c r="F125" s="1036">
        <f>'310'!O30</f>
        <v>0</v>
      </c>
      <c r="G125" t="str">
        <f>IF(F125='310'!O30," ","Problem: Must agree to ws 310 Pollution remediation payable Due within one year")</f>
        <v xml:space="preserve"> </v>
      </c>
      <c r="I125" s="649" t="e">
        <f t="shared" si="5"/>
        <v>#N/A</v>
      </c>
    </row>
    <row r="126" spans="1:12" x14ac:dyDescent="0.2">
      <c r="A126" s="1129">
        <v>1857</v>
      </c>
      <c r="B126" s="2876" t="s">
        <v>4630</v>
      </c>
      <c r="C126" s="2876"/>
      <c r="D126" s="2876"/>
      <c r="E126" s="2876"/>
      <c r="F126" s="1036">
        <f>'310'!O31</f>
        <v>0</v>
      </c>
      <c r="G126" t="str">
        <f>IF(F126='310'!O31," ","Problem: Must agree to ws 310 Pollution remediation payable Due within one year")</f>
        <v xml:space="preserve"> </v>
      </c>
      <c r="I126" s="649" t="e">
        <f t="shared" si="5"/>
        <v>#N/A</v>
      </c>
      <c r="K126" s="1610"/>
    </row>
    <row r="127" spans="1:12" x14ac:dyDescent="0.2">
      <c r="A127" s="1129">
        <v>1860</v>
      </c>
      <c r="B127" s="2876" t="s">
        <v>3867</v>
      </c>
      <c r="C127" s="2876"/>
      <c r="D127" s="2876"/>
      <c r="E127" s="2876"/>
      <c r="F127" s="1036">
        <f>'310'!O32</f>
        <v>0</v>
      </c>
      <c r="G127" t="str">
        <f>IF(F127='310'!O32," ","Problem: Must agree to ws 310 Compensated absences Due within one year")</f>
        <v xml:space="preserve"> </v>
      </c>
      <c r="I127" s="649" t="e">
        <f t="shared" si="5"/>
        <v>#N/A</v>
      </c>
    </row>
    <row r="128" spans="1:12" x14ac:dyDescent="0.2">
      <c r="A128" s="1129">
        <v>1868</v>
      </c>
      <c r="B128" s="2876" t="s">
        <v>3868</v>
      </c>
      <c r="C128" s="2876"/>
      <c r="D128" s="2876"/>
      <c r="E128" s="2876"/>
      <c r="F128" s="1036">
        <f>'310'!O33</f>
        <v>0</v>
      </c>
      <c r="G128" t="str">
        <f>IF(F128='310'!O33," ","Problem: Must agree to ws 310 Net Pension Liability Due within one year")</f>
        <v xml:space="preserve"> </v>
      </c>
      <c r="I128" s="649" t="e">
        <f t="shared" si="5"/>
        <v>#N/A</v>
      </c>
    </row>
    <row r="129" spans="1:12" x14ac:dyDescent="0.2">
      <c r="A129" s="1129">
        <v>1869</v>
      </c>
      <c r="B129" s="2876" t="s">
        <v>4446</v>
      </c>
      <c r="C129" s="2876"/>
      <c r="D129" s="2876"/>
      <c r="E129" s="2876"/>
      <c r="F129" s="1036">
        <f>'310'!O34</f>
        <v>0</v>
      </c>
      <c r="G129" t="str">
        <f>IF(F129='310'!O34," ","Problem: Must agree to ws 310 Net OPEB Liability Due within one year")</f>
        <v xml:space="preserve"> </v>
      </c>
      <c r="I129" s="649" t="e">
        <f t="shared" si="5"/>
        <v>#N/A</v>
      </c>
      <c r="K129" s="1610"/>
    </row>
    <row r="130" spans="1:12" x14ac:dyDescent="0.2">
      <c r="A130" s="1129">
        <v>1865</v>
      </c>
      <c r="B130" s="2876" t="s">
        <v>1507</v>
      </c>
      <c r="C130" s="2876"/>
      <c r="D130" s="2876"/>
      <c r="E130" s="2876"/>
      <c r="F130" s="1036">
        <f>'310'!O35</f>
        <v>0</v>
      </c>
      <c r="G130" t="str">
        <f>IF(F130='310'!O35," ","Problem: Must agree to ws 310 Liab Insurance Trust Fund Payable, due within one yr")</f>
        <v xml:space="preserve"> </v>
      </c>
      <c r="I130" s="649" t="e">
        <f t="shared" si="5"/>
        <v>#N/A</v>
      </c>
    </row>
    <row r="131" spans="1:12" x14ac:dyDescent="0.2">
      <c r="A131" s="1129">
        <v>1866</v>
      </c>
      <c r="B131" s="2876" t="s">
        <v>1508</v>
      </c>
      <c r="C131" s="2876"/>
      <c r="D131" s="2876"/>
      <c r="E131" s="2876"/>
      <c r="F131" s="1036">
        <f>'310'!O36</f>
        <v>0</v>
      </c>
      <c r="G131" t="str">
        <f>IF(F131='310'!O36," ","Problem: Must agree to ws 310 Othe LT liabilities Due within one year")</f>
        <v xml:space="preserve"> </v>
      </c>
      <c r="I131" s="649" t="e">
        <f t="shared" si="5"/>
        <v>#N/A</v>
      </c>
    </row>
    <row r="132" spans="1:12" x14ac:dyDescent="0.2">
      <c r="B132" s="2965" t="s">
        <v>750</v>
      </c>
      <c r="C132" s="2965"/>
      <c r="D132" s="2965"/>
      <c r="E132" s="2965"/>
      <c r="F132" s="661">
        <f>SUM(F99:F131)</f>
        <v>0</v>
      </c>
      <c r="I132" s="661" t="e">
        <f>SUM(I99:I131)</f>
        <v>#N/A</v>
      </c>
    </row>
    <row r="133" spans="1:12" ht="4.5" customHeight="1" x14ac:dyDescent="0.2"/>
    <row r="134" spans="1:12" ht="11.25" customHeight="1" x14ac:dyDescent="0.2">
      <c r="B134" s="784" t="s">
        <v>788</v>
      </c>
    </row>
    <row r="135" spans="1:12" ht="10.5" customHeight="1" x14ac:dyDescent="0.2">
      <c r="A135" s="335"/>
      <c r="B135" s="335" t="s">
        <v>275</v>
      </c>
      <c r="C135" s="335"/>
    </row>
    <row r="136" spans="1:12" x14ac:dyDescent="0.2">
      <c r="A136" s="335">
        <v>1940</v>
      </c>
      <c r="B136" s="2969" t="s">
        <v>1060</v>
      </c>
      <c r="C136" s="2969"/>
      <c r="D136" s="2969"/>
      <c r="E136" s="2969"/>
      <c r="F136" s="659">
        <v>0</v>
      </c>
      <c r="G136" s="14"/>
      <c r="I136" s="649" t="e">
        <f t="shared" ref="I136:I156" si="6">INDEX(PY905Data,MATCH($A136,PY905Row,0),MATCH($C$5,PY905Col,0))</f>
        <v>#N/A</v>
      </c>
      <c r="L136" s="2128">
        <v>22110000</v>
      </c>
    </row>
    <row r="137" spans="1:12" ht="12" customHeight="1" x14ac:dyDescent="0.2">
      <c r="A137" s="335">
        <v>1950</v>
      </c>
      <c r="B137" s="2969" t="s">
        <v>816</v>
      </c>
      <c r="C137" s="2969"/>
      <c r="D137" s="2969"/>
      <c r="E137" s="2969"/>
      <c r="F137" s="659">
        <v>0</v>
      </c>
      <c r="I137" s="649" t="e">
        <f t="shared" si="6"/>
        <v>#N/A</v>
      </c>
      <c r="L137" s="2128">
        <v>22132000</v>
      </c>
    </row>
    <row r="138" spans="1:12" ht="11.25" customHeight="1" x14ac:dyDescent="0.2">
      <c r="A138" s="335">
        <v>1960</v>
      </c>
      <c r="B138" s="2969" t="s">
        <v>700</v>
      </c>
      <c r="C138" s="2969"/>
      <c r="D138" s="2969"/>
      <c r="E138" s="2969"/>
      <c r="F138" s="659">
        <v>0</v>
      </c>
      <c r="I138" s="649" t="e">
        <f t="shared" si="6"/>
        <v>#N/A</v>
      </c>
      <c r="L138" s="2128">
        <v>22529000</v>
      </c>
    </row>
    <row r="139" spans="1:12" x14ac:dyDescent="0.2">
      <c r="A139" s="1129">
        <v>2020</v>
      </c>
      <c r="B139" s="2876" t="s">
        <v>1509</v>
      </c>
      <c r="C139" s="2876"/>
      <c r="D139" s="2876"/>
      <c r="E139" s="2876"/>
      <c r="F139" s="1036">
        <f>'535'!H21</f>
        <v>0</v>
      </c>
      <c r="G139" t="str">
        <f>IF(F139='535'!H21," ","Problem: Must agree to ws 535 Advance from Primary Govt")</f>
        <v xml:space="preserve"> </v>
      </c>
      <c r="I139" s="649" t="e">
        <f t="shared" si="6"/>
        <v>#N/A</v>
      </c>
      <c r="L139" s="1610">
        <v>22250000</v>
      </c>
    </row>
    <row r="140" spans="1:12" x14ac:dyDescent="0.2">
      <c r="A140" s="335">
        <v>2097</v>
      </c>
      <c r="B140" s="2876" t="s">
        <v>569</v>
      </c>
      <c r="C140" s="2876"/>
      <c r="D140" s="2876"/>
      <c r="E140" s="2876"/>
      <c r="F140" s="659">
        <v>0</v>
      </c>
      <c r="I140" s="649" t="e">
        <f t="shared" si="6"/>
        <v>#N/A</v>
      </c>
      <c r="L140" s="2128">
        <v>22811000</v>
      </c>
    </row>
    <row r="141" spans="1:12" x14ac:dyDescent="0.2">
      <c r="A141" s="335">
        <v>2070</v>
      </c>
      <c r="B141" s="2876" t="s">
        <v>739</v>
      </c>
      <c r="C141" s="2876"/>
      <c r="D141" s="2876"/>
      <c r="E141" s="2876"/>
      <c r="F141" s="659">
        <v>0</v>
      </c>
      <c r="I141" s="649" t="e">
        <f t="shared" si="6"/>
        <v>#N/A</v>
      </c>
      <c r="L141" s="2128">
        <v>22712000</v>
      </c>
    </row>
    <row r="142" spans="1:12" x14ac:dyDescent="0.2">
      <c r="A142" s="335">
        <v>2080</v>
      </c>
      <c r="B142" s="2876" t="s">
        <v>701</v>
      </c>
      <c r="C142" s="2876"/>
      <c r="D142" s="2876"/>
      <c r="E142" s="2876"/>
      <c r="F142" s="659">
        <v>0</v>
      </c>
      <c r="G142" s="335"/>
      <c r="I142" s="649" t="e">
        <f t="shared" si="6"/>
        <v>#N/A</v>
      </c>
      <c r="L142" s="2128">
        <v>22719000</v>
      </c>
    </row>
    <row r="143" spans="1:12" ht="12" customHeight="1" x14ac:dyDescent="0.2">
      <c r="A143" s="335">
        <v>2024</v>
      </c>
      <c r="B143" s="2876" t="s">
        <v>1347</v>
      </c>
      <c r="C143" s="2876"/>
      <c r="D143" s="2876"/>
      <c r="E143" s="2876"/>
      <c r="F143" s="659">
        <v>0</v>
      </c>
      <c r="I143" s="649" t="e">
        <f t="shared" si="6"/>
        <v>#N/A</v>
      </c>
      <c r="L143" s="2128">
        <v>22920000</v>
      </c>
    </row>
    <row r="144" spans="1:12" x14ac:dyDescent="0.2">
      <c r="A144" s="1129">
        <v>2035</v>
      </c>
      <c r="B144" s="2876" t="s">
        <v>4621</v>
      </c>
      <c r="C144" s="2876"/>
      <c r="D144" s="2876"/>
      <c r="E144" s="2876"/>
      <c r="F144" s="1036">
        <f>'310'!M26-'310'!O26</f>
        <v>0</v>
      </c>
      <c r="I144" s="649" t="e">
        <f t="shared" si="6"/>
        <v>#N/A</v>
      </c>
      <c r="K144" s="1610"/>
    </row>
    <row r="145" spans="1:11" x14ac:dyDescent="0.2">
      <c r="A145" s="1129">
        <v>2040</v>
      </c>
      <c r="B145" s="2974" t="s">
        <v>5511</v>
      </c>
      <c r="C145" s="2974"/>
      <c r="D145" s="2974"/>
      <c r="E145" s="2974"/>
      <c r="F145" s="1036">
        <f>'310'!M27-'310'!O27</f>
        <v>0</v>
      </c>
      <c r="I145" s="649" t="e">
        <f t="shared" si="6"/>
        <v>#N/A</v>
      </c>
      <c r="K145" s="1844" t="s">
        <v>5663</v>
      </c>
    </row>
    <row r="146" spans="1:11" x14ac:dyDescent="0.2">
      <c r="A146" s="1129">
        <v>2050</v>
      </c>
      <c r="B146" s="2876" t="s">
        <v>1510</v>
      </c>
      <c r="C146" s="2876"/>
      <c r="D146" s="2876"/>
      <c r="E146" s="2876"/>
      <c r="F146" s="1036">
        <f>'310'!M17+'310'!M18+'310'!M19+'310'!M20+'310'!M21+'310'!M22+'310'!M23 -'310'!O17-'310'!O18-'310'!O19-'310'!O20-'310'!O21</f>
        <v>0</v>
      </c>
      <c r="G146" s="14"/>
      <c r="I146" s="649" t="e">
        <f t="shared" si="6"/>
        <v>#N/A</v>
      </c>
      <c r="K146" s="1844"/>
    </row>
    <row r="147" spans="1:11" x14ac:dyDescent="0.2">
      <c r="A147" s="1129">
        <v>2060</v>
      </c>
      <c r="B147" s="2876" t="s">
        <v>1511</v>
      </c>
      <c r="C147" s="2876"/>
      <c r="D147" s="2876"/>
      <c r="E147" s="2876"/>
      <c r="F147" s="1036">
        <f>'310'!M24-'310'!O24</f>
        <v>0</v>
      </c>
      <c r="I147" s="649" t="e">
        <f t="shared" si="6"/>
        <v>#N/A</v>
      </c>
    </row>
    <row r="148" spans="1:11" x14ac:dyDescent="0.2">
      <c r="A148" s="1129">
        <v>2061</v>
      </c>
      <c r="B148" s="2876" t="s">
        <v>3800</v>
      </c>
      <c r="C148" s="2876"/>
      <c r="D148" s="2876"/>
      <c r="E148" s="2876"/>
      <c r="F148" s="1036">
        <f>'310'!M25-'310'!O25</f>
        <v>0</v>
      </c>
      <c r="I148" s="649" t="e">
        <f t="shared" si="6"/>
        <v>#N/A</v>
      </c>
    </row>
    <row r="149" spans="1:11" x14ac:dyDescent="0.2">
      <c r="A149" s="1129">
        <v>2045</v>
      </c>
      <c r="B149" s="2876" t="s">
        <v>1512</v>
      </c>
      <c r="C149" s="2876"/>
      <c r="D149" s="2876"/>
      <c r="E149" s="2876"/>
      <c r="F149" s="1036">
        <f>'310'!M28-'310'!O28</f>
        <v>0</v>
      </c>
      <c r="G149" s="14"/>
      <c r="I149" s="649" t="e">
        <f t="shared" si="6"/>
        <v>#N/A</v>
      </c>
    </row>
    <row r="150" spans="1:11" x14ac:dyDescent="0.2">
      <c r="A150" s="1129">
        <v>2085</v>
      </c>
      <c r="B150" s="2876" t="s">
        <v>1513</v>
      </c>
      <c r="C150" s="2876"/>
      <c r="D150" s="2876"/>
      <c r="E150" s="2876"/>
      <c r="F150" s="1036">
        <f>'310'!M30-'310'!O30</f>
        <v>0</v>
      </c>
      <c r="I150" s="649" t="e">
        <f t="shared" si="6"/>
        <v>#N/A</v>
      </c>
    </row>
    <row r="151" spans="1:11" x14ac:dyDescent="0.2">
      <c r="A151" s="1129">
        <v>2087</v>
      </c>
      <c r="B151" s="2876" t="s">
        <v>4600</v>
      </c>
      <c r="C151" s="2876"/>
      <c r="D151" s="2876"/>
      <c r="E151" s="2876"/>
      <c r="F151" s="1036">
        <f>'310'!M31-'310'!O31</f>
        <v>0</v>
      </c>
      <c r="I151" s="649" t="e">
        <f t="shared" si="6"/>
        <v>#N/A</v>
      </c>
      <c r="K151" s="1610"/>
    </row>
    <row r="152" spans="1:11" x14ac:dyDescent="0.2">
      <c r="A152" s="1129">
        <v>2090</v>
      </c>
      <c r="B152" s="2876" t="s">
        <v>3869</v>
      </c>
      <c r="C152" s="2876"/>
      <c r="D152" s="2876"/>
      <c r="E152" s="2876"/>
      <c r="F152" s="1036">
        <f>'310'!M32-'310'!O32</f>
        <v>0</v>
      </c>
      <c r="I152" s="649" t="e">
        <f t="shared" si="6"/>
        <v>#N/A</v>
      </c>
    </row>
    <row r="153" spans="1:11" x14ac:dyDescent="0.2">
      <c r="A153" s="1129">
        <v>2098</v>
      </c>
      <c r="B153" s="2876" t="s">
        <v>3870</v>
      </c>
      <c r="C153" s="2876"/>
      <c r="D153" s="2876"/>
      <c r="E153" s="2876"/>
      <c r="F153" s="1036">
        <f>'310'!M33-'310'!O33</f>
        <v>0</v>
      </c>
      <c r="I153" s="649" t="e">
        <f t="shared" si="6"/>
        <v>#N/A</v>
      </c>
      <c r="K153" s="1544"/>
    </row>
    <row r="154" spans="1:11" x14ac:dyDescent="0.2">
      <c r="A154" s="1129">
        <v>2099</v>
      </c>
      <c r="B154" s="2876" t="s">
        <v>4447</v>
      </c>
      <c r="C154" s="2876"/>
      <c r="D154" s="2876"/>
      <c r="E154" s="2876"/>
      <c r="F154" s="1036">
        <f>'310'!M34-'310'!O34</f>
        <v>0</v>
      </c>
      <c r="I154" s="649" t="e">
        <f t="shared" si="6"/>
        <v>#N/A</v>
      </c>
      <c r="K154" s="1610"/>
    </row>
    <row r="155" spans="1:11" x14ac:dyDescent="0.2">
      <c r="A155" s="1129">
        <v>2095</v>
      </c>
      <c r="B155" s="2876" t="s">
        <v>1514</v>
      </c>
      <c r="C155" s="2876"/>
      <c r="D155" s="2876"/>
      <c r="E155" s="2876"/>
      <c r="F155" s="1036">
        <f>'310'!M35-'310'!O35</f>
        <v>0</v>
      </c>
      <c r="I155" s="649" t="e">
        <f t="shared" si="6"/>
        <v>#N/A</v>
      </c>
    </row>
    <row r="156" spans="1:11" x14ac:dyDescent="0.2">
      <c r="A156" s="1129">
        <v>2096</v>
      </c>
      <c r="B156" s="2876" t="s">
        <v>1515</v>
      </c>
      <c r="C156" s="2876"/>
      <c r="D156" s="2876"/>
      <c r="E156" s="2876"/>
      <c r="F156" s="1036">
        <f>'310'!M36-'310'!O36</f>
        <v>0</v>
      </c>
      <c r="G156" s="14"/>
      <c r="I156" s="649" t="e">
        <f t="shared" si="6"/>
        <v>#N/A</v>
      </c>
    </row>
    <row r="157" spans="1:11" ht="12" customHeight="1" x14ac:dyDescent="0.2">
      <c r="B157" s="2965" t="s">
        <v>751</v>
      </c>
      <c r="C157" s="2965"/>
      <c r="D157" s="2965"/>
      <c r="E157" s="2965"/>
      <c r="F157" s="661">
        <f>SUM(F136:F156)</f>
        <v>0</v>
      </c>
      <c r="I157" s="661" t="e">
        <f>SUM(I136:I156)</f>
        <v>#N/A</v>
      </c>
    </row>
    <row r="158" spans="1:11" ht="3" customHeight="1" x14ac:dyDescent="0.2">
      <c r="I158" s="649"/>
    </row>
    <row r="159" spans="1:11" x14ac:dyDescent="0.2">
      <c r="B159" s="2965" t="s">
        <v>752</v>
      </c>
      <c r="C159" s="2965"/>
      <c r="D159" s="2965"/>
      <c r="E159" s="2965"/>
      <c r="F159" s="651">
        <f>F132+F157</f>
        <v>0</v>
      </c>
      <c r="I159" s="651" t="e">
        <f>I132+I157</f>
        <v>#N/A</v>
      </c>
    </row>
    <row r="160" spans="1:11" ht="3.75" customHeight="1" x14ac:dyDescent="0.2"/>
    <row r="161" spans="1:13" ht="11.25" customHeight="1" x14ac:dyDescent="0.2">
      <c r="B161" s="394" t="s">
        <v>1931</v>
      </c>
    </row>
    <row r="162" spans="1:13" ht="11.25" customHeight="1" x14ac:dyDescent="0.2">
      <c r="A162" s="335">
        <v>1764</v>
      </c>
      <c r="B162" s="2876" t="s">
        <v>1932</v>
      </c>
      <c r="C162" s="2876"/>
      <c r="D162" s="2876"/>
      <c r="E162" s="2876"/>
      <c r="F162" s="659">
        <v>0</v>
      </c>
      <c r="I162" s="649" t="e">
        <f t="shared" ref="I162:I171" si="7">INDEX(PY905Data,MATCH($A162,PY905Row,0),MATCH($C$5,PY905Col,0))</f>
        <v>#N/A</v>
      </c>
      <c r="L162" s="2128">
        <v>71100003</v>
      </c>
    </row>
    <row r="163" spans="1:13" ht="11.25" customHeight="1" x14ac:dyDescent="0.2">
      <c r="A163" s="335">
        <v>2026</v>
      </c>
      <c r="B163" s="2876" t="s">
        <v>1933</v>
      </c>
      <c r="C163" s="2876"/>
      <c r="D163" s="2876"/>
      <c r="E163" s="2876"/>
      <c r="F163" s="659">
        <v>0</v>
      </c>
      <c r="I163" s="649" t="e">
        <f t="shared" si="7"/>
        <v>#N/A</v>
      </c>
      <c r="L163" s="2128">
        <v>71100004</v>
      </c>
    </row>
    <row r="164" spans="1:13" ht="11.25" customHeight="1" x14ac:dyDescent="0.2">
      <c r="A164" s="335">
        <v>1766</v>
      </c>
      <c r="B164" s="2876" t="s">
        <v>3557</v>
      </c>
      <c r="C164" s="2876"/>
      <c r="D164" s="2876"/>
      <c r="E164" s="2876"/>
      <c r="F164" s="659">
        <v>0</v>
      </c>
      <c r="I164" s="649" t="e">
        <f t="shared" si="7"/>
        <v>#N/A</v>
      </c>
      <c r="L164" s="2128">
        <v>71100005</v>
      </c>
    </row>
    <row r="165" spans="1:13" ht="11.25" customHeight="1" x14ac:dyDescent="0.2">
      <c r="A165" s="335">
        <v>1768</v>
      </c>
      <c r="B165" s="2876" t="s">
        <v>3574</v>
      </c>
      <c r="C165" s="2876"/>
      <c r="D165" s="2876"/>
      <c r="E165" s="2876"/>
      <c r="F165" s="659">
        <v>0</v>
      </c>
      <c r="I165" s="649" t="e">
        <f t="shared" si="7"/>
        <v>#N/A</v>
      </c>
      <c r="L165" s="2128">
        <v>71100006</v>
      </c>
    </row>
    <row r="166" spans="1:13" ht="11.25" customHeight="1" x14ac:dyDescent="0.2">
      <c r="A166" s="335">
        <v>1765</v>
      </c>
      <c r="B166" s="2876" t="s">
        <v>3872</v>
      </c>
      <c r="C166" s="2876"/>
      <c r="D166" s="2876"/>
      <c r="E166" s="2876"/>
      <c r="F166" s="659">
        <v>0</v>
      </c>
      <c r="I166" s="649" t="e">
        <f t="shared" si="7"/>
        <v>#N/A</v>
      </c>
      <c r="L166" s="2128">
        <v>71100008</v>
      </c>
    </row>
    <row r="167" spans="1:13" ht="11.25" customHeight="1" x14ac:dyDescent="0.2">
      <c r="A167" s="335">
        <v>1772</v>
      </c>
      <c r="B167" s="2876" t="s">
        <v>4449</v>
      </c>
      <c r="C167" s="2876"/>
      <c r="D167" s="2876"/>
      <c r="E167" s="2876"/>
      <c r="F167" s="659">
        <v>0</v>
      </c>
      <c r="I167" s="649" t="e">
        <f t="shared" si="7"/>
        <v>#N/A</v>
      </c>
      <c r="K167" s="1610"/>
      <c r="L167" s="2128">
        <v>71100009</v>
      </c>
    </row>
    <row r="168" spans="1:13" ht="11.25" customHeight="1" x14ac:dyDescent="0.2">
      <c r="A168" s="335">
        <v>1767</v>
      </c>
      <c r="B168" s="2876" t="s">
        <v>3871</v>
      </c>
      <c r="C168" s="2876"/>
      <c r="D168" s="2876"/>
      <c r="E168" s="2876"/>
      <c r="F168" s="659">
        <v>0</v>
      </c>
      <c r="I168" s="649" t="e">
        <f t="shared" si="7"/>
        <v>#N/A</v>
      </c>
      <c r="K168" s="1544"/>
      <c r="L168" s="2128">
        <v>71100010</v>
      </c>
    </row>
    <row r="169" spans="1:13" ht="11.25" customHeight="1" x14ac:dyDescent="0.2">
      <c r="A169" s="335">
        <v>1771</v>
      </c>
      <c r="B169" s="2876" t="s">
        <v>4448</v>
      </c>
      <c r="C169" s="2876"/>
      <c r="D169" s="2876"/>
      <c r="E169" s="2876"/>
      <c r="F169" s="659">
        <v>0</v>
      </c>
      <c r="I169" s="649" t="e">
        <f t="shared" si="7"/>
        <v>#N/A</v>
      </c>
      <c r="K169" s="1610"/>
      <c r="L169" s="2128">
        <v>71100011</v>
      </c>
    </row>
    <row r="170" spans="1:13" ht="11.25" customHeight="1" x14ac:dyDescent="0.2">
      <c r="A170" s="335">
        <v>1773</v>
      </c>
      <c r="B170" s="2974" t="s">
        <v>5512</v>
      </c>
      <c r="C170" s="2974"/>
      <c r="D170" s="2974"/>
      <c r="E170" s="2974"/>
      <c r="F170" s="659">
        <v>0</v>
      </c>
      <c r="I170" s="649" t="e">
        <f t="shared" si="7"/>
        <v>#N/A</v>
      </c>
      <c r="K170" s="1844" t="s">
        <v>5663</v>
      </c>
      <c r="L170" s="2225">
        <v>71100012</v>
      </c>
    </row>
    <row r="171" spans="1:13" ht="11.25" customHeight="1" x14ac:dyDescent="0.2">
      <c r="A171" s="335">
        <v>1769</v>
      </c>
      <c r="B171" s="2876" t="s">
        <v>3945</v>
      </c>
      <c r="C171" s="2876"/>
      <c r="D171" s="2876"/>
      <c r="E171" s="2876"/>
      <c r="F171" s="659">
        <v>0</v>
      </c>
      <c r="I171" s="649" t="e">
        <f t="shared" si="7"/>
        <v>#N/A</v>
      </c>
      <c r="L171" s="2128">
        <v>71100007</v>
      </c>
    </row>
    <row r="172" spans="1:13" ht="11.25" customHeight="1" x14ac:dyDescent="0.2">
      <c r="B172" s="2965" t="s">
        <v>1934</v>
      </c>
      <c r="C172" s="2965"/>
      <c r="D172" s="2965"/>
      <c r="E172" s="2965"/>
      <c r="F172" s="661">
        <f>SUM(F161:F171)</f>
        <v>0</v>
      </c>
      <c r="I172" s="661" t="e">
        <f>SUM(I161:I171)</f>
        <v>#N/A</v>
      </c>
    </row>
    <row r="173" spans="1:13" ht="3" customHeight="1" x14ac:dyDescent="0.2"/>
    <row r="174" spans="1:13" x14ac:dyDescent="0.2">
      <c r="B174" s="395" t="s">
        <v>1892</v>
      </c>
    </row>
    <row r="175" spans="1:13" x14ac:dyDescent="0.2">
      <c r="A175" s="335">
        <v>2130</v>
      </c>
      <c r="B175" s="2876" t="s">
        <v>1937</v>
      </c>
      <c r="C175" s="2876"/>
      <c r="D175" s="2876"/>
      <c r="E175" s="2876"/>
      <c r="F175" s="659">
        <v>0</v>
      </c>
      <c r="G175" t="str">
        <f>IF((F175&lt;=F67+F81)," ","Problem: Must be less than or equal to capital assets, depreciable and nondeprec, net")</f>
        <v xml:space="preserve"> </v>
      </c>
      <c r="I175" s="649" t="e">
        <f>INDEX(PY905Data,MATCH($A175,PY905Row,0),MATCH($C$5,PY905Col,0))</f>
        <v>#N/A</v>
      </c>
      <c r="L175" s="2128" t="s">
        <v>5110</v>
      </c>
      <c r="M175" s="2128" t="s">
        <v>5064</v>
      </c>
    </row>
    <row r="176" spans="1:13" ht="10.5" customHeight="1" x14ac:dyDescent="0.2">
      <c r="A176" s="330"/>
      <c r="B176" s="335" t="s">
        <v>1418</v>
      </c>
      <c r="C176" s="335"/>
      <c r="D176" s="335"/>
      <c r="E176" s="335"/>
      <c r="G176" s="1232" t="str">
        <f>IF(AND(SUM(F67+F81)&gt;=1,$F$175=0),"Need to calculate and key Net investment in capital assets"," ")</f>
        <v xml:space="preserve"> </v>
      </c>
      <c r="M176" s="2128"/>
    </row>
    <row r="177" spans="1:13" x14ac:dyDescent="0.2">
      <c r="A177" s="335">
        <v>2140</v>
      </c>
      <c r="B177" s="2969" t="s">
        <v>1212</v>
      </c>
      <c r="C177" s="2969"/>
      <c r="D177" s="2969"/>
      <c r="E177" s="2969"/>
      <c r="F177" s="659">
        <v>0</v>
      </c>
      <c r="G177" t="str">
        <f>IF(F177&lt;0,"Problem: Restricted net assets cannot be negative - see Net Assets Policy in Instructions"," ")</f>
        <v xml:space="preserve"> </v>
      </c>
      <c r="I177" s="649" t="e">
        <f>INDEX(PY905Data,MATCH($A177,PY905Row,0),MATCH($C$5,PY905Col,0))</f>
        <v>#N/A</v>
      </c>
      <c r="L177" s="2128" t="s">
        <v>5111</v>
      </c>
      <c r="M177" s="2128" t="s">
        <v>5016</v>
      </c>
    </row>
    <row r="178" spans="1:13" ht="11.25" customHeight="1" x14ac:dyDescent="0.2">
      <c r="A178" s="335">
        <v>2141</v>
      </c>
      <c r="B178" s="2969" t="s">
        <v>1038</v>
      </c>
      <c r="C178" s="2969"/>
      <c r="D178" s="2969"/>
      <c r="E178" s="2969"/>
      <c r="F178" s="659">
        <v>0</v>
      </c>
      <c r="G178" t="str">
        <f t="shared" ref="G178:G184" si="8">IF(F178&lt;0,"Problem: Restricted net assets cannot be negative - see Net Assets Policy in Instructions"," ")</f>
        <v xml:space="preserve"> </v>
      </c>
      <c r="I178" s="649" t="e">
        <f>INDEX(PY905Data,MATCH($A178,PY905Row,0),MATCH($C$5,PY905Col,0))</f>
        <v>#N/A</v>
      </c>
      <c r="L178" s="2128" t="s">
        <v>5111</v>
      </c>
      <c r="M178" s="2128" t="s">
        <v>4983</v>
      </c>
    </row>
    <row r="179" spans="1:13" ht="12" customHeight="1" x14ac:dyDescent="0.2">
      <c r="A179" s="335">
        <v>2142</v>
      </c>
      <c r="B179" s="2969" t="s">
        <v>1039</v>
      </c>
      <c r="C179" s="2969"/>
      <c r="D179" s="2969"/>
      <c r="E179" s="2969"/>
      <c r="F179" s="659">
        <v>0</v>
      </c>
      <c r="G179" t="str">
        <f t="shared" si="8"/>
        <v xml:space="preserve"> </v>
      </c>
      <c r="I179" s="649" t="e">
        <f>INDEX(PY905Data,MATCH($A179,PY905Row,0),MATCH($C$5,PY905Col,0))</f>
        <v>#N/A</v>
      </c>
      <c r="L179" s="2128" t="s">
        <v>5111</v>
      </c>
      <c r="M179" s="2128" t="s">
        <v>5120</v>
      </c>
    </row>
    <row r="180" spans="1:13" ht="11.25" customHeight="1" x14ac:dyDescent="0.2">
      <c r="A180" s="330"/>
      <c r="B180" s="335" t="s">
        <v>1303</v>
      </c>
      <c r="M180" s="2128"/>
    </row>
    <row r="181" spans="1:13" x14ac:dyDescent="0.2">
      <c r="A181" s="335">
        <v>2150</v>
      </c>
      <c r="B181" s="2969" t="s">
        <v>1212</v>
      </c>
      <c r="C181" s="2969"/>
      <c r="D181" s="2969"/>
      <c r="E181" s="2969"/>
      <c r="F181" s="659">
        <v>0</v>
      </c>
      <c r="G181" t="str">
        <f t="shared" si="8"/>
        <v xml:space="preserve"> </v>
      </c>
      <c r="I181" s="649" t="e">
        <f>INDEX(PY905Data,MATCH($A181,PY905Row,0),MATCH($C$5,PY905Col,0))</f>
        <v>#N/A</v>
      </c>
      <c r="L181" s="2128" t="s">
        <v>1114</v>
      </c>
      <c r="M181" s="2128" t="s">
        <v>5016</v>
      </c>
    </row>
    <row r="182" spans="1:13" x14ac:dyDescent="0.2">
      <c r="A182" s="335">
        <v>2151</v>
      </c>
      <c r="B182" s="2969" t="s">
        <v>1038</v>
      </c>
      <c r="C182" s="2969"/>
      <c r="D182" s="2969"/>
      <c r="E182" s="2969"/>
      <c r="F182" s="659">
        <v>0</v>
      </c>
      <c r="G182" t="str">
        <f t="shared" si="8"/>
        <v xml:space="preserve"> </v>
      </c>
      <c r="I182" s="649" t="e">
        <f>INDEX(PY905Data,MATCH($A182,PY905Row,0),MATCH($C$5,PY905Col,0))</f>
        <v>#N/A</v>
      </c>
      <c r="L182" s="2128" t="s">
        <v>1114</v>
      </c>
      <c r="M182" s="2128" t="s">
        <v>4983</v>
      </c>
    </row>
    <row r="183" spans="1:13" x14ac:dyDescent="0.2">
      <c r="A183" s="335">
        <v>2152</v>
      </c>
      <c r="B183" s="2969" t="s">
        <v>1039</v>
      </c>
      <c r="C183" s="2969"/>
      <c r="D183" s="2969"/>
      <c r="E183" s="2969"/>
      <c r="F183" s="659">
        <v>0</v>
      </c>
      <c r="G183" t="str">
        <f t="shared" si="8"/>
        <v xml:space="preserve"> </v>
      </c>
      <c r="I183" s="649" t="e">
        <f>INDEX(PY905Data,MATCH($A183,PY905Row,0),MATCH($C$5,PY905Col,0))</f>
        <v>#N/A</v>
      </c>
      <c r="L183" s="2128" t="s">
        <v>1114</v>
      </c>
      <c r="M183" s="2128" t="s">
        <v>5120</v>
      </c>
    </row>
    <row r="184" spans="1:13" x14ac:dyDescent="0.2">
      <c r="A184" s="335"/>
      <c r="B184" s="2982" t="s">
        <v>5658</v>
      </c>
      <c r="C184" s="2982"/>
      <c r="D184" s="2982"/>
      <c r="E184" s="2982"/>
      <c r="F184" s="659">
        <v>0</v>
      </c>
      <c r="G184" t="str">
        <f t="shared" si="8"/>
        <v xml:space="preserve"> </v>
      </c>
      <c r="I184" s="649" t="e">
        <f>INDEX(PY905Data,MATCH($A184,PY905Row,0),MATCH($C$5,PY905Col,0))</f>
        <v>#N/A</v>
      </c>
      <c r="K184" s="1844" t="s">
        <v>5664</v>
      </c>
      <c r="L184" s="2128" t="s">
        <v>1114</v>
      </c>
      <c r="M184" s="2128" t="s">
        <v>5066</v>
      </c>
    </row>
    <row r="185" spans="1:13" x14ac:dyDescent="0.2">
      <c r="A185" s="335">
        <v>2180</v>
      </c>
      <c r="B185" s="2876" t="s">
        <v>923</v>
      </c>
      <c r="C185" s="2876"/>
      <c r="D185" s="2876"/>
      <c r="E185" s="2876"/>
      <c r="F185" s="660">
        <v>0</v>
      </c>
      <c r="I185" s="649" t="e">
        <f>INDEX(PY905Data,MATCH($A185,PY905Row,0),MATCH($C$5,PY905Col,0))</f>
        <v>#N/A</v>
      </c>
      <c r="L185" s="2128" t="s">
        <v>5112</v>
      </c>
      <c r="M185" s="2128" t="s">
        <v>4969</v>
      </c>
    </row>
    <row r="186" spans="1:13" ht="12" customHeight="1" thickBot="1" x14ac:dyDescent="0.25">
      <c r="B186" s="2965" t="s">
        <v>1893</v>
      </c>
      <c r="C186" s="2965"/>
      <c r="D186" s="2965"/>
      <c r="E186" s="2965"/>
      <c r="F186" s="804">
        <f>SUM(F175:F185)</f>
        <v>0</v>
      </c>
      <c r="I186" s="804" t="e">
        <f>SUM(I175:I185)</f>
        <v>#N/A</v>
      </c>
    </row>
    <row r="187" spans="1:13" ht="4.5" customHeight="1" thickTop="1" x14ac:dyDescent="0.2">
      <c r="I187" s="649"/>
    </row>
    <row r="188" spans="1:13" ht="12.75" customHeight="1" x14ac:dyDescent="0.2">
      <c r="B188" s="335" t="s">
        <v>1935</v>
      </c>
      <c r="C188" s="785"/>
      <c r="D188" s="785"/>
      <c r="E188" s="785"/>
      <c r="F188" s="805" t="str">
        <f>IF(ROUND(F84+F94-F159-F172,2)=F186, "In Bal.","Out of Bal.")</f>
        <v>In Bal.</v>
      </c>
      <c r="I188" s="805" t="e">
        <f>IF(ROUND(I84+I94-I159-I172,2)=I186, "In Bal.","Out of Bal.")</f>
        <v>#N/A</v>
      </c>
    </row>
    <row r="189" spans="1:13" ht="12.75" customHeight="1" thickBot="1" x14ac:dyDescent="0.25">
      <c r="B189" s="335"/>
      <c r="C189" s="785"/>
      <c r="D189" s="785"/>
      <c r="E189" s="785"/>
      <c r="F189" s="805"/>
      <c r="I189" s="805"/>
    </row>
    <row r="190" spans="1:13" ht="12.75" customHeight="1" thickBot="1" x14ac:dyDescent="0.25">
      <c r="B190" s="335"/>
      <c r="C190" s="785"/>
      <c r="D190" s="1614"/>
      <c r="E190" s="1615" t="s">
        <v>4078</v>
      </c>
      <c r="F190" s="1616" t="str">
        <f>IF(ROUND(F84+F94-F159-F172,2)=F186, "0",((F84+F94-F159-F172)-F186))</f>
        <v>0</v>
      </c>
      <c r="G190" s="1616"/>
      <c r="H190" s="1616"/>
      <c r="I190" s="1617" t="e">
        <f>IF(ROUND(I84+I94-I159-I172,2)=I186, "0",((I84+I94-I159-I172)-I186))</f>
        <v>#N/A</v>
      </c>
    </row>
    <row r="191" spans="1:13" ht="7.5" customHeight="1" x14ac:dyDescent="0.2"/>
    <row r="192" spans="1:13" x14ac:dyDescent="0.2">
      <c r="B192" s="2972" t="s">
        <v>1894</v>
      </c>
      <c r="C192" s="2972"/>
      <c r="D192" s="2972"/>
      <c r="E192" s="2972"/>
      <c r="F192" s="792" t="str">
        <f>CONCATENATE("FYE ",+TEXT(Data!$A$2,"mmmm d,yyyy"))</f>
        <v>FYE June 30,2022</v>
      </c>
      <c r="I192" s="792" t="str">
        <f>CONCATENATE("FYE ",+TEXT(Data!$A$4,"mmmm d,yyyy"))</f>
        <v>FYE June 30,2021</v>
      </c>
    </row>
    <row r="193" spans="1:12" x14ac:dyDescent="0.2">
      <c r="B193" s="783" t="s">
        <v>754</v>
      </c>
      <c r="C193" s="783"/>
    </row>
    <row r="194" spans="1:12" x14ac:dyDescent="0.2">
      <c r="A194" s="335">
        <v>2310</v>
      </c>
      <c r="B194" s="2964" t="s">
        <v>782</v>
      </c>
      <c r="C194" s="2964"/>
      <c r="D194" s="2964"/>
      <c r="E194" s="2964"/>
      <c r="F194" s="658">
        <v>0</v>
      </c>
      <c r="I194" s="658" t="e">
        <f t="shared" ref="I194:I204" si="9">INDEX(PY905Data,MATCH($A194,PY905Row,0),MATCH($C$5,PY905Col,0))</f>
        <v>#N/A</v>
      </c>
      <c r="L194" s="2128">
        <v>44101000</v>
      </c>
    </row>
    <row r="195" spans="1:12" x14ac:dyDescent="0.2">
      <c r="A195" s="335">
        <v>2320</v>
      </c>
      <c r="B195" s="2964" t="s">
        <v>1425</v>
      </c>
      <c r="C195" s="2964"/>
      <c r="D195" s="2964"/>
      <c r="E195" s="2964"/>
      <c r="F195" s="659">
        <v>0</v>
      </c>
      <c r="G195" s="14"/>
      <c r="I195" s="649" t="e">
        <f t="shared" si="9"/>
        <v>#N/A</v>
      </c>
      <c r="L195" s="2128">
        <v>45800000</v>
      </c>
    </row>
    <row r="196" spans="1:12" x14ac:dyDescent="0.2">
      <c r="A196" s="335">
        <v>2330</v>
      </c>
      <c r="B196" s="2964" t="s">
        <v>1426</v>
      </c>
      <c r="C196" s="2964"/>
      <c r="D196" s="2964"/>
      <c r="E196" s="2964"/>
      <c r="F196" s="659">
        <v>0</v>
      </c>
      <c r="G196" s="14"/>
      <c r="I196" s="649" t="e">
        <f t="shared" si="9"/>
        <v>#N/A</v>
      </c>
      <c r="L196" s="2128">
        <v>44200000</v>
      </c>
    </row>
    <row r="197" spans="1:12" x14ac:dyDescent="0.2">
      <c r="A197" s="335">
        <v>2350</v>
      </c>
      <c r="B197" s="2964" t="s">
        <v>1427</v>
      </c>
      <c r="C197" s="2964"/>
      <c r="D197" s="2964"/>
      <c r="E197" s="2964"/>
      <c r="F197" s="659">
        <v>0</v>
      </c>
      <c r="G197" s="14"/>
      <c r="I197" s="649" t="e">
        <f t="shared" si="9"/>
        <v>#N/A</v>
      </c>
      <c r="L197" s="2128">
        <v>42997000</v>
      </c>
    </row>
    <row r="198" spans="1:12" x14ac:dyDescent="0.2">
      <c r="A198" s="335">
        <v>2370</v>
      </c>
      <c r="B198" s="2964" t="s">
        <v>388</v>
      </c>
      <c r="C198" s="2964"/>
      <c r="D198" s="2964"/>
      <c r="E198" s="2964"/>
      <c r="F198" s="659">
        <v>0</v>
      </c>
      <c r="I198" s="649" t="e">
        <f t="shared" si="9"/>
        <v>#N/A</v>
      </c>
      <c r="L198" s="2193" t="s">
        <v>5113</v>
      </c>
    </row>
    <row r="199" spans="1:12" x14ac:dyDescent="0.2">
      <c r="A199" s="335">
        <v>2390</v>
      </c>
      <c r="B199" s="2968" t="s">
        <v>389</v>
      </c>
      <c r="C199" s="2968"/>
      <c r="D199" s="2968"/>
      <c r="E199" s="2968"/>
      <c r="F199" s="659">
        <v>0</v>
      </c>
      <c r="I199" s="649" t="e">
        <f t="shared" si="9"/>
        <v>#N/A</v>
      </c>
      <c r="L199" s="2193" t="s">
        <v>5114</v>
      </c>
    </row>
    <row r="200" spans="1:12" x14ac:dyDescent="0.2">
      <c r="A200" s="335">
        <v>2400</v>
      </c>
      <c r="B200" s="2876" t="s">
        <v>390</v>
      </c>
      <c r="C200" s="2876"/>
      <c r="D200" s="2876"/>
      <c r="E200" s="2876"/>
      <c r="F200" s="659">
        <v>0</v>
      </c>
      <c r="I200" s="649" t="e">
        <f t="shared" si="9"/>
        <v>#N/A</v>
      </c>
      <c r="L200" s="2193" t="s">
        <v>5115</v>
      </c>
    </row>
    <row r="201" spans="1:12" x14ac:dyDescent="0.2">
      <c r="A201" s="335">
        <v>2410</v>
      </c>
      <c r="B201" s="2876" t="s">
        <v>391</v>
      </c>
      <c r="C201" s="2876"/>
      <c r="D201" s="2876"/>
      <c r="E201" s="2876"/>
      <c r="F201" s="659">
        <v>0</v>
      </c>
      <c r="I201" s="649" t="e">
        <f t="shared" si="9"/>
        <v>#N/A</v>
      </c>
      <c r="L201" s="2128">
        <v>43200000</v>
      </c>
    </row>
    <row r="202" spans="1:12" x14ac:dyDescent="0.2">
      <c r="A202" s="335">
        <v>2420</v>
      </c>
      <c r="B202" s="2876" t="s">
        <v>783</v>
      </c>
      <c r="C202" s="2876"/>
      <c r="D202" s="2876"/>
      <c r="E202" s="2876"/>
      <c r="F202" s="659">
        <v>0</v>
      </c>
      <c r="I202" s="649" t="e">
        <f t="shared" si="9"/>
        <v>#N/A</v>
      </c>
      <c r="L202" s="2128">
        <v>44410000</v>
      </c>
    </row>
    <row r="203" spans="1:12" x14ac:dyDescent="0.2">
      <c r="A203" s="335">
        <v>2430</v>
      </c>
      <c r="B203" s="2876" t="s">
        <v>8</v>
      </c>
      <c r="C203" s="2876"/>
      <c r="D203" s="2876"/>
      <c r="E203" s="2876"/>
      <c r="F203" s="659">
        <v>0</v>
      </c>
      <c r="I203" s="649" t="e">
        <f t="shared" si="9"/>
        <v>#N/A</v>
      </c>
      <c r="L203" s="2128">
        <v>47993000</v>
      </c>
    </row>
    <row r="204" spans="1:12" x14ac:dyDescent="0.2">
      <c r="A204" s="335">
        <v>2450</v>
      </c>
      <c r="B204" s="2876" t="s">
        <v>643</v>
      </c>
      <c r="C204" s="2876"/>
      <c r="D204" s="2876"/>
      <c r="E204" s="2876"/>
      <c r="F204" s="660">
        <v>0</v>
      </c>
      <c r="I204" s="649" t="e">
        <f t="shared" si="9"/>
        <v>#N/A</v>
      </c>
      <c r="L204" s="2128">
        <v>47111000</v>
      </c>
    </row>
    <row r="205" spans="1:12" x14ac:dyDescent="0.2">
      <c r="A205" s="785"/>
      <c r="B205" s="2965" t="s">
        <v>753</v>
      </c>
      <c r="C205" s="2965"/>
      <c r="D205" s="2965"/>
      <c r="E205" s="2965"/>
      <c r="F205" s="661">
        <f>SUM(F194:F204)</f>
        <v>0</v>
      </c>
      <c r="I205" s="661" t="e">
        <f>SUM(I194:I204)</f>
        <v>#N/A</v>
      </c>
    </row>
    <row r="206" spans="1:12" ht="5.25" customHeight="1" x14ac:dyDescent="0.2"/>
    <row r="207" spans="1:12" ht="13.5" customHeight="1" x14ac:dyDescent="0.2">
      <c r="B207" s="783" t="s">
        <v>755</v>
      </c>
    </row>
    <row r="208" spans="1:12" x14ac:dyDescent="0.2">
      <c r="A208" s="335">
        <v>2490</v>
      </c>
      <c r="B208" s="2964" t="s">
        <v>394</v>
      </c>
      <c r="C208" s="2964"/>
      <c r="D208" s="2964"/>
      <c r="E208" s="2964"/>
      <c r="F208" s="659">
        <v>0</v>
      </c>
      <c r="I208" s="649" t="e">
        <f t="shared" ref="I208:I215" si="10">INDEX(PY905Data,MATCH($A208,PY905Row,0),MATCH($C$5,PY905Col,0))</f>
        <v>#N/A</v>
      </c>
      <c r="K208" s="272"/>
      <c r="L208" s="2128">
        <v>51110000</v>
      </c>
    </row>
    <row r="209" spans="1:12" x14ac:dyDescent="0.2">
      <c r="A209" s="335">
        <v>2510</v>
      </c>
      <c r="B209" s="2964" t="s">
        <v>395</v>
      </c>
      <c r="C209" s="2964"/>
      <c r="D209" s="2964"/>
      <c r="E209" s="2964"/>
      <c r="F209" s="659">
        <v>0</v>
      </c>
      <c r="I209" s="649" t="e">
        <f t="shared" si="10"/>
        <v>#N/A</v>
      </c>
      <c r="L209" s="2128">
        <v>53110000</v>
      </c>
    </row>
    <row r="210" spans="1:12" x14ac:dyDescent="0.2">
      <c r="A210" s="335">
        <v>2520</v>
      </c>
      <c r="B210" s="2968" t="s">
        <v>396</v>
      </c>
      <c r="C210" s="2968"/>
      <c r="D210" s="2968"/>
      <c r="E210" s="2968"/>
      <c r="F210" s="659">
        <v>0</v>
      </c>
      <c r="I210" s="649" t="e">
        <f t="shared" si="10"/>
        <v>#N/A</v>
      </c>
      <c r="L210" s="2128">
        <v>52110000</v>
      </c>
    </row>
    <row r="211" spans="1:12" x14ac:dyDescent="0.2">
      <c r="A211" s="335">
        <v>2550</v>
      </c>
      <c r="B211" s="2876" t="s">
        <v>397</v>
      </c>
      <c r="C211" s="2876"/>
      <c r="D211" s="2876"/>
      <c r="E211" s="2876"/>
      <c r="F211" s="659">
        <v>0</v>
      </c>
      <c r="I211" s="649" t="e">
        <f t="shared" si="10"/>
        <v>#N/A</v>
      </c>
      <c r="L211" s="2128">
        <v>53800000</v>
      </c>
    </row>
    <row r="212" spans="1:12" x14ac:dyDescent="0.2">
      <c r="A212" s="335">
        <v>2540</v>
      </c>
      <c r="B212" s="2876" t="s">
        <v>1171</v>
      </c>
      <c r="C212" s="2876"/>
      <c r="D212" s="2876"/>
      <c r="E212" s="2876"/>
      <c r="F212" s="659">
        <v>0</v>
      </c>
      <c r="I212" s="649" t="e">
        <f t="shared" si="10"/>
        <v>#N/A</v>
      </c>
      <c r="L212" s="2128">
        <v>55210000</v>
      </c>
    </row>
    <row r="213" spans="1:12" x14ac:dyDescent="0.2">
      <c r="A213" s="335">
        <v>2560</v>
      </c>
      <c r="B213" s="2876" t="s">
        <v>379</v>
      </c>
      <c r="C213" s="2876"/>
      <c r="D213" s="2876"/>
      <c r="E213" s="2876"/>
      <c r="F213" s="659">
        <v>0</v>
      </c>
      <c r="G213" s="14" t="str">
        <f>IF(F213='210'!M31," ","Should agree to total accumulated depreciation increases per ws 210, cell K25; provide explanation for difference on ws 210")</f>
        <v xml:space="preserve"> </v>
      </c>
      <c r="I213" s="649" t="e">
        <f t="shared" si="10"/>
        <v>#N/A</v>
      </c>
      <c r="L213" s="2128">
        <v>55430000</v>
      </c>
    </row>
    <row r="214" spans="1:12" x14ac:dyDescent="0.2">
      <c r="A214" s="335">
        <v>2570</v>
      </c>
      <c r="B214" s="2876" t="s">
        <v>1183</v>
      </c>
      <c r="C214" s="2876"/>
      <c r="D214" s="2876"/>
      <c r="E214" s="2876"/>
      <c r="F214" s="659">
        <v>0</v>
      </c>
      <c r="I214" s="649" t="e">
        <f t="shared" si="10"/>
        <v>#N/A</v>
      </c>
      <c r="L214" s="2128">
        <v>52911000</v>
      </c>
    </row>
    <row r="215" spans="1:12" x14ac:dyDescent="0.2">
      <c r="A215" s="335">
        <v>2590</v>
      </c>
      <c r="B215" s="2876" t="s">
        <v>1428</v>
      </c>
      <c r="C215" s="2876"/>
      <c r="D215" s="2876"/>
      <c r="E215" s="2876"/>
      <c r="F215" s="659">
        <v>0</v>
      </c>
      <c r="G215" s="14"/>
      <c r="I215" s="649" t="e">
        <f t="shared" si="10"/>
        <v>#N/A</v>
      </c>
      <c r="L215" s="2128">
        <v>56810000</v>
      </c>
    </row>
    <row r="216" spans="1:12" x14ac:dyDescent="0.2">
      <c r="A216" s="335"/>
      <c r="B216" s="335" t="s">
        <v>635</v>
      </c>
      <c r="C216" s="1436"/>
      <c r="D216" s="1436"/>
      <c r="E216" s="1436"/>
      <c r="F216" s="1436"/>
      <c r="G216" s="14"/>
      <c r="I216" s="649"/>
    </row>
    <row r="217" spans="1:12" x14ac:dyDescent="0.2">
      <c r="A217" s="335">
        <v>2610</v>
      </c>
      <c r="B217" s="2969" t="s">
        <v>1429</v>
      </c>
      <c r="C217" s="2969"/>
      <c r="D217" s="2969"/>
      <c r="E217" s="2969"/>
      <c r="F217" s="659">
        <v>0</v>
      </c>
      <c r="G217" s="14"/>
      <c r="I217" s="649" t="e">
        <f>INDEX(PY905Data,MATCH($A217,PY905Row,0),MATCH($C$5,PY905Col,0))</f>
        <v>#N/A</v>
      </c>
      <c r="L217" s="2128">
        <v>52410000</v>
      </c>
    </row>
    <row r="218" spans="1:12" x14ac:dyDescent="0.2">
      <c r="A218" s="335">
        <v>2625</v>
      </c>
      <c r="B218" s="2969" t="s">
        <v>1464</v>
      </c>
      <c r="C218" s="2969"/>
      <c r="D218" s="2969"/>
      <c r="E218" s="2969"/>
      <c r="F218" s="659">
        <v>0</v>
      </c>
      <c r="G218" s="14"/>
      <c r="I218" s="649" t="e">
        <f>INDEX(PY905Data,MATCH($A218,PY905Row,0),MATCH($C$5,PY905Col,0))</f>
        <v>#N/A</v>
      </c>
      <c r="L218" s="2193">
        <v>56900000</v>
      </c>
    </row>
    <row r="219" spans="1:12" x14ac:dyDescent="0.2">
      <c r="A219" s="335">
        <v>2630</v>
      </c>
      <c r="B219" s="2969" t="s">
        <v>1430</v>
      </c>
      <c r="C219" s="2969"/>
      <c r="D219" s="2969"/>
      <c r="E219" s="2969"/>
      <c r="F219" s="660">
        <v>0</v>
      </c>
      <c r="G219" s="14"/>
      <c r="I219" s="649" t="e">
        <f>INDEX(PY905Data,MATCH($A219,PY905Row,0),MATCH($C$5,PY905Col,0))</f>
        <v>#N/A</v>
      </c>
      <c r="L219" s="2128">
        <v>52511000</v>
      </c>
    </row>
    <row r="220" spans="1:12" x14ac:dyDescent="0.2">
      <c r="B220" s="2965" t="s">
        <v>756</v>
      </c>
      <c r="C220" s="2965"/>
      <c r="D220" s="2965"/>
      <c r="E220" s="2965"/>
      <c r="F220" s="706">
        <f>SUM(F208:F219)</f>
        <v>0</v>
      </c>
      <c r="I220" s="706" t="e">
        <f>SUM(I208:I219)</f>
        <v>#N/A</v>
      </c>
    </row>
    <row r="221" spans="1:12" x14ac:dyDescent="0.2">
      <c r="B221" s="2965" t="s">
        <v>757</v>
      </c>
      <c r="C221" s="2965"/>
      <c r="D221" s="2965"/>
      <c r="E221" s="2965"/>
      <c r="F221" s="706">
        <f>F205-F220</f>
        <v>0</v>
      </c>
      <c r="I221" s="706" t="e">
        <f>I205-I220</f>
        <v>#N/A</v>
      </c>
    </row>
    <row r="222" spans="1:12" ht="3.75" customHeight="1" x14ac:dyDescent="0.2">
      <c r="B222" s="691"/>
      <c r="C222" s="691"/>
      <c r="D222" s="691"/>
      <c r="E222" s="691"/>
    </row>
    <row r="223" spans="1:12" x14ac:dyDescent="0.2">
      <c r="B223" s="783" t="s">
        <v>1185</v>
      </c>
    </row>
    <row r="224" spans="1:12" x14ac:dyDescent="0.2">
      <c r="A224" s="335">
        <v>2690</v>
      </c>
      <c r="B224" s="2964" t="s">
        <v>898</v>
      </c>
      <c r="C224" s="2964"/>
      <c r="D224" s="2964"/>
      <c r="E224" s="2964"/>
      <c r="F224" s="659">
        <v>0</v>
      </c>
      <c r="G224" s="938"/>
      <c r="I224" s="649" t="e">
        <f t="shared" ref="I224:I242" si="11">INDEX(PY905Data,MATCH($A224,PY905Row,0),MATCH($C$5,PY905Col,0))</f>
        <v>#N/A</v>
      </c>
      <c r="L224" s="2128">
        <v>49100000</v>
      </c>
    </row>
    <row r="225" spans="1:12" x14ac:dyDescent="0.2">
      <c r="A225" s="335">
        <v>2691</v>
      </c>
      <c r="B225" s="2964" t="s">
        <v>1452</v>
      </c>
      <c r="C225" s="2964"/>
      <c r="D225" s="2964"/>
      <c r="E225" s="2964"/>
      <c r="F225" s="659">
        <v>0</v>
      </c>
      <c r="G225" s="1070"/>
      <c r="I225" s="649" t="e">
        <f t="shared" si="11"/>
        <v>#N/A</v>
      </c>
      <c r="L225" s="2128">
        <v>42908000</v>
      </c>
    </row>
    <row r="226" spans="1:12" x14ac:dyDescent="0.2">
      <c r="A226" s="335">
        <v>2692</v>
      </c>
      <c r="B226" s="2964" t="s">
        <v>1339</v>
      </c>
      <c r="C226" s="2964"/>
      <c r="D226" s="2964"/>
      <c r="E226" s="2964"/>
      <c r="F226" s="659">
        <v>0</v>
      </c>
      <c r="G226" s="938"/>
      <c r="I226" s="649" t="e">
        <f t="shared" si="11"/>
        <v>#N/A</v>
      </c>
      <c r="L226" s="2128">
        <v>42990000</v>
      </c>
    </row>
    <row r="227" spans="1:12" x14ac:dyDescent="0.2">
      <c r="A227" s="335">
        <v>2693</v>
      </c>
      <c r="B227" s="2964" t="s">
        <v>5137</v>
      </c>
      <c r="C227" s="2964"/>
      <c r="D227" s="2964"/>
      <c r="E227" s="2964"/>
      <c r="F227" s="659">
        <v>0</v>
      </c>
      <c r="G227" s="938"/>
      <c r="I227" s="649" t="e">
        <f t="shared" si="11"/>
        <v>#N/A</v>
      </c>
      <c r="K227" s="1610" t="s">
        <v>4806</v>
      </c>
      <c r="L227" s="2193">
        <v>42905000</v>
      </c>
    </row>
    <row r="228" spans="1:12" x14ac:dyDescent="0.2">
      <c r="A228" s="335">
        <v>2700</v>
      </c>
      <c r="B228" s="2964" t="s">
        <v>1186</v>
      </c>
      <c r="C228" s="2964"/>
      <c r="D228" s="2964"/>
      <c r="E228" s="2964"/>
      <c r="F228" s="659">
        <v>0</v>
      </c>
      <c r="I228" s="649" t="e">
        <f t="shared" si="11"/>
        <v>#N/A</v>
      </c>
      <c r="L228" s="2193" t="s">
        <v>5116</v>
      </c>
    </row>
    <row r="229" spans="1:12" x14ac:dyDescent="0.2">
      <c r="A229" s="335">
        <v>2701</v>
      </c>
      <c r="B229" s="2964" t="s">
        <v>4795</v>
      </c>
      <c r="C229" s="2964"/>
      <c r="D229" s="2964"/>
      <c r="E229" s="2964"/>
      <c r="F229" s="659">
        <v>0</v>
      </c>
      <c r="I229" s="649" t="e">
        <f t="shared" si="11"/>
        <v>#N/A</v>
      </c>
      <c r="K229" s="1610" t="s">
        <v>4806</v>
      </c>
      <c r="L229" s="2193" t="s">
        <v>5117</v>
      </c>
    </row>
    <row r="230" spans="1:12" x14ac:dyDescent="0.2">
      <c r="A230" s="335">
        <v>2710</v>
      </c>
      <c r="B230" s="2968" t="s">
        <v>1187</v>
      </c>
      <c r="C230" s="2968"/>
      <c r="D230" s="2968"/>
      <c r="E230" s="2968"/>
      <c r="F230" s="659">
        <v>0</v>
      </c>
      <c r="I230" s="649" t="e">
        <f t="shared" si="11"/>
        <v>#N/A</v>
      </c>
      <c r="L230" s="2128">
        <v>46200000</v>
      </c>
    </row>
    <row r="231" spans="1:12" x14ac:dyDescent="0.2">
      <c r="A231" s="335">
        <v>2711</v>
      </c>
      <c r="B231" s="2968" t="s">
        <v>5313</v>
      </c>
      <c r="C231" s="2968"/>
      <c r="D231" s="2968"/>
      <c r="E231" s="2968"/>
      <c r="F231" s="659">
        <v>0</v>
      </c>
      <c r="I231" s="649" t="e">
        <f t="shared" si="11"/>
        <v>#N/A</v>
      </c>
      <c r="K231" s="1610" t="s">
        <v>4806</v>
      </c>
      <c r="L231" s="2128">
        <v>46207000</v>
      </c>
    </row>
    <row r="232" spans="1:12" x14ac:dyDescent="0.2">
      <c r="A232" s="335">
        <v>2720</v>
      </c>
      <c r="B232" s="2876" t="s">
        <v>1188</v>
      </c>
      <c r="C232" s="2876"/>
      <c r="D232" s="2876"/>
      <c r="E232" s="2876"/>
      <c r="F232" s="863">
        <v>0</v>
      </c>
      <c r="G232" s="1078" t="str">
        <f>IF(F232&gt;0, "Problem: Expense must be entered as negative number"," ")</f>
        <v xml:space="preserve"> </v>
      </c>
      <c r="I232" s="649" t="e">
        <f t="shared" si="11"/>
        <v>#N/A</v>
      </c>
      <c r="L232" s="2128">
        <v>55321000</v>
      </c>
    </row>
    <row r="233" spans="1:12" x14ac:dyDescent="0.2">
      <c r="A233" s="335">
        <v>2740</v>
      </c>
      <c r="B233" s="2876" t="s">
        <v>758</v>
      </c>
      <c r="C233" s="2876"/>
      <c r="D233" s="2876"/>
      <c r="E233" s="2876"/>
      <c r="F233" s="863">
        <v>0</v>
      </c>
      <c r="G233" s="1078" t="str">
        <f>IF(F233&lt;0, "Problem: Gain must be entered as positive number; if loss, please key to loss caption below instead"," ")</f>
        <v xml:space="preserve"> </v>
      </c>
      <c r="I233" s="649" t="e">
        <f t="shared" si="11"/>
        <v>#N/A</v>
      </c>
      <c r="L233" s="2128">
        <v>44330000</v>
      </c>
    </row>
    <row r="234" spans="1:12" x14ac:dyDescent="0.2">
      <c r="A234" s="335">
        <v>2750</v>
      </c>
      <c r="B234" s="2876" t="s">
        <v>759</v>
      </c>
      <c r="C234" s="2876"/>
      <c r="D234" s="2876"/>
      <c r="E234" s="2876"/>
      <c r="F234" s="863">
        <v>0</v>
      </c>
      <c r="G234" s="1078" t="str">
        <f>IF(F234&gt;0, "Problem: Expense/Loss must be entered as negative number; if gain, please key to gain caption above instead"," ")</f>
        <v xml:space="preserve"> </v>
      </c>
      <c r="I234" s="649" t="e">
        <f t="shared" si="11"/>
        <v>#N/A</v>
      </c>
      <c r="L234" s="2128">
        <v>55650000</v>
      </c>
    </row>
    <row r="235" spans="1:12" x14ac:dyDescent="0.2">
      <c r="A235" s="335">
        <v>2755</v>
      </c>
      <c r="B235" s="2876" t="s">
        <v>4478</v>
      </c>
      <c r="C235" s="2876"/>
      <c r="D235" s="2876"/>
      <c r="E235" s="2876"/>
      <c r="F235" s="659">
        <v>0</v>
      </c>
      <c r="I235" s="649" t="e">
        <f t="shared" si="11"/>
        <v>#N/A</v>
      </c>
      <c r="K235" s="1610"/>
      <c r="L235" s="2128">
        <v>55341000</v>
      </c>
    </row>
    <row r="236" spans="1:12" x14ac:dyDescent="0.2">
      <c r="A236" s="335">
        <v>2760</v>
      </c>
      <c r="B236" s="2876" t="s">
        <v>1045</v>
      </c>
      <c r="C236" s="2876"/>
      <c r="D236" s="2876"/>
      <c r="E236" s="2876"/>
      <c r="F236" s="659">
        <v>0</v>
      </c>
      <c r="I236" s="649" t="e">
        <f t="shared" si="11"/>
        <v>#N/A</v>
      </c>
      <c r="L236" s="2128">
        <v>43111000</v>
      </c>
    </row>
    <row r="237" spans="1:12" x14ac:dyDescent="0.2">
      <c r="A237" s="335">
        <v>2770</v>
      </c>
      <c r="B237" s="2876" t="s">
        <v>1076</v>
      </c>
      <c r="C237" s="2876"/>
      <c r="D237" s="2876"/>
      <c r="E237" s="2876"/>
      <c r="F237" s="659">
        <v>0</v>
      </c>
      <c r="I237" s="649" t="e">
        <f t="shared" si="11"/>
        <v>#N/A</v>
      </c>
      <c r="L237" s="2128">
        <v>47116000</v>
      </c>
    </row>
    <row r="238" spans="1:12" x14ac:dyDescent="0.2">
      <c r="A238" s="335">
        <v>2780</v>
      </c>
      <c r="B238" s="2876" t="s">
        <v>799</v>
      </c>
      <c r="C238" s="2876"/>
      <c r="D238" s="2876"/>
      <c r="E238" s="2876"/>
      <c r="F238" s="863">
        <v>0</v>
      </c>
      <c r="G238" s="1078" t="str">
        <f>IF(F238&gt;0, "Problem: Nonoperating expense must be entered as negative number; if grant revenue, please see captions above"," ")</f>
        <v xml:space="preserve"> </v>
      </c>
      <c r="I238" s="649" t="e">
        <f t="shared" si="11"/>
        <v>#N/A</v>
      </c>
      <c r="L238" s="2193" t="s">
        <v>5118</v>
      </c>
    </row>
    <row r="239" spans="1:12" x14ac:dyDescent="0.2">
      <c r="A239" s="335">
        <v>2785</v>
      </c>
      <c r="B239" s="2876" t="s">
        <v>1431</v>
      </c>
      <c r="C239" s="2876"/>
      <c r="D239" s="2876"/>
      <c r="E239" s="2876"/>
      <c r="F239" s="659">
        <v>0</v>
      </c>
      <c r="G239" s="14"/>
      <c r="I239" s="649" t="e">
        <f t="shared" si="11"/>
        <v>#N/A</v>
      </c>
      <c r="L239" s="2128">
        <v>42907000</v>
      </c>
    </row>
    <row r="240" spans="1:12" x14ac:dyDescent="0.2">
      <c r="A240" s="335">
        <v>2786</v>
      </c>
      <c r="B240" s="2974" t="s">
        <v>5513</v>
      </c>
      <c r="C240" s="2974"/>
      <c r="D240" s="2974"/>
      <c r="E240" s="2974"/>
      <c r="F240" s="659">
        <v>0</v>
      </c>
      <c r="G240" s="14"/>
      <c r="I240" s="649" t="e">
        <f t="shared" si="11"/>
        <v>#N/A</v>
      </c>
      <c r="K240" s="1844" t="s">
        <v>5663</v>
      </c>
      <c r="L240" s="2225">
        <v>47128000</v>
      </c>
    </row>
    <row r="241" spans="1:12" x14ac:dyDescent="0.2">
      <c r="A241" s="335">
        <v>2800</v>
      </c>
      <c r="B241" s="2876" t="s">
        <v>800</v>
      </c>
      <c r="C241" s="2876"/>
      <c r="D241" s="2876"/>
      <c r="E241" s="2876"/>
      <c r="F241" s="863">
        <v>0</v>
      </c>
      <c r="G241" s="1078" t="str">
        <f>IF(F241&lt;0, "Problem: Misc nonperating revenue must be entered as positive number; if expense key to nonoperating expense caption below"," ")</f>
        <v xml:space="preserve"> </v>
      </c>
      <c r="I241" s="649" t="e">
        <f t="shared" si="11"/>
        <v>#N/A</v>
      </c>
      <c r="L241" s="2128">
        <v>44321000</v>
      </c>
    </row>
    <row r="242" spans="1:12" x14ac:dyDescent="0.2">
      <c r="A242" s="335">
        <v>2810</v>
      </c>
      <c r="B242" s="2876" t="s">
        <v>801</v>
      </c>
      <c r="C242" s="2876"/>
      <c r="D242" s="2876"/>
      <c r="E242" s="2876"/>
      <c r="F242" s="863">
        <v>0</v>
      </c>
      <c r="G242" s="1078" t="str">
        <f>IF(F242&gt;0, "Problem: Misc nonoperating expense must be entered as negative number; if revenue, key to nonoperating revenue caption above."," ")</f>
        <v xml:space="preserve"> </v>
      </c>
      <c r="I242" s="649" t="e">
        <f t="shared" si="11"/>
        <v>#N/A</v>
      </c>
      <c r="L242" s="2128">
        <v>55332000</v>
      </c>
    </row>
    <row r="243" spans="1:12" x14ac:dyDescent="0.2">
      <c r="B243" s="2965" t="s">
        <v>760</v>
      </c>
      <c r="C243" s="2965"/>
      <c r="D243" s="2965"/>
      <c r="E243" s="2965"/>
      <c r="F243" s="661">
        <f>SUM(F224:F242)</f>
        <v>0</v>
      </c>
      <c r="I243" s="661" t="e">
        <f>SUM(I224:I242)</f>
        <v>#N/A</v>
      </c>
    </row>
    <row r="244" spans="1:12" x14ac:dyDescent="0.2">
      <c r="B244" s="2965" t="s">
        <v>761</v>
      </c>
      <c r="C244" s="2965"/>
      <c r="D244" s="2965"/>
      <c r="E244" s="2965"/>
      <c r="F244" s="661">
        <f>F221+F243</f>
        <v>0</v>
      </c>
      <c r="I244" s="661" t="e">
        <f>I221+I243</f>
        <v>#N/A</v>
      </c>
      <c r="L244" s="2193"/>
    </row>
    <row r="245" spans="1:12" x14ac:dyDescent="0.2">
      <c r="A245" s="937">
        <v>2870</v>
      </c>
      <c r="B245" s="2964" t="s">
        <v>762</v>
      </c>
      <c r="C245" s="2964"/>
      <c r="D245" s="2964"/>
      <c r="E245" s="2964"/>
      <c r="F245" s="659">
        <v>0</v>
      </c>
      <c r="G245" s="938"/>
      <c r="I245" s="649" t="e">
        <f t="shared" ref="I245:I251" si="12">INDEX(PY905Data,MATCH($A245,PY905Row,0),MATCH($C$5,PY905Col,0))</f>
        <v>#N/A</v>
      </c>
      <c r="L245" s="2128">
        <v>42901000</v>
      </c>
    </row>
    <row r="246" spans="1:12" x14ac:dyDescent="0.2">
      <c r="A246" s="335">
        <v>2880</v>
      </c>
      <c r="B246" s="2964" t="s">
        <v>241</v>
      </c>
      <c r="C246" s="2964"/>
      <c r="D246" s="2964"/>
      <c r="E246" s="2964"/>
      <c r="F246" s="659">
        <v>0</v>
      </c>
      <c r="I246" s="649" t="e">
        <f t="shared" si="12"/>
        <v>#N/A</v>
      </c>
      <c r="L246" s="2193" t="s">
        <v>5119</v>
      </c>
    </row>
    <row r="247" spans="1:12" x14ac:dyDescent="0.2">
      <c r="A247" s="335">
        <v>2890</v>
      </c>
      <c r="B247" s="2964" t="s">
        <v>242</v>
      </c>
      <c r="C247" s="2964"/>
      <c r="D247" s="2964"/>
      <c r="E247" s="2964"/>
      <c r="F247" s="659">
        <v>0</v>
      </c>
      <c r="I247" s="649" t="e">
        <f t="shared" si="12"/>
        <v>#N/A</v>
      </c>
      <c r="L247" s="2128">
        <v>46203000</v>
      </c>
    </row>
    <row r="248" spans="1:12" x14ac:dyDescent="0.2">
      <c r="A248" s="335">
        <v>2900</v>
      </c>
      <c r="B248" s="2964" t="s">
        <v>1432</v>
      </c>
      <c r="C248" s="2964"/>
      <c r="D248" s="2964"/>
      <c r="E248" s="2964"/>
      <c r="F248" s="659">
        <v>0</v>
      </c>
      <c r="G248" s="14"/>
      <c r="I248" s="649" t="e">
        <f t="shared" si="12"/>
        <v>#N/A</v>
      </c>
      <c r="L248" s="2128">
        <v>46205000</v>
      </c>
    </row>
    <row r="249" spans="1:12" x14ac:dyDescent="0.2">
      <c r="A249" s="1129">
        <v>2940</v>
      </c>
      <c r="B249" s="2964" t="s">
        <v>1516</v>
      </c>
      <c r="C249" s="2964"/>
      <c r="D249" s="2964"/>
      <c r="E249" s="2964"/>
      <c r="F249" s="1036">
        <f>'565'!H29</f>
        <v>0</v>
      </c>
      <c r="G249" t="str">
        <f>IF(F249='565'!H29," ","Problem: Must agree to ws 565 total Interinstitutional transfers")</f>
        <v xml:space="preserve"> </v>
      </c>
      <c r="I249" s="649" t="e">
        <f t="shared" si="12"/>
        <v>#N/A</v>
      </c>
      <c r="L249" s="2128">
        <v>48700000</v>
      </c>
    </row>
    <row r="250" spans="1:12" x14ac:dyDescent="0.2">
      <c r="A250" s="335">
        <v>2950</v>
      </c>
      <c r="B250" s="2964" t="s">
        <v>243</v>
      </c>
      <c r="C250" s="2964"/>
      <c r="D250" s="2964"/>
      <c r="E250" s="2964"/>
      <c r="F250" s="865">
        <v>0</v>
      </c>
      <c r="G250" s="864" t="str">
        <f>IF(AND(ABS(F250)&gt;=1,ABS(F250)&lt;10000000),"Problem: Under $10 million threshold - reclassify to another rev or exp"," ")</f>
        <v xml:space="preserve"> </v>
      </c>
      <c r="I250" s="649" t="e">
        <f t="shared" si="12"/>
        <v>#N/A</v>
      </c>
      <c r="L250" s="2128">
        <v>47750000</v>
      </c>
    </row>
    <row r="251" spans="1:12" x14ac:dyDescent="0.2">
      <c r="A251" s="335">
        <v>2960</v>
      </c>
      <c r="B251" s="2964" t="s">
        <v>244</v>
      </c>
      <c r="C251" s="2964"/>
      <c r="D251" s="2964"/>
      <c r="E251" s="2964"/>
      <c r="F251" s="1287">
        <v>0</v>
      </c>
      <c r="G251" s="864" t="str">
        <f>IF(AND(ABS(F251)&gt;=1,ABS(F251)&lt;10000000),"Problem: Under $10 million threshold - reclassify to another rev or exp"," ")</f>
        <v xml:space="preserve"> </v>
      </c>
      <c r="I251" s="651" t="e">
        <f t="shared" si="12"/>
        <v>#N/A</v>
      </c>
      <c r="L251" s="2128">
        <v>47700000</v>
      </c>
    </row>
    <row r="252" spans="1:12" x14ac:dyDescent="0.2">
      <c r="B252" s="2965" t="s">
        <v>1898</v>
      </c>
      <c r="C252" s="2965"/>
      <c r="D252" s="2965"/>
      <c r="E252" s="2965"/>
      <c r="F252" s="649">
        <f>SUM(F244:F251)</f>
        <v>0</v>
      </c>
      <c r="I252" s="649" t="e">
        <f>SUM(I244:I251)</f>
        <v>#N/A</v>
      </c>
    </row>
    <row r="253" spans="1:12" x14ac:dyDescent="0.2">
      <c r="A253" s="785">
        <v>2980</v>
      </c>
      <c r="B253" s="2964" t="s">
        <v>1896</v>
      </c>
      <c r="C253" s="2964"/>
      <c r="D253" s="2964"/>
      <c r="E253" s="2964"/>
      <c r="F253" s="1036" t="e">
        <f>INDEX(NetAssetsData,MATCH('905'!$C$5,NetAssetsDataRow,0),3)</f>
        <v>#N/A</v>
      </c>
      <c r="I253" s="649" t="e">
        <f>INDEX(PY905Data,MATCH($A253,PY905Row,0),MATCH($C$5,PY905Col,0))</f>
        <v>#N/A</v>
      </c>
    </row>
    <row r="254" spans="1:12" x14ac:dyDescent="0.2">
      <c r="A254" s="785">
        <v>2990</v>
      </c>
      <c r="B254" s="2964" t="s">
        <v>1054</v>
      </c>
      <c r="C254" s="2964"/>
      <c r="D254" s="2964"/>
      <c r="E254" s="2964"/>
      <c r="F254" s="660">
        <v>0</v>
      </c>
      <c r="I254" s="649" t="e">
        <f>INDEX(PY905Data,MATCH($A254,PY905Row,0),MATCH($C$5,PY905Col,0))</f>
        <v>#N/A</v>
      </c>
      <c r="L254" s="2128">
        <v>33000100</v>
      </c>
    </row>
    <row r="255" spans="1:12" ht="13.5" thickBot="1" x14ac:dyDescent="0.25">
      <c r="A255" s="785"/>
      <c r="B255" s="2964" t="s">
        <v>1895</v>
      </c>
      <c r="C255" s="2964"/>
      <c r="D255" s="2964"/>
      <c r="E255" s="2964"/>
      <c r="F255" s="804" t="e">
        <f>SUM(F252:F254)</f>
        <v>#N/A</v>
      </c>
      <c r="I255" s="804" t="e">
        <f>SUM(I252:I254)</f>
        <v>#N/A</v>
      </c>
    </row>
    <row r="256" spans="1:12" ht="9.75" customHeight="1" thickTop="1" x14ac:dyDescent="0.2">
      <c r="I256" s="649"/>
    </row>
    <row r="257" spans="1:9" x14ac:dyDescent="0.2">
      <c r="B257" s="335" t="s">
        <v>1897</v>
      </c>
      <c r="F257" s="805">
        <f>IFERROR((IF(ROUND(F186-F255,2)=0,"OK","Error")),0)</f>
        <v>0</v>
      </c>
      <c r="I257" s="805" t="e">
        <f>IF(ROUND(I186-I255,2)=0, "OK", "Error")</f>
        <v>#N/A</v>
      </c>
    </row>
    <row r="258" spans="1:9" ht="13.5" thickBot="1" x14ac:dyDescent="0.25"/>
    <row r="259" spans="1:9" x14ac:dyDescent="0.2">
      <c r="A259" s="1557" t="s">
        <v>4037</v>
      </c>
      <c r="B259" s="1020"/>
      <c r="C259" s="1020"/>
      <c r="D259" s="1020"/>
      <c r="E259" s="1020"/>
      <c r="F259" s="1021"/>
      <c r="G259" s="1022"/>
    </row>
    <row r="260" spans="1:9" x14ac:dyDescent="0.2">
      <c r="A260" s="1556" t="s">
        <v>4924</v>
      </c>
      <c r="B260" s="1024"/>
      <c r="C260" s="1024"/>
      <c r="D260" s="1024"/>
      <c r="E260" s="1024"/>
      <c r="F260" s="1025"/>
      <c r="G260" s="1026"/>
    </row>
    <row r="261" spans="1:9" x14ac:dyDescent="0.2">
      <c r="A261" s="1556" t="s">
        <v>4925</v>
      </c>
      <c r="B261" s="1024"/>
      <c r="C261" s="1024"/>
      <c r="D261" s="1024"/>
      <c r="E261" s="1024"/>
      <c r="F261" s="1025"/>
      <c r="G261" s="1026"/>
    </row>
    <row r="262" spans="1:9" x14ac:dyDescent="0.2">
      <c r="A262" s="1556" t="s">
        <v>4926</v>
      </c>
      <c r="B262" s="1024"/>
      <c r="C262" s="1024"/>
      <c r="D262" s="1024"/>
      <c r="E262" s="1024"/>
      <c r="F262" s="1025"/>
      <c r="G262" s="1026"/>
    </row>
    <row r="263" spans="1:9" x14ac:dyDescent="0.2">
      <c r="A263" s="1556" t="s">
        <v>4927</v>
      </c>
      <c r="B263" s="1024"/>
      <c r="C263" s="1024"/>
      <c r="D263" s="1024"/>
      <c r="E263" s="1024"/>
      <c r="F263" s="1025"/>
      <c r="G263" s="1026"/>
    </row>
    <row r="264" spans="1:9" x14ac:dyDescent="0.2">
      <c r="A264" s="1556" t="s">
        <v>4038</v>
      </c>
      <c r="B264" s="1024"/>
      <c r="C264" s="1024"/>
      <c r="D264" s="1024"/>
      <c r="E264" s="1024"/>
      <c r="F264" s="1025"/>
      <c r="G264" s="1027"/>
    </row>
    <row r="265" spans="1:9" x14ac:dyDescent="0.2">
      <c r="A265" s="1023"/>
      <c r="B265" s="1024"/>
      <c r="C265" s="1024"/>
      <c r="D265" s="1024"/>
      <c r="E265" s="1024"/>
      <c r="F265" s="1025"/>
      <c r="G265" s="1027"/>
    </row>
    <row r="266" spans="1:9" x14ac:dyDescent="0.2">
      <c r="A266" s="2966"/>
      <c r="B266" s="2967"/>
      <c r="C266" s="2967"/>
      <c r="D266" s="2967"/>
      <c r="E266" s="1024"/>
      <c r="F266" s="2970"/>
      <c r="G266" s="2971"/>
    </row>
    <row r="267" spans="1:9" x14ac:dyDescent="0.2">
      <c r="A267" s="1023" t="s">
        <v>1451</v>
      </c>
      <c r="B267" s="1024"/>
      <c r="C267" s="1024"/>
      <c r="D267" s="1024"/>
      <c r="E267" s="1024"/>
      <c r="F267" s="1025" t="s">
        <v>1307</v>
      </c>
      <c r="G267" s="1026"/>
    </row>
    <row r="268" spans="1:9" ht="13.5" thickBot="1" x14ac:dyDescent="0.25">
      <c r="A268" s="1028"/>
      <c r="B268" s="1029"/>
      <c r="C268" s="1029"/>
      <c r="D268" s="1029"/>
      <c r="E268" s="1029"/>
      <c r="F268" s="1030"/>
      <c r="G268" s="1031"/>
    </row>
    <row r="272" spans="1:9" x14ac:dyDescent="0.2">
      <c r="A272" s="272" t="s">
        <v>3586</v>
      </c>
    </row>
  </sheetData>
  <sheetProtection algorithmName="SHA-512" hashValue="OpbqhZy/jKvd6ZwGJjFw6z3yWv0sFLbzeSgD0I3xRGHHYhLMV+K9J6ot76icADqY3tWhWYwFaD92bZUAf5d5eA==" saltValue="SKk6UTRLQ/x6kpaXbuvXzw==" spinCount="100000" sheet="1" objects="1" scenarios="1" autoFilter="0"/>
  <customSheetViews>
    <customSheetView guid="{B08879A4-635B-4C39-9937-AC7883D562FC}" topLeftCell="A49">
      <selection activeCell="F45" sqref="F45"/>
      <rowBreaks count="4" manualBreakCount="4">
        <brk id="54" max="16383" man="1"/>
        <brk id="97" max="16383" man="1"/>
        <brk id="146" max="16383" man="1"/>
        <brk id="180" max="16383" man="1"/>
      </rowBreaks>
      <pageMargins left="0.5" right="0.5" top="0.5" bottom="0.5" header="0.5" footer="0.25"/>
      <printOptions gridLines="1"/>
      <pageSetup scale="95" fitToHeight="3" orientation="portrait" r:id="rId1"/>
      <headerFooter alignWithMargins="0">
        <oddFooter>&amp;R&amp;A (&amp;P of &amp;N)</oddFooter>
      </headerFooter>
    </customSheetView>
    <customSheetView guid="{9FCFC836-1CA5-48BF-958D-24D2EA94B219}" topLeftCell="A49">
      <selection activeCell="F45" sqref="F45"/>
      <rowBreaks count="4" manualBreakCount="4">
        <brk id="54" max="16383" man="1"/>
        <brk id="97" max="16383" man="1"/>
        <brk id="146" max="16383" man="1"/>
        <brk id="180" max="16383" man="1"/>
      </rowBreaks>
      <pageMargins left="0.5" right="0.5" top="0.5" bottom="0.5" header="0.5" footer="0.25"/>
      <printOptions gridLines="1"/>
      <pageSetup scale="95" fitToHeight="3" orientation="portrait" r:id="rId2"/>
      <headerFooter alignWithMargins="0">
        <oddFooter>&amp;R&amp;A (&amp;P of &amp;N)</oddFooter>
      </headerFooter>
    </customSheetView>
  </customSheetViews>
  <mergeCells count="221">
    <mergeCell ref="B184:E184"/>
    <mergeCell ref="B73:E73"/>
    <mergeCell ref="B74:E74"/>
    <mergeCell ref="B75:E75"/>
    <mergeCell ref="B76:E76"/>
    <mergeCell ref="B170:E170"/>
    <mergeCell ref="B240:E240"/>
    <mergeCell ref="B165:E165"/>
    <mergeCell ref="B146:E146"/>
    <mergeCell ref="B177:E177"/>
    <mergeCell ref="B148:E148"/>
    <mergeCell ref="B175:E175"/>
    <mergeCell ref="B157:E157"/>
    <mergeCell ref="B155:E155"/>
    <mergeCell ref="B169:E169"/>
    <mergeCell ref="B151:E151"/>
    <mergeCell ref="B154:E154"/>
    <mergeCell ref="B168:E168"/>
    <mergeCell ref="B167:E167"/>
    <mergeCell ref="B152:E152"/>
    <mergeCell ref="B171:E171"/>
    <mergeCell ref="B163:E163"/>
    <mergeCell ref="B172:E172"/>
    <mergeCell ref="B149:E149"/>
    <mergeCell ref="B147:E147"/>
    <mergeCell ref="B156:E156"/>
    <mergeCell ref="B159:E159"/>
    <mergeCell ref="B162:E162"/>
    <mergeCell ref="B145:E145"/>
    <mergeCell ref="B59:E59"/>
    <mergeCell ref="B56:E56"/>
    <mergeCell ref="B61:E61"/>
    <mergeCell ref="B17:E17"/>
    <mergeCell ref="B33:E33"/>
    <mergeCell ref="B40:E40"/>
    <mergeCell ref="B25:E25"/>
    <mergeCell ref="B46:E46"/>
    <mergeCell ref="B143:E143"/>
    <mergeCell ref="B140:E140"/>
    <mergeCell ref="B26:E26"/>
    <mergeCell ref="B27:E27"/>
    <mergeCell ref="B29:E29"/>
    <mergeCell ref="B36:E36"/>
    <mergeCell ref="B32:E32"/>
    <mergeCell ref="B28:E28"/>
    <mergeCell ref="B31:E31"/>
    <mergeCell ref="B71:E71"/>
    <mergeCell ref="B50:E50"/>
    <mergeCell ref="B15:E15"/>
    <mergeCell ref="B19:E19"/>
    <mergeCell ref="B20:E20"/>
    <mergeCell ref="A3:G3"/>
    <mergeCell ref="B10:E10"/>
    <mergeCell ref="B16:E16"/>
    <mergeCell ref="A2:G2"/>
    <mergeCell ref="A1:G1"/>
    <mergeCell ref="A4:I4"/>
    <mergeCell ref="F5:G5"/>
    <mergeCell ref="F6:G6"/>
    <mergeCell ref="B14:E14"/>
    <mergeCell ref="A8:I8"/>
    <mergeCell ref="B51:E51"/>
    <mergeCell ref="B64:E64"/>
    <mergeCell ref="B62:E62"/>
    <mergeCell ref="B54:E54"/>
    <mergeCell ref="B47:E47"/>
    <mergeCell ref="B69:E69"/>
    <mergeCell ref="B30:E30"/>
    <mergeCell ref="B48:E48"/>
    <mergeCell ref="B137:E137"/>
    <mergeCell ref="B128:E128"/>
    <mergeCell ref="B90:E90"/>
    <mergeCell ref="B102:E102"/>
    <mergeCell ref="B91:E91"/>
    <mergeCell ref="B107:E107"/>
    <mergeCell ref="B108:E108"/>
    <mergeCell ref="B100:E100"/>
    <mergeCell ref="B105:E105"/>
    <mergeCell ref="B109:E109"/>
    <mergeCell ref="B92:E92"/>
    <mergeCell ref="B139:E139"/>
    <mergeCell ref="B110:E110"/>
    <mergeCell ref="B112:E112"/>
    <mergeCell ref="B117:E117"/>
    <mergeCell ref="B124:E124"/>
    <mergeCell ref="B130:E130"/>
    <mergeCell ref="B132:E132"/>
    <mergeCell ref="B138:E138"/>
    <mergeCell ref="B129:E129"/>
    <mergeCell ref="B126:E126"/>
    <mergeCell ref="B119:E119"/>
    <mergeCell ref="B116:E116"/>
    <mergeCell ref="B131:E131"/>
    <mergeCell ref="B115:E115"/>
    <mergeCell ref="B125:E125"/>
    <mergeCell ref="B120:E120"/>
    <mergeCell ref="B127:E127"/>
    <mergeCell ref="B122:E122"/>
    <mergeCell ref="B113:E113"/>
    <mergeCell ref="B114:E114"/>
    <mergeCell ref="B136:E136"/>
    <mergeCell ref="B121:E121"/>
    <mergeCell ref="B118:E118"/>
    <mergeCell ref="B123:E123"/>
    <mergeCell ref="B21:E21"/>
    <mergeCell ref="B13:E13"/>
    <mergeCell ref="C6:D6"/>
    <mergeCell ref="B41:E41"/>
    <mergeCell ref="B49:E49"/>
    <mergeCell ref="B80:E80"/>
    <mergeCell ref="B88:E88"/>
    <mergeCell ref="B87:E87"/>
    <mergeCell ref="B43:E43"/>
    <mergeCell ref="B44:E44"/>
    <mergeCell ref="B45:E45"/>
    <mergeCell ref="B55:E55"/>
    <mergeCell ref="B53:E53"/>
    <mergeCell ref="B57:E57"/>
    <mergeCell ref="B58:E58"/>
    <mergeCell ref="B52:E52"/>
    <mergeCell ref="B63:E63"/>
    <mergeCell ref="B60:E60"/>
    <mergeCell ref="B37:E37"/>
    <mergeCell ref="B35:E35"/>
    <mergeCell ref="B34:E34"/>
    <mergeCell ref="B23:E23"/>
    <mergeCell ref="B22:E22"/>
    <mergeCell ref="B24:E24"/>
    <mergeCell ref="B141:E141"/>
    <mergeCell ref="B150:E150"/>
    <mergeCell ref="B164:E164"/>
    <mergeCell ref="B153:E153"/>
    <mergeCell ref="B65:E65"/>
    <mergeCell ref="B68:E68"/>
    <mergeCell ref="B84:E84"/>
    <mergeCell ref="B94:E94"/>
    <mergeCell ref="B66:E66"/>
    <mergeCell ref="B82:E82"/>
    <mergeCell ref="B103:E103"/>
    <mergeCell ref="B93:E93"/>
    <mergeCell ref="B101:E101"/>
    <mergeCell ref="B77:E77"/>
    <mergeCell ref="B78:E78"/>
    <mergeCell ref="B81:E81"/>
    <mergeCell ref="B79:E79"/>
    <mergeCell ref="B70:E70"/>
    <mergeCell ref="B72:E72"/>
    <mergeCell ref="B67:E67"/>
    <mergeCell ref="B142:E142"/>
    <mergeCell ref="B106:E106"/>
    <mergeCell ref="B89:E89"/>
    <mergeCell ref="B99:E99"/>
    <mergeCell ref="B199:E199"/>
    <mergeCell ref="B238:E238"/>
    <mergeCell ref="B234:E234"/>
    <mergeCell ref="B166:E166"/>
    <mergeCell ref="B210:E210"/>
    <mergeCell ref="B194:E194"/>
    <mergeCell ref="B202:E202"/>
    <mergeCell ref="B192:E192"/>
    <mergeCell ref="B182:E182"/>
    <mergeCell ref="B201:E201"/>
    <mergeCell ref="B185:E185"/>
    <mergeCell ref="B181:E181"/>
    <mergeCell ref="B198:E198"/>
    <mergeCell ref="B204:E204"/>
    <mergeCell ref="B178:E178"/>
    <mergeCell ref="B179:E179"/>
    <mergeCell ref="B196:E196"/>
    <mergeCell ref="B197:E197"/>
    <mergeCell ref="B195:E195"/>
    <mergeCell ref="B208:E208"/>
    <mergeCell ref="B231:E231"/>
    <mergeCell ref="B203:E203"/>
    <mergeCell ref="B217:E217"/>
    <mergeCell ref="B213:E213"/>
    <mergeCell ref="F266:G266"/>
    <mergeCell ref="B255:E255"/>
    <mergeCell ref="B247:E247"/>
    <mergeCell ref="B250:E250"/>
    <mergeCell ref="B251:E251"/>
    <mergeCell ref="B214:E214"/>
    <mergeCell ref="B215:E215"/>
    <mergeCell ref="B144:E144"/>
    <mergeCell ref="B111:E111"/>
    <mergeCell ref="B249:E249"/>
    <mergeCell ref="B244:E244"/>
    <mergeCell ref="B211:E211"/>
    <mergeCell ref="B183:E183"/>
    <mergeCell ref="B200:E200"/>
    <mergeCell ref="B186:E186"/>
    <mergeCell ref="B205:E205"/>
    <mergeCell ref="B243:E243"/>
    <mergeCell ref="B233:E233"/>
    <mergeCell ref="B241:E241"/>
    <mergeCell ref="B212:E212"/>
    <mergeCell ref="B225:E225"/>
    <mergeCell ref="B221:E221"/>
    <mergeCell ref="B228:E228"/>
    <mergeCell ref="B224:E224"/>
    <mergeCell ref="B209:E209"/>
    <mergeCell ref="B220:E220"/>
    <mergeCell ref="B245:E245"/>
    <mergeCell ref="B227:E227"/>
    <mergeCell ref="B229:E229"/>
    <mergeCell ref="A266:D266"/>
    <mergeCell ref="B246:E246"/>
    <mergeCell ref="B236:E236"/>
    <mergeCell ref="B242:E242"/>
    <mergeCell ref="B237:E237"/>
    <mergeCell ref="B239:E239"/>
    <mergeCell ref="B252:E252"/>
    <mergeCell ref="B254:E254"/>
    <mergeCell ref="B253:E253"/>
    <mergeCell ref="B248:E248"/>
    <mergeCell ref="B230:E230"/>
    <mergeCell ref="B232:E232"/>
    <mergeCell ref="B219:E219"/>
    <mergeCell ref="B218:E218"/>
    <mergeCell ref="B226:E226"/>
    <mergeCell ref="B235:E235"/>
  </mergeCells>
  <phoneticPr fontId="15" type="noConversion"/>
  <hyperlinks>
    <hyperlink ref="B1:G1" location="Index!A1" display="Index!A1" xr:uid="{00000000-0004-0000-4A00-000000000000}"/>
  </hyperlinks>
  <printOptions headings="1"/>
  <pageMargins left="0.5" right="0.25" top="0.5" bottom="0.3" header="0.5" footer="0.25"/>
  <pageSetup scale="84" fitToHeight="5" orientation="portrait" r:id="rId3"/>
  <headerFooter alignWithMargins="0">
    <oddFooter xml:space="preserve">&amp;L&amp;D &amp;T&amp;R&amp;A </oddFooter>
  </headerFooter>
  <rowBreaks count="3" manualBreakCount="3">
    <brk id="59" max="8" man="1"/>
    <brk id="173" max="8" man="1"/>
    <brk id="222" max="8" man="1"/>
  </rowBreaks>
  <legacyDrawing r:id="rId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2">
    <tabColor rgb="FFFFFF00"/>
  </sheetPr>
  <dimension ref="A1:D1618"/>
  <sheetViews>
    <sheetView zoomScaleNormal="100" workbookViewId="0">
      <pane ySplit="1" topLeftCell="A2" activePane="bottomLeft" state="frozen"/>
      <selection sqref="A1:E1"/>
      <selection pane="bottomLeft"/>
    </sheetView>
  </sheetViews>
  <sheetFormatPr defaultRowHeight="12.75" x14ac:dyDescent="0.2"/>
  <cols>
    <col min="1" max="1" width="63.42578125" customWidth="1"/>
    <col min="2" max="2" width="48.5703125" style="822" customWidth="1"/>
    <col min="3" max="3" width="10.5703125" style="290" customWidth="1"/>
  </cols>
  <sheetData>
    <row r="1" spans="1:3" ht="17.25" customHeight="1" thickBot="1" x14ac:dyDescent="0.3">
      <c r="A1" s="1093" t="s">
        <v>1559</v>
      </c>
      <c r="B1" s="1609" t="s">
        <v>5740</v>
      </c>
    </row>
    <row r="2" spans="1:3" ht="18.75" thickBot="1" x14ac:dyDescent="0.3">
      <c r="A2" s="1312" t="s">
        <v>4928</v>
      </c>
      <c r="B2" s="1482"/>
    </row>
    <row r="3" spans="1:3" x14ac:dyDescent="0.2">
      <c r="A3" s="1315" t="s">
        <v>1891</v>
      </c>
      <c r="B3" s="2102" t="s">
        <v>4929</v>
      </c>
      <c r="C3" s="4" t="s">
        <v>4149</v>
      </c>
    </row>
    <row r="4" spans="1:3" x14ac:dyDescent="0.2">
      <c r="A4" s="2" t="s">
        <v>628</v>
      </c>
      <c r="B4" s="1483" t="s">
        <v>3495</v>
      </c>
    </row>
    <row r="5" spans="1:3" ht="42" customHeight="1" thickBot="1" x14ac:dyDescent="0.25">
      <c r="A5" s="1518" t="s">
        <v>629</v>
      </c>
      <c r="B5" s="1689" t="s">
        <v>4235</v>
      </c>
    </row>
    <row r="6" spans="1:3" x14ac:dyDescent="0.2">
      <c r="A6" s="1311" t="s">
        <v>557</v>
      </c>
      <c r="B6" s="1524" t="s">
        <v>1969</v>
      </c>
      <c r="C6" s="290">
        <v>1000</v>
      </c>
    </row>
    <row r="7" spans="1:3" x14ac:dyDescent="0.2">
      <c r="A7" t="s">
        <v>1970</v>
      </c>
      <c r="B7" s="1497"/>
    </row>
    <row r="8" spans="1:3" x14ac:dyDescent="0.2">
      <c r="A8" t="s">
        <v>1971</v>
      </c>
      <c r="B8" s="1497"/>
    </row>
    <row r="9" spans="1:3" x14ac:dyDescent="0.2">
      <c r="A9" t="s">
        <v>1972</v>
      </c>
      <c r="B9" s="1497"/>
    </row>
    <row r="10" spans="1:3" x14ac:dyDescent="0.2">
      <c r="A10" t="s">
        <v>1973</v>
      </c>
      <c r="B10" s="1497"/>
    </row>
    <row r="11" spans="1:3" x14ac:dyDescent="0.2">
      <c r="A11" t="s">
        <v>1974</v>
      </c>
      <c r="B11" s="1497"/>
    </row>
    <row r="12" spans="1:3" x14ac:dyDescent="0.2">
      <c r="A12" t="s">
        <v>1975</v>
      </c>
      <c r="B12" s="1497"/>
    </row>
    <row r="13" spans="1:3" x14ac:dyDescent="0.2">
      <c r="A13" s="1311" t="s">
        <v>270</v>
      </c>
      <c r="B13" s="1524" t="s">
        <v>1969</v>
      </c>
      <c r="C13" s="290">
        <v>1010</v>
      </c>
    </row>
    <row r="14" spans="1:3" x14ac:dyDescent="0.2">
      <c r="A14" t="s">
        <v>1976</v>
      </c>
      <c r="B14" s="1497"/>
    </row>
    <row r="15" spans="1:3" x14ac:dyDescent="0.2">
      <c r="A15" t="s">
        <v>1977</v>
      </c>
      <c r="B15" s="1497"/>
    </row>
    <row r="16" spans="1:3" x14ac:dyDescent="0.2">
      <c r="A16" t="s">
        <v>1978</v>
      </c>
      <c r="B16" s="1497"/>
    </row>
    <row r="17" spans="1:3" x14ac:dyDescent="0.2">
      <c r="A17" t="s">
        <v>1979</v>
      </c>
      <c r="B17" s="1497"/>
    </row>
    <row r="18" spans="1:3" x14ac:dyDescent="0.2">
      <c r="A18" t="s">
        <v>1980</v>
      </c>
      <c r="B18" s="1497"/>
    </row>
    <row r="19" spans="1:3" x14ac:dyDescent="0.2">
      <c r="A19" t="s">
        <v>1981</v>
      </c>
      <c r="B19" s="1497"/>
    </row>
    <row r="20" spans="1:3" x14ac:dyDescent="0.2">
      <c r="A20" t="s">
        <v>1982</v>
      </c>
      <c r="B20" s="1497"/>
    </row>
    <row r="21" spans="1:3" x14ac:dyDescent="0.2">
      <c r="A21" t="s">
        <v>1983</v>
      </c>
      <c r="B21" s="1497"/>
    </row>
    <row r="22" spans="1:3" x14ac:dyDescent="0.2">
      <c r="A22" t="s">
        <v>1984</v>
      </c>
      <c r="B22" s="1497"/>
    </row>
    <row r="23" spans="1:3" x14ac:dyDescent="0.2">
      <c r="A23" t="s">
        <v>1985</v>
      </c>
      <c r="B23" s="1497"/>
    </row>
    <row r="24" spans="1:3" x14ac:dyDescent="0.2">
      <c r="A24" t="s">
        <v>1986</v>
      </c>
      <c r="B24" s="1497"/>
    </row>
    <row r="25" spans="1:3" x14ac:dyDescent="0.2">
      <c r="A25" t="s">
        <v>1987</v>
      </c>
      <c r="B25" s="1497"/>
    </row>
    <row r="26" spans="1:3" x14ac:dyDescent="0.2">
      <c r="A26" s="1311" t="s">
        <v>1988</v>
      </c>
      <c r="B26" s="1524" t="s">
        <v>1969</v>
      </c>
      <c r="C26" s="290">
        <v>1020</v>
      </c>
    </row>
    <row r="27" spans="1:3" x14ac:dyDescent="0.2">
      <c r="A27" t="s">
        <v>1989</v>
      </c>
      <c r="B27" s="1497"/>
    </row>
    <row r="28" spans="1:3" x14ac:dyDescent="0.2">
      <c r="A28" t="s">
        <v>1990</v>
      </c>
      <c r="B28" s="1497"/>
    </row>
    <row r="29" spans="1:3" x14ac:dyDescent="0.2">
      <c r="A29" t="s">
        <v>1991</v>
      </c>
      <c r="B29" s="1497"/>
    </row>
    <row r="30" spans="1:3" x14ac:dyDescent="0.2">
      <c r="A30" t="s">
        <v>1992</v>
      </c>
      <c r="B30" s="1497"/>
    </row>
    <row r="31" spans="1:3" x14ac:dyDescent="0.2">
      <c r="A31" t="s">
        <v>1993</v>
      </c>
      <c r="B31" s="1497"/>
    </row>
    <row r="32" spans="1:3" x14ac:dyDescent="0.2">
      <c r="A32" s="1311" t="s">
        <v>1420</v>
      </c>
      <c r="B32" s="1524" t="s">
        <v>1969</v>
      </c>
      <c r="C32" s="290">
        <v>1030</v>
      </c>
    </row>
    <row r="33" spans="1:3" x14ac:dyDescent="0.2">
      <c r="A33" t="s">
        <v>1994</v>
      </c>
      <c r="B33" s="1497"/>
    </row>
    <row r="34" spans="1:3" x14ac:dyDescent="0.2">
      <c r="A34" t="s">
        <v>1995</v>
      </c>
      <c r="B34" s="1497"/>
    </row>
    <row r="35" spans="1:3" x14ac:dyDescent="0.2">
      <c r="A35" t="s">
        <v>1996</v>
      </c>
      <c r="B35" s="1497"/>
    </row>
    <row r="36" spans="1:3" x14ac:dyDescent="0.2">
      <c r="A36" t="s">
        <v>1997</v>
      </c>
      <c r="B36" s="1497"/>
    </row>
    <row r="37" spans="1:3" x14ac:dyDescent="0.2">
      <c r="A37" t="s">
        <v>1998</v>
      </c>
      <c r="B37" s="1497"/>
    </row>
    <row r="38" spans="1:3" x14ac:dyDescent="0.2">
      <c r="A38" s="1311" t="s">
        <v>548</v>
      </c>
      <c r="B38" s="1524" t="s">
        <v>1969</v>
      </c>
      <c r="C38" s="290">
        <v>1050</v>
      </c>
    </row>
    <row r="39" spans="1:3" x14ac:dyDescent="0.2">
      <c r="A39" t="s">
        <v>1999</v>
      </c>
      <c r="B39" s="1497"/>
    </row>
    <row r="40" spans="1:3" x14ac:dyDescent="0.2">
      <c r="A40" t="s">
        <v>2000</v>
      </c>
      <c r="B40" s="1497"/>
    </row>
    <row r="41" spans="1:3" x14ac:dyDescent="0.2">
      <c r="A41" t="s">
        <v>2001</v>
      </c>
      <c r="B41" s="1497"/>
    </row>
    <row r="42" spans="1:3" x14ac:dyDescent="0.2">
      <c r="A42" t="s">
        <v>2002</v>
      </c>
      <c r="B42" s="1497"/>
    </row>
    <row r="43" spans="1:3" x14ac:dyDescent="0.2">
      <c r="A43" t="s">
        <v>2003</v>
      </c>
      <c r="B43" s="1497"/>
    </row>
    <row r="44" spans="1:3" x14ac:dyDescent="0.2">
      <c r="A44" t="s">
        <v>2004</v>
      </c>
      <c r="B44" s="1497"/>
    </row>
    <row r="45" spans="1:3" x14ac:dyDescent="0.2">
      <c r="A45" t="s">
        <v>2005</v>
      </c>
      <c r="B45" s="1497"/>
    </row>
    <row r="46" spans="1:3" x14ac:dyDescent="0.2">
      <c r="A46" t="s">
        <v>2006</v>
      </c>
      <c r="B46" s="1497"/>
    </row>
    <row r="47" spans="1:3" x14ac:dyDescent="0.2">
      <c r="A47" t="s">
        <v>2007</v>
      </c>
      <c r="B47" s="1497"/>
    </row>
    <row r="48" spans="1:3" x14ac:dyDescent="0.2">
      <c r="A48" t="s">
        <v>2008</v>
      </c>
      <c r="B48" s="1497"/>
    </row>
    <row r="49" spans="1:2" x14ac:dyDescent="0.2">
      <c r="A49" t="s">
        <v>2009</v>
      </c>
      <c r="B49" s="1497"/>
    </row>
    <row r="50" spans="1:2" x14ac:dyDescent="0.2">
      <c r="A50" t="s">
        <v>2010</v>
      </c>
      <c r="B50" s="1497"/>
    </row>
    <row r="51" spans="1:2" x14ac:dyDescent="0.2">
      <c r="A51" t="s">
        <v>2011</v>
      </c>
      <c r="B51" s="1497"/>
    </row>
    <row r="52" spans="1:2" x14ac:dyDescent="0.2">
      <c r="A52" t="s">
        <v>2012</v>
      </c>
      <c r="B52" s="1497"/>
    </row>
    <row r="53" spans="1:2" x14ac:dyDescent="0.2">
      <c r="A53" t="s">
        <v>2013</v>
      </c>
      <c r="B53" s="1497"/>
    </row>
    <row r="54" spans="1:2" x14ac:dyDescent="0.2">
      <c r="A54" t="s">
        <v>2014</v>
      </c>
      <c r="B54" s="1497"/>
    </row>
    <row r="55" spans="1:2" x14ac:dyDescent="0.2">
      <c r="A55" t="s">
        <v>2015</v>
      </c>
      <c r="B55" s="1497"/>
    </row>
    <row r="56" spans="1:2" x14ac:dyDescent="0.2">
      <c r="A56" t="s">
        <v>2016</v>
      </c>
      <c r="B56" s="1497"/>
    </row>
    <row r="57" spans="1:2" x14ac:dyDescent="0.2">
      <c r="A57" t="s">
        <v>2017</v>
      </c>
      <c r="B57" s="1497"/>
    </row>
    <row r="58" spans="1:2" x14ac:dyDescent="0.2">
      <c r="A58" t="s">
        <v>2018</v>
      </c>
      <c r="B58" s="1497"/>
    </row>
    <row r="59" spans="1:2" x14ac:dyDescent="0.2">
      <c r="A59" t="s">
        <v>2019</v>
      </c>
      <c r="B59" s="1497"/>
    </row>
    <row r="60" spans="1:2" x14ac:dyDescent="0.2">
      <c r="A60" t="s">
        <v>2020</v>
      </c>
      <c r="B60" s="1497"/>
    </row>
    <row r="61" spans="1:2" x14ac:dyDescent="0.2">
      <c r="A61" t="s">
        <v>2021</v>
      </c>
      <c r="B61" s="1497"/>
    </row>
    <row r="62" spans="1:2" x14ac:dyDescent="0.2">
      <c r="A62" t="s">
        <v>2022</v>
      </c>
      <c r="B62" s="1497"/>
    </row>
    <row r="63" spans="1:2" x14ac:dyDescent="0.2">
      <c r="A63" t="s">
        <v>2023</v>
      </c>
      <c r="B63" s="1497"/>
    </row>
    <row r="64" spans="1:2" x14ac:dyDescent="0.2">
      <c r="A64" t="s">
        <v>2024</v>
      </c>
      <c r="B64" s="1497"/>
    </row>
    <row r="65" spans="1:3" x14ac:dyDescent="0.2">
      <c r="A65" t="s">
        <v>2025</v>
      </c>
      <c r="B65" s="1497" t="s">
        <v>2026</v>
      </c>
    </row>
    <row r="66" spans="1:3" x14ac:dyDescent="0.2">
      <c r="A66" s="1311" t="s">
        <v>1297</v>
      </c>
      <c r="B66" s="1527" t="s">
        <v>1969</v>
      </c>
      <c r="C66" s="290">
        <v>1060</v>
      </c>
    </row>
    <row r="67" spans="1:3" x14ac:dyDescent="0.2">
      <c r="A67" t="s">
        <v>2027</v>
      </c>
      <c r="B67" s="1497"/>
    </row>
    <row r="68" spans="1:3" x14ac:dyDescent="0.2">
      <c r="A68" t="s">
        <v>2028</v>
      </c>
      <c r="B68" s="1497"/>
    </row>
    <row r="69" spans="1:3" x14ac:dyDescent="0.2">
      <c r="A69" s="272" t="s">
        <v>4405</v>
      </c>
      <c r="B69" s="1497" t="s">
        <v>4406</v>
      </c>
    </row>
    <row r="70" spans="1:3" x14ac:dyDescent="0.2">
      <c r="A70" s="272" t="s">
        <v>4657</v>
      </c>
      <c r="B70" s="1497" t="s">
        <v>4656</v>
      </c>
    </row>
    <row r="71" spans="1:3" x14ac:dyDescent="0.2">
      <c r="A71" t="s">
        <v>2029</v>
      </c>
      <c r="B71" s="1497"/>
    </row>
    <row r="72" spans="1:3" x14ac:dyDescent="0.2">
      <c r="A72" t="s">
        <v>2030</v>
      </c>
      <c r="B72" s="1497"/>
    </row>
    <row r="73" spans="1:3" x14ac:dyDescent="0.2">
      <c r="A73" t="s">
        <v>2031</v>
      </c>
      <c r="B73" s="1497"/>
    </row>
    <row r="74" spans="1:3" x14ac:dyDescent="0.2">
      <c r="A74" s="272" t="s">
        <v>2032</v>
      </c>
      <c r="B74" s="1497" t="s">
        <v>2033</v>
      </c>
    </row>
    <row r="75" spans="1:3" x14ac:dyDescent="0.2">
      <c r="A75" s="272" t="s">
        <v>3733</v>
      </c>
      <c r="B75" s="272" t="s">
        <v>3734</v>
      </c>
    </row>
    <row r="76" spans="1:3" x14ac:dyDescent="0.2">
      <c r="A76" s="272" t="s">
        <v>2034</v>
      </c>
      <c r="B76" s="1497" t="s">
        <v>2033</v>
      </c>
    </row>
    <row r="77" spans="1:3" x14ac:dyDescent="0.2">
      <c r="A77" t="s">
        <v>2035</v>
      </c>
      <c r="B77" s="1497"/>
    </row>
    <row r="78" spans="1:3" x14ac:dyDescent="0.2">
      <c r="A78" t="s">
        <v>2036</v>
      </c>
      <c r="B78" s="1497"/>
    </row>
    <row r="79" spans="1:3" x14ac:dyDescent="0.2">
      <c r="A79" t="s">
        <v>2037</v>
      </c>
      <c r="B79" s="1497"/>
    </row>
    <row r="80" spans="1:3" x14ac:dyDescent="0.2">
      <c r="A80" t="s">
        <v>2038</v>
      </c>
      <c r="B80" s="1497"/>
    </row>
    <row r="81" spans="1:3" x14ac:dyDescent="0.2">
      <c r="A81" t="s">
        <v>2039</v>
      </c>
      <c r="B81" s="1497"/>
    </row>
    <row r="82" spans="1:3" x14ac:dyDescent="0.2">
      <c r="A82" t="s">
        <v>2040</v>
      </c>
      <c r="B82" s="1497" t="s">
        <v>2041</v>
      </c>
    </row>
    <row r="83" spans="1:3" x14ac:dyDescent="0.2">
      <c r="A83" s="272" t="s">
        <v>2042</v>
      </c>
      <c r="B83" s="1497" t="s">
        <v>2033</v>
      </c>
    </row>
    <row r="84" spans="1:3" x14ac:dyDescent="0.2">
      <c r="A84" s="272" t="s">
        <v>2043</v>
      </c>
      <c r="B84" s="1497" t="s">
        <v>2033</v>
      </c>
    </row>
    <row r="85" spans="1:3" x14ac:dyDescent="0.2">
      <c r="A85" s="272" t="s">
        <v>3735</v>
      </c>
      <c r="B85" s="272" t="s">
        <v>3734</v>
      </c>
    </row>
    <row r="86" spans="1:3" x14ac:dyDescent="0.2">
      <c r="A86" s="272" t="s">
        <v>4407</v>
      </c>
      <c r="B86" s="272" t="s">
        <v>4406</v>
      </c>
    </row>
    <row r="87" spans="1:3" x14ac:dyDescent="0.2">
      <c r="A87" s="272" t="s">
        <v>4658</v>
      </c>
      <c r="B87" s="1497" t="s">
        <v>4656</v>
      </c>
    </row>
    <row r="88" spans="1:3" x14ac:dyDescent="0.2">
      <c r="A88" s="1311" t="s">
        <v>1455</v>
      </c>
      <c r="B88" s="1527" t="s">
        <v>1969</v>
      </c>
      <c r="C88" s="290">
        <v>1070</v>
      </c>
    </row>
    <row r="89" spans="1:3" x14ac:dyDescent="0.2">
      <c r="A89" t="s">
        <v>2044</v>
      </c>
      <c r="B89" s="1497"/>
    </row>
    <row r="90" spans="1:3" x14ac:dyDescent="0.2">
      <c r="A90" t="s">
        <v>2045</v>
      </c>
      <c r="B90" s="1497"/>
    </row>
    <row r="91" spans="1:3" x14ac:dyDescent="0.2">
      <c r="A91" t="s">
        <v>2046</v>
      </c>
      <c r="B91" s="1497"/>
    </row>
    <row r="92" spans="1:3" x14ac:dyDescent="0.2">
      <c r="A92" s="1311" t="s">
        <v>1403</v>
      </c>
      <c r="B92" s="1524" t="s">
        <v>1969</v>
      </c>
      <c r="C92" s="290">
        <v>1090</v>
      </c>
    </row>
    <row r="93" spans="1:3" x14ac:dyDescent="0.2">
      <c r="A93" t="s">
        <v>2047</v>
      </c>
      <c r="B93" s="1497"/>
    </row>
    <row r="94" spans="1:3" x14ac:dyDescent="0.2">
      <c r="A94" s="1311" t="s">
        <v>2048</v>
      </c>
      <c r="B94" s="1533"/>
    </row>
    <row r="95" spans="1:3" x14ac:dyDescent="0.2">
      <c r="A95" s="1311" t="s">
        <v>2049</v>
      </c>
      <c r="B95" s="1524" t="s">
        <v>1969</v>
      </c>
      <c r="C95" s="290">
        <v>1110</v>
      </c>
    </row>
    <row r="96" spans="1:3" x14ac:dyDescent="0.2">
      <c r="A96" t="s">
        <v>2050</v>
      </c>
      <c r="B96" s="1497"/>
    </row>
    <row r="97" spans="1:3" x14ac:dyDescent="0.2">
      <c r="A97" t="s">
        <v>2051</v>
      </c>
      <c r="B97" s="1497"/>
    </row>
    <row r="98" spans="1:3" x14ac:dyDescent="0.2">
      <c r="A98" t="s">
        <v>2052</v>
      </c>
      <c r="B98" s="1497"/>
    </row>
    <row r="99" spans="1:3" x14ac:dyDescent="0.2">
      <c r="A99" t="s">
        <v>2053</v>
      </c>
      <c r="B99" s="1497" t="s">
        <v>2054</v>
      </c>
    </row>
    <row r="100" spans="1:3" x14ac:dyDescent="0.2">
      <c r="A100" t="s">
        <v>2055</v>
      </c>
      <c r="B100" s="1497" t="s">
        <v>2054</v>
      </c>
    </row>
    <row r="101" spans="1:3" x14ac:dyDescent="0.2">
      <c r="A101" t="s">
        <v>2056</v>
      </c>
      <c r="B101" s="1497" t="s">
        <v>2054</v>
      </c>
    </row>
    <row r="102" spans="1:3" x14ac:dyDescent="0.2">
      <c r="A102" t="s">
        <v>2057</v>
      </c>
      <c r="B102" s="1497"/>
    </row>
    <row r="103" spans="1:3" x14ac:dyDescent="0.2">
      <c r="A103" t="s">
        <v>2058</v>
      </c>
      <c r="B103" s="1497"/>
    </row>
    <row r="104" spans="1:3" x14ac:dyDescent="0.2">
      <c r="A104" t="s">
        <v>2059</v>
      </c>
      <c r="B104" s="1497"/>
    </row>
    <row r="105" spans="1:3" x14ac:dyDescent="0.2">
      <c r="A105" s="1311" t="s">
        <v>2060</v>
      </c>
      <c r="B105" s="1524" t="s">
        <v>1969</v>
      </c>
      <c r="C105" s="290">
        <v>1120</v>
      </c>
    </row>
    <row r="106" spans="1:3" x14ac:dyDescent="0.2">
      <c r="A106" t="s">
        <v>2061</v>
      </c>
      <c r="B106" s="1497"/>
    </row>
    <row r="107" spans="1:3" x14ac:dyDescent="0.2">
      <c r="A107" t="s">
        <v>2062</v>
      </c>
      <c r="B107" s="1497"/>
    </row>
    <row r="108" spans="1:3" x14ac:dyDescent="0.2">
      <c r="A108" t="s">
        <v>2063</v>
      </c>
      <c r="B108" s="1497" t="s">
        <v>2064</v>
      </c>
    </row>
    <row r="109" spans="1:3" x14ac:dyDescent="0.2">
      <c r="A109" s="272" t="s">
        <v>3899</v>
      </c>
      <c r="B109" s="1497" t="s">
        <v>3926</v>
      </c>
    </row>
    <row r="110" spans="1:3" x14ac:dyDescent="0.2">
      <c r="A110" s="1311" t="s">
        <v>2065</v>
      </c>
      <c r="B110" s="1524" t="s">
        <v>1969</v>
      </c>
      <c r="C110" s="290">
        <v>1130</v>
      </c>
    </row>
    <row r="111" spans="1:3" x14ac:dyDescent="0.2">
      <c r="A111" t="s">
        <v>2066</v>
      </c>
      <c r="B111" s="1497"/>
    </row>
    <row r="112" spans="1:3" x14ac:dyDescent="0.2">
      <c r="A112" t="s">
        <v>2067</v>
      </c>
      <c r="B112" s="1497"/>
    </row>
    <row r="113" spans="1:3" x14ac:dyDescent="0.2">
      <c r="A113" s="1311" t="s">
        <v>2068</v>
      </c>
      <c r="B113" s="1524" t="s">
        <v>1969</v>
      </c>
      <c r="C113" s="357" t="s">
        <v>775</v>
      </c>
    </row>
    <row r="114" spans="1:3" x14ac:dyDescent="0.2">
      <c r="A114" t="s">
        <v>2069</v>
      </c>
      <c r="B114" s="1497"/>
    </row>
    <row r="115" spans="1:3" x14ac:dyDescent="0.2">
      <c r="A115" s="1311" t="s">
        <v>2070</v>
      </c>
      <c r="B115" s="1524" t="s">
        <v>1969</v>
      </c>
      <c r="C115" s="357" t="s">
        <v>775</v>
      </c>
    </row>
    <row r="116" spans="1:3" x14ac:dyDescent="0.2">
      <c r="A116" t="s">
        <v>2071</v>
      </c>
      <c r="B116" s="1497"/>
    </row>
    <row r="117" spans="1:3" x14ac:dyDescent="0.2">
      <c r="A117" t="s">
        <v>2072</v>
      </c>
      <c r="B117" s="1497"/>
    </row>
    <row r="118" spans="1:3" x14ac:dyDescent="0.2">
      <c r="A118" s="1311" t="s">
        <v>2073</v>
      </c>
      <c r="B118" s="1524" t="s">
        <v>1969</v>
      </c>
      <c r="C118" s="290">
        <v>1160</v>
      </c>
    </row>
    <row r="119" spans="1:3" x14ac:dyDescent="0.2">
      <c r="A119" t="s">
        <v>2074</v>
      </c>
      <c r="B119" s="1497"/>
    </row>
    <row r="120" spans="1:3" x14ac:dyDescent="0.2">
      <c r="A120" t="s">
        <v>2075</v>
      </c>
      <c r="B120" s="1497"/>
    </row>
    <row r="121" spans="1:3" x14ac:dyDescent="0.2">
      <c r="A121" t="s">
        <v>2076</v>
      </c>
      <c r="B121" s="1497"/>
    </row>
    <row r="122" spans="1:3" x14ac:dyDescent="0.2">
      <c r="A122" t="s">
        <v>2077</v>
      </c>
      <c r="B122" s="1497"/>
    </row>
    <row r="123" spans="1:3" x14ac:dyDescent="0.2">
      <c r="A123" s="1311" t="s">
        <v>2078</v>
      </c>
      <c r="B123" s="1524" t="s">
        <v>1969</v>
      </c>
      <c r="C123" s="357" t="s">
        <v>775</v>
      </c>
    </row>
    <row r="124" spans="1:3" x14ac:dyDescent="0.2">
      <c r="A124" t="s">
        <v>2079</v>
      </c>
      <c r="B124" s="1497"/>
    </row>
    <row r="125" spans="1:3" x14ac:dyDescent="0.2">
      <c r="A125" t="s">
        <v>2080</v>
      </c>
      <c r="B125" s="1497"/>
    </row>
    <row r="126" spans="1:3" x14ac:dyDescent="0.2">
      <c r="A126" t="s">
        <v>2081</v>
      </c>
      <c r="B126" s="1497"/>
    </row>
    <row r="127" spans="1:3" x14ac:dyDescent="0.2">
      <c r="A127" t="s">
        <v>2082</v>
      </c>
      <c r="B127" s="1497"/>
    </row>
    <row r="128" spans="1:3" x14ac:dyDescent="0.2">
      <c r="A128" t="s">
        <v>2083</v>
      </c>
      <c r="B128" s="1497"/>
    </row>
    <row r="129" spans="1:3" x14ac:dyDescent="0.2">
      <c r="A129" t="s">
        <v>2084</v>
      </c>
      <c r="B129" s="1497"/>
    </row>
    <row r="130" spans="1:3" x14ac:dyDescent="0.2">
      <c r="A130" s="1311" t="s">
        <v>930</v>
      </c>
      <c r="B130" s="1524" t="s">
        <v>1969</v>
      </c>
      <c r="C130" s="357" t="s">
        <v>775</v>
      </c>
    </row>
    <row r="131" spans="1:3" x14ac:dyDescent="0.2">
      <c r="A131" t="s">
        <v>2085</v>
      </c>
      <c r="B131" s="1497"/>
    </row>
    <row r="132" spans="1:3" x14ac:dyDescent="0.2">
      <c r="A132" t="s">
        <v>2086</v>
      </c>
      <c r="B132" s="1497"/>
    </row>
    <row r="133" spans="1:3" x14ac:dyDescent="0.2">
      <c r="A133" t="s">
        <v>2087</v>
      </c>
      <c r="B133" s="1497"/>
    </row>
    <row r="134" spans="1:3" x14ac:dyDescent="0.2">
      <c r="A134" t="s">
        <v>2088</v>
      </c>
      <c r="B134" s="1497"/>
    </row>
    <row r="135" spans="1:3" x14ac:dyDescent="0.2">
      <c r="A135" t="s">
        <v>2089</v>
      </c>
      <c r="B135" s="1497"/>
    </row>
    <row r="136" spans="1:3" x14ac:dyDescent="0.2">
      <c r="A136" t="s">
        <v>2090</v>
      </c>
      <c r="B136" s="1497"/>
    </row>
    <row r="137" spans="1:3" x14ac:dyDescent="0.2">
      <c r="A137" t="s">
        <v>2091</v>
      </c>
      <c r="B137" s="1497"/>
    </row>
    <row r="138" spans="1:3" x14ac:dyDescent="0.2">
      <c r="A138" t="s">
        <v>2092</v>
      </c>
      <c r="B138" s="1497"/>
    </row>
    <row r="139" spans="1:3" x14ac:dyDescent="0.2">
      <c r="A139" t="s">
        <v>2093</v>
      </c>
      <c r="B139" s="1497"/>
    </row>
    <row r="140" spans="1:3" x14ac:dyDescent="0.2">
      <c r="A140" t="s">
        <v>2094</v>
      </c>
      <c r="B140" s="1497"/>
    </row>
    <row r="141" spans="1:3" x14ac:dyDescent="0.2">
      <c r="A141" t="s">
        <v>2095</v>
      </c>
      <c r="B141" s="1497"/>
    </row>
    <row r="142" spans="1:3" x14ac:dyDescent="0.2">
      <c r="A142" t="s">
        <v>2096</v>
      </c>
      <c r="B142" s="1497"/>
    </row>
    <row r="143" spans="1:3" x14ac:dyDescent="0.2">
      <c r="A143" t="s">
        <v>2097</v>
      </c>
      <c r="B143" s="1497"/>
    </row>
    <row r="144" spans="1:3" x14ac:dyDescent="0.2">
      <c r="A144" s="1311" t="s">
        <v>4815</v>
      </c>
      <c r="B144" s="1524" t="s">
        <v>5704</v>
      </c>
      <c r="C144" s="290">
        <v>1175</v>
      </c>
    </row>
    <row r="145" spans="1:3" x14ac:dyDescent="0.2">
      <c r="A145" s="2226" t="s">
        <v>5316</v>
      </c>
      <c r="B145" s="1524"/>
    </row>
    <row r="146" spans="1:3" x14ac:dyDescent="0.2">
      <c r="A146" s="1311" t="s">
        <v>2098</v>
      </c>
      <c r="B146" s="1524" t="s">
        <v>1969</v>
      </c>
      <c r="C146" s="290">
        <v>1190</v>
      </c>
    </row>
    <row r="147" spans="1:3" x14ac:dyDescent="0.2">
      <c r="A147" t="s">
        <v>2099</v>
      </c>
      <c r="B147" s="1497"/>
    </row>
    <row r="148" spans="1:3" x14ac:dyDescent="0.2">
      <c r="A148" s="1311" t="s">
        <v>1531</v>
      </c>
      <c r="B148" s="1524" t="s">
        <v>1969</v>
      </c>
      <c r="C148" s="290">
        <v>1195</v>
      </c>
    </row>
    <row r="149" spans="1:3" x14ac:dyDescent="0.2">
      <c r="A149" t="s">
        <v>2100</v>
      </c>
      <c r="B149" s="1497" t="s">
        <v>2101</v>
      </c>
    </row>
    <row r="150" spans="1:3" x14ac:dyDescent="0.2">
      <c r="A150" s="1311" t="s">
        <v>361</v>
      </c>
      <c r="B150" s="1524" t="s">
        <v>1969</v>
      </c>
      <c r="C150" s="290">
        <v>1200</v>
      </c>
    </row>
    <row r="151" spans="1:3" x14ac:dyDescent="0.2">
      <c r="A151" t="s">
        <v>2102</v>
      </c>
      <c r="B151" s="1497"/>
    </row>
    <row r="152" spans="1:3" x14ac:dyDescent="0.2">
      <c r="A152" s="1311" t="s">
        <v>549</v>
      </c>
      <c r="B152" s="1524" t="s">
        <v>1969</v>
      </c>
      <c r="C152" s="290">
        <v>1230</v>
      </c>
    </row>
    <row r="153" spans="1:3" x14ac:dyDescent="0.2">
      <c r="A153" t="s">
        <v>2103</v>
      </c>
      <c r="B153" s="1497"/>
    </row>
    <row r="154" spans="1:3" x14ac:dyDescent="0.2">
      <c r="A154" t="s">
        <v>2104</v>
      </c>
      <c r="B154" s="1497"/>
    </row>
    <row r="155" spans="1:3" x14ac:dyDescent="0.2">
      <c r="A155" t="s">
        <v>2105</v>
      </c>
      <c r="B155" s="1497"/>
    </row>
    <row r="156" spans="1:3" x14ac:dyDescent="0.2">
      <c r="A156" t="s">
        <v>2106</v>
      </c>
      <c r="B156" s="1497"/>
    </row>
    <row r="157" spans="1:3" x14ac:dyDescent="0.2">
      <c r="A157" t="s">
        <v>2107</v>
      </c>
      <c r="B157" s="1497"/>
    </row>
    <row r="158" spans="1:3" x14ac:dyDescent="0.2">
      <c r="A158" t="s">
        <v>2108</v>
      </c>
      <c r="B158" s="1497"/>
    </row>
    <row r="159" spans="1:3" x14ac:dyDescent="0.2">
      <c r="A159" s="1311" t="s">
        <v>5359</v>
      </c>
      <c r="B159"/>
    </row>
    <row r="160" spans="1:3" x14ac:dyDescent="0.2">
      <c r="A160" s="272" t="s">
        <v>5705</v>
      </c>
      <c r="B160" s="2347" t="s">
        <v>5703</v>
      </c>
    </row>
    <row r="161" spans="1:3" x14ac:dyDescent="0.2">
      <c r="A161" s="1311" t="s">
        <v>931</v>
      </c>
      <c r="B161" s="1524" t="s">
        <v>2109</v>
      </c>
      <c r="C161" s="290">
        <v>1220</v>
      </c>
    </row>
    <row r="162" spans="1:3" x14ac:dyDescent="0.2">
      <c r="A162" t="s">
        <v>2110</v>
      </c>
      <c r="B162" s="1497"/>
    </row>
    <row r="163" spans="1:3" x14ac:dyDescent="0.2">
      <c r="A163" t="s">
        <v>2111</v>
      </c>
      <c r="B163" s="1497"/>
    </row>
    <row r="164" spans="1:3" x14ac:dyDescent="0.2">
      <c r="A164" t="s">
        <v>2112</v>
      </c>
      <c r="B164" s="1497"/>
    </row>
    <row r="165" spans="1:3" x14ac:dyDescent="0.2">
      <c r="A165" t="s">
        <v>2113</v>
      </c>
      <c r="B165" s="1497"/>
    </row>
    <row r="166" spans="1:3" x14ac:dyDescent="0.2">
      <c r="A166" t="s">
        <v>2114</v>
      </c>
      <c r="B166" s="1497"/>
    </row>
    <row r="167" spans="1:3" x14ac:dyDescent="0.2">
      <c r="A167" t="s">
        <v>2115</v>
      </c>
      <c r="B167" s="1497"/>
    </row>
    <row r="168" spans="1:3" x14ac:dyDescent="0.2">
      <c r="A168" t="s">
        <v>2116</v>
      </c>
      <c r="B168" s="1497"/>
    </row>
    <row r="169" spans="1:3" x14ac:dyDescent="0.2">
      <c r="A169" t="s">
        <v>2117</v>
      </c>
      <c r="B169" s="1497"/>
    </row>
    <row r="170" spans="1:3" x14ac:dyDescent="0.2">
      <c r="A170" t="s">
        <v>2118</v>
      </c>
      <c r="B170" s="1497"/>
    </row>
    <row r="171" spans="1:3" x14ac:dyDescent="0.2">
      <c r="A171" t="s">
        <v>2119</v>
      </c>
      <c r="B171" s="1497"/>
    </row>
    <row r="172" spans="1:3" x14ac:dyDescent="0.2">
      <c r="A172" t="s">
        <v>2120</v>
      </c>
      <c r="B172" s="1497"/>
    </row>
    <row r="173" spans="1:3" x14ac:dyDescent="0.2">
      <c r="A173" t="s">
        <v>2121</v>
      </c>
      <c r="B173" s="1497"/>
    </row>
    <row r="174" spans="1:3" x14ac:dyDescent="0.2">
      <c r="A174" t="s">
        <v>2122</v>
      </c>
      <c r="B174" s="1497"/>
    </row>
    <row r="175" spans="1:3" x14ac:dyDescent="0.2">
      <c r="A175" t="s">
        <v>2123</v>
      </c>
      <c r="B175" s="1497"/>
    </row>
    <row r="176" spans="1:3" x14ac:dyDescent="0.2">
      <c r="A176" t="s">
        <v>2124</v>
      </c>
      <c r="B176" s="1497"/>
    </row>
    <row r="177" spans="1:3" x14ac:dyDescent="0.2">
      <c r="A177" t="s">
        <v>2125</v>
      </c>
      <c r="B177" s="1497"/>
    </row>
    <row r="178" spans="1:3" x14ac:dyDescent="0.2">
      <c r="A178" t="s">
        <v>2126</v>
      </c>
      <c r="B178" s="1497"/>
    </row>
    <row r="179" spans="1:3" x14ac:dyDescent="0.2">
      <c r="A179" t="s">
        <v>2127</v>
      </c>
      <c r="B179" s="1497"/>
    </row>
    <row r="180" spans="1:3" x14ac:dyDescent="0.2">
      <c r="A180" t="s">
        <v>2128</v>
      </c>
      <c r="B180" s="1497"/>
    </row>
    <row r="181" spans="1:3" x14ac:dyDescent="0.2">
      <c r="A181" t="s">
        <v>2129</v>
      </c>
      <c r="B181" s="1497"/>
    </row>
    <row r="182" spans="1:3" x14ac:dyDescent="0.2">
      <c r="A182" t="s">
        <v>2130</v>
      </c>
      <c r="B182" s="1497"/>
    </row>
    <row r="183" spans="1:3" x14ac:dyDescent="0.2">
      <c r="A183" s="1311" t="s">
        <v>2131</v>
      </c>
      <c r="B183" s="1524" t="s">
        <v>1969</v>
      </c>
      <c r="C183" s="357" t="s">
        <v>775</v>
      </c>
    </row>
    <row r="184" spans="1:3" x14ac:dyDescent="0.2">
      <c r="A184" t="s">
        <v>2132</v>
      </c>
      <c r="B184" s="1497"/>
    </row>
    <row r="185" spans="1:3" x14ac:dyDescent="0.2">
      <c r="A185" s="1311" t="s">
        <v>631</v>
      </c>
      <c r="B185" s="1524" t="s">
        <v>1969</v>
      </c>
      <c r="C185" s="290">
        <v>1230</v>
      </c>
    </row>
    <row r="186" spans="1:3" x14ac:dyDescent="0.2">
      <c r="A186" t="s">
        <v>2133</v>
      </c>
      <c r="B186" s="1497"/>
    </row>
    <row r="187" spans="1:3" x14ac:dyDescent="0.2">
      <c r="A187" s="1311" t="s">
        <v>2135</v>
      </c>
      <c r="B187" s="1524" t="s">
        <v>1969</v>
      </c>
      <c r="C187" s="357" t="s">
        <v>775</v>
      </c>
    </row>
    <row r="188" spans="1:3" x14ac:dyDescent="0.2">
      <c r="A188" t="s">
        <v>2136</v>
      </c>
      <c r="B188" s="1497"/>
    </row>
    <row r="189" spans="1:3" x14ac:dyDescent="0.2">
      <c r="A189" s="1311" t="s">
        <v>2137</v>
      </c>
      <c r="B189" s="1524" t="s">
        <v>1969</v>
      </c>
      <c r="C189" s="290">
        <v>1232</v>
      </c>
    </row>
    <row r="190" spans="1:3" x14ac:dyDescent="0.2">
      <c r="A190" s="272" t="s">
        <v>2138</v>
      </c>
      <c r="B190" s="1497"/>
    </row>
    <row r="191" spans="1:3" x14ac:dyDescent="0.2">
      <c r="A191" s="1517" t="s">
        <v>4414</v>
      </c>
      <c r="B191" s="1524" t="s">
        <v>1969</v>
      </c>
      <c r="C191" s="290">
        <v>1234</v>
      </c>
    </row>
    <row r="192" spans="1:3" x14ac:dyDescent="0.2">
      <c r="A192" s="272" t="s">
        <v>4415</v>
      </c>
      <c r="B192" s="1497" t="s">
        <v>4418</v>
      </c>
    </row>
    <row r="193" spans="1:3" x14ac:dyDescent="0.2">
      <c r="A193" s="1311" t="s">
        <v>4416</v>
      </c>
      <c r="B193" s="1524" t="s">
        <v>1969</v>
      </c>
      <c r="C193" s="290">
        <v>1233</v>
      </c>
    </row>
    <row r="194" spans="1:3" x14ac:dyDescent="0.2">
      <c r="A194" s="272" t="s">
        <v>4417</v>
      </c>
      <c r="B194" s="1497" t="s">
        <v>4418</v>
      </c>
    </row>
    <row r="195" spans="1:3" x14ac:dyDescent="0.2">
      <c r="A195" s="1311" t="s">
        <v>639</v>
      </c>
      <c r="B195" s="1534"/>
    </row>
    <row r="196" spans="1:3" x14ac:dyDescent="0.2">
      <c r="A196" s="1311" t="s">
        <v>2139</v>
      </c>
      <c r="B196" s="1533"/>
    </row>
    <row r="197" spans="1:3" x14ac:dyDescent="0.2">
      <c r="A197" s="1311" t="s">
        <v>499</v>
      </c>
      <c r="B197" s="1524" t="s">
        <v>1969</v>
      </c>
      <c r="C197" s="290">
        <v>1270</v>
      </c>
    </row>
    <row r="198" spans="1:3" x14ac:dyDescent="0.2">
      <c r="A198" t="s">
        <v>2140</v>
      </c>
      <c r="B198" s="1497"/>
    </row>
    <row r="199" spans="1:3" x14ac:dyDescent="0.2">
      <c r="A199" t="s">
        <v>2141</v>
      </c>
      <c r="B199" s="1497" t="s">
        <v>2142</v>
      </c>
    </row>
    <row r="200" spans="1:3" x14ac:dyDescent="0.2">
      <c r="A200" t="s">
        <v>2143</v>
      </c>
      <c r="B200" s="1497" t="s">
        <v>2142</v>
      </c>
    </row>
    <row r="201" spans="1:3" x14ac:dyDescent="0.2">
      <c r="A201" t="s">
        <v>2144</v>
      </c>
      <c r="B201" s="1497" t="s">
        <v>2142</v>
      </c>
    </row>
    <row r="202" spans="1:3" x14ac:dyDescent="0.2">
      <c r="A202" t="s">
        <v>2145</v>
      </c>
      <c r="B202" s="1497" t="s">
        <v>2142</v>
      </c>
    </row>
    <row r="203" spans="1:3" x14ac:dyDescent="0.2">
      <c r="A203" t="s">
        <v>2146</v>
      </c>
      <c r="B203" s="1497" t="s">
        <v>2142</v>
      </c>
    </row>
    <row r="204" spans="1:3" x14ac:dyDescent="0.2">
      <c r="A204" s="1311" t="s">
        <v>2147</v>
      </c>
      <c r="B204" s="1524" t="s">
        <v>1969</v>
      </c>
      <c r="C204" s="290">
        <v>1280</v>
      </c>
    </row>
    <row r="205" spans="1:3" x14ac:dyDescent="0.2">
      <c r="A205" s="272" t="s">
        <v>2148</v>
      </c>
      <c r="B205" s="1497"/>
    </row>
    <row r="206" spans="1:3" x14ac:dyDescent="0.2">
      <c r="A206" s="272" t="s">
        <v>2149</v>
      </c>
      <c r="B206" s="1497"/>
    </row>
    <row r="207" spans="1:3" x14ac:dyDescent="0.2">
      <c r="A207" s="272" t="s">
        <v>2150</v>
      </c>
      <c r="B207" s="1497"/>
    </row>
    <row r="208" spans="1:3" x14ac:dyDescent="0.2">
      <c r="A208" s="272" t="s">
        <v>2151</v>
      </c>
      <c r="B208" s="1497"/>
    </row>
    <row r="209" spans="1:3" x14ac:dyDescent="0.2">
      <c r="A209" s="1528" t="s">
        <v>2152</v>
      </c>
      <c r="B209" s="1497"/>
    </row>
    <row r="210" spans="1:3" x14ac:dyDescent="0.2">
      <c r="A210" s="1514" t="s">
        <v>548</v>
      </c>
      <c r="B210" s="1524" t="s">
        <v>1969</v>
      </c>
      <c r="C210" s="290">
        <v>1300</v>
      </c>
    </row>
    <row r="211" spans="1:3" x14ac:dyDescent="0.2">
      <c r="A211" t="s">
        <v>2153</v>
      </c>
      <c r="B211" s="1497" t="s">
        <v>2142</v>
      </c>
    </row>
    <row r="212" spans="1:3" x14ac:dyDescent="0.2">
      <c r="A212" t="s">
        <v>2154</v>
      </c>
      <c r="B212" s="1497" t="s">
        <v>2142</v>
      </c>
    </row>
    <row r="213" spans="1:3" x14ac:dyDescent="0.2">
      <c r="A213" t="s">
        <v>2155</v>
      </c>
      <c r="B213" s="1497" t="s">
        <v>2142</v>
      </c>
    </row>
    <row r="214" spans="1:3" x14ac:dyDescent="0.2">
      <c r="A214" t="s">
        <v>2156</v>
      </c>
      <c r="B214" s="1497"/>
    </row>
    <row r="215" spans="1:3" x14ac:dyDescent="0.2">
      <c r="A215" t="s">
        <v>2157</v>
      </c>
      <c r="B215" s="1497" t="s">
        <v>2142</v>
      </c>
    </row>
    <row r="216" spans="1:3" x14ac:dyDescent="0.2">
      <c r="A216" t="s">
        <v>2158</v>
      </c>
      <c r="B216" s="1497" t="s">
        <v>2142</v>
      </c>
    </row>
    <row r="217" spans="1:3" x14ac:dyDescent="0.2">
      <c r="A217" t="s">
        <v>2159</v>
      </c>
      <c r="B217" s="1497" t="s">
        <v>2142</v>
      </c>
    </row>
    <row r="218" spans="1:3" x14ac:dyDescent="0.2">
      <c r="A218" t="s">
        <v>2160</v>
      </c>
      <c r="B218" s="1497"/>
    </row>
    <row r="219" spans="1:3" x14ac:dyDescent="0.2">
      <c r="A219" t="s">
        <v>2161</v>
      </c>
      <c r="B219" s="1497" t="s">
        <v>2142</v>
      </c>
    </row>
    <row r="220" spans="1:3" x14ac:dyDescent="0.2">
      <c r="A220" t="s">
        <v>2162</v>
      </c>
      <c r="B220" s="1497" t="s">
        <v>2142</v>
      </c>
    </row>
    <row r="221" spans="1:3" x14ac:dyDescent="0.2">
      <c r="A221" t="s">
        <v>2163</v>
      </c>
      <c r="B221" s="1497" t="s">
        <v>2142</v>
      </c>
    </row>
    <row r="222" spans="1:3" x14ac:dyDescent="0.2">
      <c r="A222" t="s">
        <v>2164</v>
      </c>
      <c r="B222" s="1497" t="s">
        <v>2142</v>
      </c>
    </row>
    <row r="223" spans="1:3" x14ac:dyDescent="0.2">
      <c r="A223" t="s">
        <v>2165</v>
      </c>
      <c r="B223" s="1497" t="s">
        <v>2142</v>
      </c>
    </row>
    <row r="224" spans="1:3" x14ac:dyDescent="0.2">
      <c r="A224" t="s">
        <v>2166</v>
      </c>
      <c r="B224" s="1497" t="s">
        <v>2142</v>
      </c>
    </row>
    <row r="225" spans="1:3" x14ac:dyDescent="0.2">
      <c r="A225" t="s">
        <v>2167</v>
      </c>
      <c r="B225" s="1497" t="s">
        <v>2142</v>
      </c>
    </row>
    <row r="226" spans="1:3" x14ac:dyDescent="0.2">
      <c r="A226" t="s">
        <v>2168</v>
      </c>
      <c r="B226" s="1497" t="s">
        <v>2142</v>
      </c>
    </row>
    <row r="227" spans="1:3" x14ac:dyDescent="0.2">
      <c r="A227" t="s">
        <v>2169</v>
      </c>
      <c r="B227" s="1497" t="s">
        <v>2142</v>
      </c>
    </row>
    <row r="228" spans="1:3" x14ac:dyDescent="0.2">
      <c r="A228" t="s">
        <v>2170</v>
      </c>
      <c r="B228" s="1497" t="s">
        <v>2142</v>
      </c>
    </row>
    <row r="229" spans="1:3" x14ac:dyDescent="0.2">
      <c r="A229" t="s">
        <v>2171</v>
      </c>
      <c r="B229" s="1497"/>
    </row>
    <row r="230" spans="1:3" x14ac:dyDescent="0.2">
      <c r="A230" t="s">
        <v>2172</v>
      </c>
      <c r="B230" s="1497" t="s">
        <v>2142</v>
      </c>
    </row>
    <row r="231" spans="1:3" x14ac:dyDescent="0.2">
      <c r="A231" t="s">
        <v>2173</v>
      </c>
      <c r="B231" s="1497"/>
    </row>
    <row r="232" spans="1:3" x14ac:dyDescent="0.2">
      <c r="A232" t="s">
        <v>2174</v>
      </c>
      <c r="B232" s="1497" t="s">
        <v>2142</v>
      </c>
    </row>
    <row r="233" spans="1:3" x14ac:dyDescent="0.2">
      <c r="A233" t="s">
        <v>2175</v>
      </c>
      <c r="B233" s="1497" t="s">
        <v>2142</v>
      </c>
    </row>
    <row r="234" spans="1:3" x14ac:dyDescent="0.2">
      <c r="A234" t="s">
        <v>2176</v>
      </c>
      <c r="B234" s="1497"/>
    </row>
    <row r="235" spans="1:3" x14ac:dyDescent="0.2">
      <c r="A235" t="s">
        <v>2177</v>
      </c>
      <c r="B235" s="1497"/>
    </row>
    <row r="236" spans="1:3" x14ac:dyDescent="0.2">
      <c r="A236" t="s">
        <v>2178</v>
      </c>
      <c r="B236" s="1497"/>
    </row>
    <row r="237" spans="1:3" x14ac:dyDescent="0.2">
      <c r="A237" s="272" t="s">
        <v>2179</v>
      </c>
      <c r="B237" s="1497" t="s">
        <v>2026</v>
      </c>
    </row>
    <row r="238" spans="1:3" x14ac:dyDescent="0.2">
      <c r="A238" s="1311" t="s">
        <v>1297</v>
      </c>
      <c r="B238" s="1524" t="s">
        <v>1969</v>
      </c>
      <c r="C238" s="290">
        <v>1310</v>
      </c>
    </row>
    <row r="239" spans="1:3" x14ac:dyDescent="0.2">
      <c r="A239" t="s">
        <v>2180</v>
      </c>
      <c r="B239" s="1497" t="s">
        <v>2181</v>
      </c>
    </row>
    <row r="240" spans="1:3" x14ac:dyDescent="0.2">
      <c r="A240" t="s">
        <v>2182</v>
      </c>
      <c r="B240" s="1497" t="s">
        <v>2181</v>
      </c>
    </row>
    <row r="241" spans="1:3" x14ac:dyDescent="0.2">
      <c r="A241" s="1311" t="s">
        <v>1455</v>
      </c>
      <c r="B241" s="1524" t="s">
        <v>1969</v>
      </c>
      <c r="C241" s="290">
        <v>1410</v>
      </c>
    </row>
    <row r="242" spans="1:3" ht="25.5" x14ac:dyDescent="0.2">
      <c r="A242" t="s">
        <v>2183</v>
      </c>
      <c r="B242" s="1497" t="s">
        <v>4942</v>
      </c>
    </row>
    <row r="243" spans="1:3" x14ac:dyDescent="0.2">
      <c r="A243" t="s">
        <v>2184</v>
      </c>
      <c r="B243" s="1497" t="s">
        <v>2181</v>
      </c>
    </row>
    <row r="244" spans="1:3" ht="25.5" x14ac:dyDescent="0.2">
      <c r="A244" t="s">
        <v>2185</v>
      </c>
      <c r="B244" s="1497" t="s">
        <v>4942</v>
      </c>
    </row>
    <row r="245" spans="1:3" x14ac:dyDescent="0.2">
      <c r="A245" t="s">
        <v>2186</v>
      </c>
      <c r="B245" s="1497" t="s">
        <v>2181</v>
      </c>
    </row>
    <row r="246" spans="1:3" x14ac:dyDescent="0.2">
      <c r="A246" s="1311" t="s">
        <v>311</v>
      </c>
      <c r="B246" s="1524" t="s">
        <v>1969</v>
      </c>
      <c r="C246" s="290">
        <v>1340</v>
      </c>
    </row>
    <row r="247" spans="1:3" x14ac:dyDescent="0.2">
      <c r="A247" t="s">
        <v>2187</v>
      </c>
      <c r="B247" s="1497"/>
    </row>
    <row r="248" spans="1:3" x14ac:dyDescent="0.2">
      <c r="A248" t="s">
        <v>2188</v>
      </c>
      <c r="B248" s="1497"/>
    </row>
    <row r="249" spans="1:3" x14ac:dyDescent="0.2">
      <c r="A249" t="s">
        <v>2189</v>
      </c>
      <c r="B249" s="1497"/>
    </row>
    <row r="250" spans="1:3" x14ac:dyDescent="0.2">
      <c r="A250" t="s">
        <v>2190</v>
      </c>
      <c r="B250" s="1497"/>
    </row>
    <row r="251" spans="1:3" x14ac:dyDescent="0.2">
      <c r="A251" t="s">
        <v>2191</v>
      </c>
      <c r="B251" s="1497"/>
    </row>
    <row r="252" spans="1:3" x14ac:dyDescent="0.2">
      <c r="A252" t="s">
        <v>2192</v>
      </c>
      <c r="B252" s="1497"/>
    </row>
    <row r="253" spans="1:3" x14ac:dyDescent="0.2">
      <c r="A253" s="1311" t="s">
        <v>200</v>
      </c>
      <c r="B253" s="1524" t="s">
        <v>1969</v>
      </c>
      <c r="C253" s="290">
        <v>1350</v>
      </c>
    </row>
    <row r="254" spans="1:3" x14ac:dyDescent="0.2">
      <c r="A254" t="s">
        <v>2193</v>
      </c>
      <c r="B254" s="1497"/>
    </row>
    <row r="255" spans="1:3" x14ac:dyDescent="0.2">
      <c r="A255" t="s">
        <v>2194</v>
      </c>
      <c r="B255" s="1497"/>
    </row>
    <row r="256" spans="1:3" x14ac:dyDescent="0.2">
      <c r="A256" s="1311" t="s">
        <v>313</v>
      </c>
      <c r="B256" s="1524" t="s">
        <v>1969</v>
      </c>
      <c r="C256" s="357" t="s">
        <v>775</v>
      </c>
    </row>
    <row r="257" spans="1:3" x14ac:dyDescent="0.2">
      <c r="A257" t="s">
        <v>2195</v>
      </c>
      <c r="B257" s="1497"/>
    </row>
    <row r="258" spans="1:3" x14ac:dyDescent="0.2">
      <c r="A258" t="s">
        <v>2196</v>
      </c>
      <c r="B258" s="1497"/>
    </row>
    <row r="259" spans="1:3" x14ac:dyDescent="0.2">
      <c r="A259" s="1311" t="s">
        <v>2197</v>
      </c>
      <c r="B259" s="1524" t="s">
        <v>1969</v>
      </c>
      <c r="C259" s="290">
        <v>1370</v>
      </c>
    </row>
    <row r="260" spans="1:3" x14ac:dyDescent="0.2">
      <c r="A260" t="s">
        <v>2198</v>
      </c>
      <c r="B260" s="1497"/>
    </row>
    <row r="261" spans="1:3" x14ac:dyDescent="0.2">
      <c r="A261" t="s">
        <v>2199</v>
      </c>
      <c r="B261" s="1497"/>
    </row>
    <row r="262" spans="1:3" x14ac:dyDescent="0.2">
      <c r="A262" t="s">
        <v>2200</v>
      </c>
      <c r="B262" s="1497"/>
    </row>
    <row r="263" spans="1:3" x14ac:dyDescent="0.2">
      <c r="A263" t="s">
        <v>2201</v>
      </c>
      <c r="B263" s="1497"/>
    </row>
    <row r="264" spans="1:3" x14ac:dyDescent="0.2">
      <c r="A264" s="1311" t="s">
        <v>646</v>
      </c>
      <c r="B264" s="1524" t="s">
        <v>1969</v>
      </c>
      <c r="C264" s="290">
        <v>1390</v>
      </c>
    </row>
    <row r="265" spans="1:3" x14ac:dyDescent="0.2">
      <c r="A265" t="s">
        <v>2202</v>
      </c>
      <c r="B265" s="1497"/>
    </row>
    <row r="266" spans="1:3" x14ac:dyDescent="0.2">
      <c r="A266" s="1311" t="s">
        <v>2203</v>
      </c>
      <c r="B266" s="1524" t="s">
        <v>1969</v>
      </c>
      <c r="C266" s="290">
        <v>1395</v>
      </c>
    </row>
    <row r="267" spans="1:3" x14ac:dyDescent="0.2">
      <c r="A267" s="272" t="s">
        <v>2204</v>
      </c>
      <c r="B267" s="1497" t="s">
        <v>2041</v>
      </c>
    </row>
    <row r="268" spans="1:3" x14ac:dyDescent="0.2">
      <c r="A268" s="1517" t="s">
        <v>4414</v>
      </c>
      <c r="B268" s="1524" t="s">
        <v>1969</v>
      </c>
      <c r="C268" s="290">
        <v>1434</v>
      </c>
    </row>
    <row r="269" spans="1:3" x14ac:dyDescent="0.2">
      <c r="A269" s="272" t="s">
        <v>4419</v>
      </c>
      <c r="B269" s="1497" t="s">
        <v>4418</v>
      </c>
    </row>
    <row r="270" spans="1:3" x14ac:dyDescent="0.2">
      <c r="A270" s="1311" t="s">
        <v>549</v>
      </c>
      <c r="B270" s="1524" t="s">
        <v>1969</v>
      </c>
      <c r="C270" s="290">
        <v>1400</v>
      </c>
    </row>
    <row r="271" spans="1:3" x14ac:dyDescent="0.2">
      <c r="A271" t="s">
        <v>2205</v>
      </c>
      <c r="B271" s="1497"/>
    </row>
    <row r="272" spans="1:3" x14ac:dyDescent="0.2">
      <c r="A272" t="s">
        <v>2206</v>
      </c>
      <c r="B272" s="1497"/>
    </row>
    <row r="273" spans="1:3" x14ac:dyDescent="0.2">
      <c r="A273" t="s">
        <v>2207</v>
      </c>
      <c r="B273" s="1497"/>
    </row>
    <row r="274" spans="1:3" x14ac:dyDescent="0.2">
      <c r="A274" t="s">
        <v>2208</v>
      </c>
      <c r="B274" s="1497"/>
    </row>
    <row r="275" spans="1:3" x14ac:dyDescent="0.2">
      <c r="A275" t="s">
        <v>2209</v>
      </c>
      <c r="B275" s="1497"/>
    </row>
    <row r="276" spans="1:3" x14ac:dyDescent="0.2">
      <c r="A276" t="s">
        <v>2210</v>
      </c>
      <c r="B276" s="1497"/>
    </row>
    <row r="277" spans="1:3" x14ac:dyDescent="0.2">
      <c r="A277" s="1311" t="s">
        <v>5359</v>
      </c>
      <c r="B277" s="1497"/>
    </row>
    <row r="278" spans="1:3" x14ac:dyDescent="0.2">
      <c r="A278" s="272" t="s">
        <v>5706</v>
      </c>
      <c r="B278" s="2347" t="s">
        <v>5703</v>
      </c>
    </row>
    <row r="279" spans="1:3" x14ac:dyDescent="0.2">
      <c r="A279" s="1311" t="s">
        <v>2211</v>
      </c>
      <c r="B279" s="1524" t="s">
        <v>1969</v>
      </c>
      <c r="C279" s="290">
        <v>1415</v>
      </c>
    </row>
    <row r="280" spans="1:3" x14ac:dyDescent="0.2">
      <c r="A280" t="s">
        <v>2212</v>
      </c>
      <c r="B280" s="1497" t="s">
        <v>2101</v>
      </c>
    </row>
    <row r="281" spans="1:3" x14ac:dyDescent="0.2">
      <c r="A281" s="1311" t="s">
        <v>3736</v>
      </c>
      <c r="B281" s="1524" t="s">
        <v>3841</v>
      </c>
      <c r="C281" s="290">
        <v>1420</v>
      </c>
    </row>
    <row r="282" spans="1:3" x14ac:dyDescent="0.2">
      <c r="A282" t="s">
        <v>2213</v>
      </c>
      <c r="B282" s="1497"/>
    </row>
    <row r="283" spans="1:3" x14ac:dyDescent="0.2">
      <c r="A283" s="272" t="s">
        <v>3737</v>
      </c>
      <c r="B283" s="1497" t="s">
        <v>3738</v>
      </c>
    </row>
    <row r="284" spans="1:3" x14ac:dyDescent="0.2">
      <c r="A284" s="1311" t="s">
        <v>960</v>
      </c>
      <c r="B284" s="1524" t="s">
        <v>1969</v>
      </c>
      <c r="C284" s="357" t="s">
        <v>775</v>
      </c>
    </row>
    <row r="285" spans="1:3" x14ac:dyDescent="0.2">
      <c r="A285" t="s">
        <v>2215</v>
      </c>
      <c r="B285" s="1497"/>
    </row>
    <row r="286" spans="1:3" x14ac:dyDescent="0.2">
      <c r="A286" t="s">
        <v>2216</v>
      </c>
      <c r="B286" s="1497"/>
    </row>
    <row r="287" spans="1:3" x14ac:dyDescent="0.2">
      <c r="A287" t="s">
        <v>2217</v>
      </c>
      <c r="B287" s="1497"/>
    </row>
    <row r="288" spans="1:3" x14ac:dyDescent="0.2">
      <c r="A288" t="s">
        <v>2218</v>
      </c>
      <c r="B288" s="1497"/>
    </row>
    <row r="289" spans="1:3" x14ac:dyDescent="0.2">
      <c r="A289" t="s">
        <v>2219</v>
      </c>
      <c r="B289" s="1497"/>
    </row>
    <row r="290" spans="1:3" x14ac:dyDescent="0.2">
      <c r="A290" t="s">
        <v>2220</v>
      </c>
      <c r="B290" s="1497"/>
    </row>
    <row r="291" spans="1:3" x14ac:dyDescent="0.2">
      <c r="A291" t="s">
        <v>2221</v>
      </c>
      <c r="B291" s="1497"/>
    </row>
    <row r="292" spans="1:3" x14ac:dyDescent="0.2">
      <c r="A292" s="1311" t="s">
        <v>961</v>
      </c>
      <c r="B292" s="1524" t="s">
        <v>1969</v>
      </c>
      <c r="C292" s="357" t="s">
        <v>775</v>
      </c>
    </row>
    <row r="293" spans="1:3" x14ac:dyDescent="0.2">
      <c r="A293" t="s">
        <v>2222</v>
      </c>
      <c r="B293" s="1497"/>
    </row>
    <row r="294" spans="1:3" x14ac:dyDescent="0.2">
      <c r="A294" s="1517" t="s">
        <v>2137</v>
      </c>
      <c r="B294" s="1524" t="s">
        <v>1969</v>
      </c>
      <c r="C294" s="290">
        <v>1432</v>
      </c>
    </row>
    <row r="295" spans="1:3" x14ac:dyDescent="0.2">
      <c r="A295" s="272" t="s">
        <v>2223</v>
      </c>
      <c r="B295" s="1497" t="s">
        <v>2224</v>
      </c>
    </row>
    <row r="296" spans="1:3" x14ac:dyDescent="0.2">
      <c r="A296" s="272"/>
      <c r="B296" s="1497"/>
    </row>
    <row r="297" spans="1:3" x14ac:dyDescent="0.2">
      <c r="A297" s="272"/>
      <c r="B297" s="1497"/>
    </row>
    <row r="298" spans="1:3" x14ac:dyDescent="0.2">
      <c r="A298" s="1517" t="s">
        <v>4416</v>
      </c>
      <c r="B298" s="1524" t="s">
        <v>1969</v>
      </c>
      <c r="C298" s="290">
        <v>1433</v>
      </c>
    </row>
    <row r="299" spans="1:3" x14ac:dyDescent="0.2">
      <c r="A299" s="272" t="s">
        <v>4420</v>
      </c>
      <c r="B299" s="1497" t="s">
        <v>4421</v>
      </c>
    </row>
    <row r="300" spans="1:3" x14ac:dyDescent="0.2">
      <c r="A300" s="1311" t="s">
        <v>2225</v>
      </c>
      <c r="B300" s="1534"/>
    </row>
    <row r="301" spans="1:3" x14ac:dyDescent="0.2">
      <c r="A301" s="1311" t="s">
        <v>2226</v>
      </c>
      <c r="B301" s="1534"/>
    </row>
    <row r="302" spans="1:3" x14ac:dyDescent="0.2">
      <c r="A302" s="1311" t="s">
        <v>1053</v>
      </c>
      <c r="B302" s="1497"/>
    </row>
    <row r="303" spans="1:3" x14ac:dyDescent="0.2">
      <c r="A303" s="1311" t="s">
        <v>2227</v>
      </c>
      <c r="B303" s="1527" t="s">
        <v>1969</v>
      </c>
      <c r="C303" s="290">
        <v>1480</v>
      </c>
    </row>
    <row r="304" spans="1:3" x14ac:dyDescent="0.2">
      <c r="A304" t="s">
        <v>2228</v>
      </c>
      <c r="B304" s="1497"/>
    </row>
    <row r="305" spans="1:3" x14ac:dyDescent="0.2">
      <c r="A305" t="s">
        <v>2229</v>
      </c>
      <c r="B305" s="1497"/>
    </row>
    <row r="306" spans="1:3" x14ac:dyDescent="0.2">
      <c r="A306" s="1311" t="s">
        <v>2230</v>
      </c>
      <c r="B306" s="1527" t="s">
        <v>1969</v>
      </c>
      <c r="C306" s="290">
        <v>1490</v>
      </c>
    </row>
    <row r="307" spans="1:3" x14ac:dyDescent="0.2">
      <c r="A307" t="s">
        <v>2231</v>
      </c>
      <c r="B307" s="1497"/>
    </row>
    <row r="308" spans="1:3" x14ac:dyDescent="0.2">
      <c r="A308" s="1311" t="s">
        <v>2232</v>
      </c>
      <c r="B308" s="1527" t="s">
        <v>1969</v>
      </c>
      <c r="C308" s="290">
        <v>1500</v>
      </c>
    </row>
    <row r="309" spans="1:3" x14ac:dyDescent="0.2">
      <c r="A309" t="s">
        <v>2233</v>
      </c>
      <c r="B309" s="1497"/>
    </row>
    <row r="310" spans="1:3" x14ac:dyDescent="0.2">
      <c r="A310" s="1311" t="s">
        <v>2234</v>
      </c>
      <c r="B310" s="1527" t="s">
        <v>1969</v>
      </c>
      <c r="C310" s="290">
        <v>1503</v>
      </c>
    </row>
    <row r="311" spans="1:3" x14ac:dyDescent="0.2">
      <c r="A311" s="272" t="s">
        <v>2235</v>
      </c>
      <c r="B311" s="1497" t="s">
        <v>2224</v>
      </c>
    </row>
    <row r="312" spans="1:3" x14ac:dyDescent="0.2">
      <c r="A312" s="1311" t="s">
        <v>2236</v>
      </c>
      <c r="B312" s="1527" t="s">
        <v>1969</v>
      </c>
      <c r="C312" s="290">
        <v>1505</v>
      </c>
    </row>
    <row r="313" spans="1:3" x14ac:dyDescent="0.2">
      <c r="A313" s="272" t="s">
        <v>2237</v>
      </c>
      <c r="B313" s="1497" t="s">
        <v>2224</v>
      </c>
    </row>
    <row r="314" spans="1:3" x14ac:dyDescent="0.2">
      <c r="A314" s="1311" t="s">
        <v>2238</v>
      </c>
      <c r="B314" s="1527" t="s">
        <v>1969</v>
      </c>
      <c r="C314" s="290">
        <v>1506</v>
      </c>
    </row>
    <row r="315" spans="1:3" x14ac:dyDescent="0.2">
      <c r="A315" s="272" t="s">
        <v>2239</v>
      </c>
      <c r="B315" s="1497"/>
    </row>
    <row r="316" spans="1:3" x14ac:dyDescent="0.2">
      <c r="A316" s="1311" t="s">
        <v>2240</v>
      </c>
      <c r="B316" s="1497"/>
    </row>
    <row r="317" spans="1:3" x14ac:dyDescent="0.2">
      <c r="A317" s="1311" t="s">
        <v>617</v>
      </c>
      <c r="B317" s="1524" t="s">
        <v>1969</v>
      </c>
      <c r="C317" s="290">
        <v>1520</v>
      </c>
    </row>
    <row r="318" spans="1:3" x14ac:dyDescent="0.2">
      <c r="A318" t="s">
        <v>2241</v>
      </c>
      <c r="B318" s="1497"/>
    </row>
    <row r="319" spans="1:3" x14ac:dyDescent="0.2">
      <c r="A319" s="272" t="s">
        <v>2242</v>
      </c>
      <c r="B319" s="1497" t="s">
        <v>2243</v>
      </c>
    </row>
    <row r="320" spans="1:3" x14ac:dyDescent="0.2">
      <c r="A320" s="1311" t="s">
        <v>1411</v>
      </c>
      <c r="B320" s="1524" t="s">
        <v>1969</v>
      </c>
      <c r="C320" s="290">
        <v>1530</v>
      </c>
    </row>
    <row r="321" spans="1:3" x14ac:dyDescent="0.2">
      <c r="A321" t="s">
        <v>2244</v>
      </c>
      <c r="B321" s="1497"/>
    </row>
    <row r="322" spans="1:3" x14ac:dyDescent="0.2">
      <c r="A322" t="s">
        <v>2245</v>
      </c>
      <c r="B322" s="1497"/>
    </row>
    <row r="323" spans="1:3" x14ac:dyDescent="0.2">
      <c r="A323" t="s">
        <v>2246</v>
      </c>
      <c r="B323" s="1497"/>
    </row>
    <row r="324" spans="1:3" x14ac:dyDescent="0.2">
      <c r="A324" t="s">
        <v>2247</v>
      </c>
      <c r="B324" s="1497"/>
    </row>
    <row r="325" spans="1:3" x14ac:dyDescent="0.2">
      <c r="A325" s="1311" t="s">
        <v>2248</v>
      </c>
      <c r="B325" s="1524" t="s">
        <v>1969</v>
      </c>
      <c r="C325" s="290">
        <v>1540</v>
      </c>
    </row>
    <row r="326" spans="1:3" x14ac:dyDescent="0.2">
      <c r="A326" t="s">
        <v>2249</v>
      </c>
      <c r="B326" s="1497"/>
    </row>
    <row r="327" spans="1:3" x14ac:dyDescent="0.2">
      <c r="A327" s="1311" t="s">
        <v>2250</v>
      </c>
      <c r="B327" s="1524" t="s">
        <v>1969</v>
      </c>
      <c r="C327" s="290">
        <v>1550</v>
      </c>
    </row>
    <row r="328" spans="1:3" x14ac:dyDescent="0.2">
      <c r="A328" t="s">
        <v>2251</v>
      </c>
      <c r="B328" s="1497"/>
    </row>
    <row r="329" spans="1:3" x14ac:dyDescent="0.2">
      <c r="A329" t="s">
        <v>2252</v>
      </c>
      <c r="B329" s="1497"/>
    </row>
    <row r="330" spans="1:3" x14ac:dyDescent="0.2">
      <c r="A330" t="s">
        <v>2253</v>
      </c>
      <c r="B330" s="1497"/>
    </row>
    <row r="331" spans="1:3" x14ac:dyDescent="0.2">
      <c r="A331" t="s">
        <v>2254</v>
      </c>
      <c r="B331" s="1497"/>
    </row>
    <row r="332" spans="1:3" x14ac:dyDescent="0.2">
      <c r="A332" t="s">
        <v>2255</v>
      </c>
      <c r="B332" s="1497"/>
    </row>
    <row r="333" spans="1:3" x14ac:dyDescent="0.2">
      <c r="A333" t="s">
        <v>2256</v>
      </c>
      <c r="B333" s="1497"/>
    </row>
    <row r="334" spans="1:3" x14ac:dyDescent="0.2">
      <c r="A334" t="s">
        <v>2257</v>
      </c>
      <c r="B334" s="1497"/>
    </row>
    <row r="335" spans="1:3" x14ac:dyDescent="0.2">
      <c r="A335" t="s">
        <v>2258</v>
      </c>
      <c r="B335" s="1497"/>
    </row>
    <row r="336" spans="1:3" x14ac:dyDescent="0.2">
      <c r="A336" t="s">
        <v>2259</v>
      </c>
      <c r="B336" s="1497"/>
    </row>
    <row r="337" spans="1:3" x14ac:dyDescent="0.2">
      <c r="A337" t="s">
        <v>2260</v>
      </c>
      <c r="B337" s="1497"/>
    </row>
    <row r="338" spans="1:3" x14ac:dyDescent="0.2">
      <c r="A338" t="s">
        <v>2261</v>
      </c>
      <c r="B338" s="1497"/>
    </row>
    <row r="339" spans="1:3" x14ac:dyDescent="0.2">
      <c r="A339" s="1311" t="s">
        <v>1558</v>
      </c>
      <c r="B339" s="1524" t="s">
        <v>1969</v>
      </c>
      <c r="C339" s="357" t="s">
        <v>775</v>
      </c>
    </row>
    <row r="340" spans="1:3" x14ac:dyDescent="0.2">
      <c r="A340" t="s">
        <v>2262</v>
      </c>
      <c r="B340" s="1497"/>
    </row>
    <row r="341" spans="1:3" x14ac:dyDescent="0.2">
      <c r="A341" s="1311" t="s">
        <v>2263</v>
      </c>
      <c r="B341" s="1524" t="s">
        <v>1969</v>
      </c>
      <c r="C341" s="290">
        <v>1553</v>
      </c>
    </row>
    <row r="342" spans="1:3" x14ac:dyDescent="0.2">
      <c r="A342" t="s">
        <v>2264</v>
      </c>
      <c r="B342" s="1497"/>
    </row>
    <row r="343" spans="1:3" x14ac:dyDescent="0.2">
      <c r="A343" s="1311" t="s">
        <v>1413</v>
      </c>
      <c r="B343" s="1524" t="s">
        <v>1969</v>
      </c>
      <c r="C343" s="290">
        <v>1555</v>
      </c>
    </row>
    <row r="344" spans="1:3" x14ac:dyDescent="0.2">
      <c r="A344" t="s">
        <v>2265</v>
      </c>
      <c r="B344" s="1497"/>
    </row>
    <row r="345" spans="1:3" x14ac:dyDescent="0.2">
      <c r="A345" s="1311" t="s">
        <v>2266</v>
      </c>
      <c r="B345" s="1524" t="s">
        <v>1969</v>
      </c>
      <c r="C345" s="290">
        <v>1560</v>
      </c>
    </row>
    <row r="346" spans="1:3" x14ac:dyDescent="0.2">
      <c r="A346" t="s">
        <v>2267</v>
      </c>
      <c r="B346" s="1497"/>
    </row>
    <row r="347" spans="1:3" x14ac:dyDescent="0.2">
      <c r="A347" s="1311" t="s">
        <v>5715</v>
      </c>
      <c r="B347" s="2347"/>
    </row>
    <row r="348" spans="1:3" x14ac:dyDescent="0.2">
      <c r="A348" s="272" t="s">
        <v>5707</v>
      </c>
      <c r="B348" s="2347" t="s">
        <v>5708</v>
      </c>
    </row>
    <row r="349" spans="1:3" x14ac:dyDescent="0.2">
      <c r="A349" s="1311" t="s">
        <v>5709</v>
      </c>
      <c r="B349" s="2347"/>
    </row>
    <row r="350" spans="1:3" x14ac:dyDescent="0.2">
      <c r="A350" s="272" t="s">
        <v>5710</v>
      </c>
      <c r="B350" s="2347" t="s">
        <v>5708</v>
      </c>
    </row>
    <row r="351" spans="1:3" x14ac:dyDescent="0.2">
      <c r="A351" s="1311" t="s">
        <v>5711</v>
      </c>
      <c r="B351" s="2347"/>
    </row>
    <row r="352" spans="1:3" x14ac:dyDescent="0.2">
      <c r="A352" s="272" t="s">
        <v>5712</v>
      </c>
      <c r="B352" s="2347" t="s">
        <v>5708</v>
      </c>
    </row>
    <row r="353" spans="1:3" x14ac:dyDescent="0.2">
      <c r="A353" s="1311" t="s">
        <v>5713</v>
      </c>
      <c r="B353" s="2347"/>
    </row>
    <row r="354" spans="1:3" x14ac:dyDescent="0.2">
      <c r="A354" s="272" t="s">
        <v>5714</v>
      </c>
      <c r="B354" s="2347" t="s">
        <v>5708</v>
      </c>
    </row>
    <row r="355" spans="1:3" x14ac:dyDescent="0.2">
      <c r="A355" s="1311" t="s">
        <v>1539</v>
      </c>
      <c r="B355" s="1524" t="s">
        <v>2268</v>
      </c>
      <c r="C355" s="290">
        <v>1570</v>
      </c>
    </row>
    <row r="356" spans="1:3" x14ac:dyDescent="0.2">
      <c r="A356" t="s">
        <v>2269</v>
      </c>
      <c r="B356" s="1497"/>
    </row>
    <row r="357" spans="1:3" x14ac:dyDescent="0.2">
      <c r="A357" t="s">
        <v>2270</v>
      </c>
      <c r="B357" s="1497"/>
    </row>
    <row r="358" spans="1:3" x14ac:dyDescent="0.2">
      <c r="A358" s="272" t="s">
        <v>2271</v>
      </c>
      <c r="B358" s="1497" t="s">
        <v>2243</v>
      </c>
    </row>
    <row r="359" spans="1:3" x14ac:dyDescent="0.2">
      <c r="A359" t="s">
        <v>2272</v>
      </c>
      <c r="B359" s="1497"/>
    </row>
    <row r="360" spans="1:3" x14ac:dyDescent="0.2">
      <c r="A360" t="s">
        <v>2273</v>
      </c>
      <c r="B360" s="1497"/>
    </row>
    <row r="361" spans="1:3" x14ac:dyDescent="0.2">
      <c r="A361" t="s">
        <v>2274</v>
      </c>
      <c r="B361" s="1497"/>
    </row>
    <row r="362" spans="1:3" x14ac:dyDescent="0.2">
      <c r="A362" t="s">
        <v>2275</v>
      </c>
      <c r="B362" s="1497"/>
    </row>
    <row r="363" spans="1:3" x14ac:dyDescent="0.2">
      <c r="A363" t="s">
        <v>2276</v>
      </c>
      <c r="B363" s="1497"/>
    </row>
    <row r="364" spans="1:3" x14ac:dyDescent="0.2">
      <c r="A364" t="s">
        <v>2277</v>
      </c>
      <c r="B364" s="1497"/>
    </row>
    <row r="365" spans="1:3" x14ac:dyDescent="0.2">
      <c r="A365" t="s">
        <v>2278</v>
      </c>
      <c r="B365" s="1497"/>
    </row>
    <row r="366" spans="1:3" x14ac:dyDescent="0.2">
      <c r="A366" t="s">
        <v>2279</v>
      </c>
      <c r="B366" s="1497"/>
    </row>
    <row r="367" spans="1:3" x14ac:dyDescent="0.2">
      <c r="A367" s="272" t="s">
        <v>2280</v>
      </c>
      <c r="B367" s="1497"/>
    </row>
    <row r="368" spans="1:3" x14ac:dyDescent="0.2">
      <c r="A368" s="272" t="s">
        <v>2281</v>
      </c>
      <c r="B368" s="1497"/>
    </row>
    <row r="369" spans="1:2" x14ac:dyDescent="0.2">
      <c r="A369" s="272" t="s">
        <v>2282</v>
      </c>
      <c r="B369" s="1497"/>
    </row>
    <row r="370" spans="1:2" x14ac:dyDescent="0.2">
      <c r="A370" s="272" t="s">
        <v>2283</v>
      </c>
      <c r="B370" s="1497"/>
    </row>
    <row r="371" spans="1:2" x14ac:dyDescent="0.2">
      <c r="A371" s="272" t="s">
        <v>2284</v>
      </c>
      <c r="B371" s="1497"/>
    </row>
    <row r="372" spans="1:2" x14ac:dyDescent="0.2">
      <c r="A372" t="s">
        <v>2285</v>
      </c>
      <c r="B372" s="1497"/>
    </row>
    <row r="373" spans="1:2" x14ac:dyDescent="0.2">
      <c r="A373" s="272" t="s">
        <v>2286</v>
      </c>
      <c r="B373" s="1497"/>
    </row>
    <row r="374" spans="1:2" x14ac:dyDescent="0.2">
      <c r="A374" t="s">
        <v>2287</v>
      </c>
      <c r="B374" s="1497"/>
    </row>
    <row r="375" spans="1:2" x14ac:dyDescent="0.2">
      <c r="A375" s="272" t="s">
        <v>2288</v>
      </c>
      <c r="B375" s="1497"/>
    </row>
    <row r="376" spans="1:2" x14ac:dyDescent="0.2">
      <c r="A376" s="272" t="s">
        <v>2289</v>
      </c>
      <c r="B376" s="1497"/>
    </row>
    <row r="377" spans="1:2" x14ac:dyDescent="0.2">
      <c r="A377" s="272" t="s">
        <v>2290</v>
      </c>
      <c r="B377" s="1497"/>
    </row>
    <row r="378" spans="1:2" x14ac:dyDescent="0.2">
      <c r="A378" s="272" t="s">
        <v>5716</v>
      </c>
      <c r="B378" s="2347" t="s">
        <v>5708</v>
      </c>
    </row>
    <row r="379" spans="1:2" x14ac:dyDescent="0.2">
      <c r="A379" s="272" t="s">
        <v>5717</v>
      </c>
      <c r="B379" s="2347" t="s">
        <v>5708</v>
      </c>
    </row>
    <row r="380" spans="1:2" x14ac:dyDescent="0.2">
      <c r="A380" s="272" t="s">
        <v>5718</v>
      </c>
      <c r="B380" s="2347" t="s">
        <v>5708</v>
      </c>
    </row>
    <row r="381" spans="1:2" x14ac:dyDescent="0.2">
      <c r="A381" s="272" t="s">
        <v>5719</v>
      </c>
      <c r="B381" s="2347" t="s">
        <v>5708</v>
      </c>
    </row>
    <row r="382" spans="1:2" x14ac:dyDescent="0.2">
      <c r="A382" s="1311" t="s">
        <v>1056</v>
      </c>
      <c r="B382" s="1534"/>
    </row>
    <row r="383" spans="1:2" x14ac:dyDescent="0.2">
      <c r="A383" s="1311" t="s">
        <v>2291</v>
      </c>
      <c r="B383" s="1497"/>
    </row>
    <row r="384" spans="1:2" x14ac:dyDescent="0.2">
      <c r="A384" s="1517"/>
      <c r="B384" s="1497"/>
    </row>
    <row r="385" spans="1:3" ht="25.5" x14ac:dyDescent="0.2">
      <c r="A385" s="1518" t="s">
        <v>2292</v>
      </c>
      <c r="B385" s="1497" t="s">
        <v>2293</v>
      </c>
    </row>
    <row r="386" spans="1:3" x14ac:dyDescent="0.2">
      <c r="A386" s="1521" t="s">
        <v>2294</v>
      </c>
      <c r="B386" s="1524" t="s">
        <v>1969</v>
      </c>
      <c r="C386" s="290">
        <v>1234</v>
      </c>
    </row>
    <row r="387" spans="1:3" x14ac:dyDescent="0.2">
      <c r="A387" s="1457" t="s">
        <v>2295</v>
      </c>
      <c r="B387" s="1497" t="s">
        <v>2296</v>
      </c>
    </row>
    <row r="388" spans="1:3" x14ac:dyDescent="0.2">
      <c r="A388" s="1517" t="s">
        <v>3739</v>
      </c>
      <c r="B388" s="1524" t="s">
        <v>3740</v>
      </c>
      <c r="C388" s="290">
        <v>1236</v>
      </c>
    </row>
    <row r="389" spans="1:3" x14ac:dyDescent="0.2">
      <c r="A389" s="1457" t="s">
        <v>3741</v>
      </c>
      <c r="B389" s="1497" t="s">
        <v>3742</v>
      </c>
    </row>
    <row r="390" spans="1:3" x14ac:dyDescent="0.2">
      <c r="A390" s="1517" t="s">
        <v>3900</v>
      </c>
      <c r="B390" s="1524" t="s">
        <v>3740</v>
      </c>
      <c r="C390" s="357" t="s">
        <v>775</v>
      </c>
    </row>
    <row r="391" spans="1:3" x14ac:dyDescent="0.2">
      <c r="A391" s="1457" t="s">
        <v>3901</v>
      </c>
      <c r="B391" s="1497" t="s">
        <v>3742</v>
      </c>
    </row>
    <row r="392" spans="1:3" x14ac:dyDescent="0.2">
      <c r="A392" s="1517" t="s">
        <v>3923</v>
      </c>
      <c r="B392" s="1524" t="s">
        <v>3924</v>
      </c>
      <c r="C392" s="290">
        <v>1238</v>
      </c>
    </row>
    <row r="393" spans="1:3" x14ac:dyDescent="0.2">
      <c r="A393" s="1457" t="s">
        <v>3925</v>
      </c>
      <c r="B393" s="1497" t="s">
        <v>3926</v>
      </c>
    </row>
    <row r="394" spans="1:3" x14ac:dyDescent="0.2">
      <c r="A394" s="1517" t="s">
        <v>4601</v>
      </c>
      <c r="B394" s="1524" t="s">
        <v>4603</v>
      </c>
      <c r="C394" s="290">
        <v>1242</v>
      </c>
    </row>
    <row r="395" spans="1:3" x14ac:dyDescent="0.2">
      <c r="A395" s="1457" t="s">
        <v>4602</v>
      </c>
      <c r="B395" s="1497" t="s">
        <v>4609</v>
      </c>
    </row>
    <row r="396" spans="1:3" x14ac:dyDescent="0.2">
      <c r="A396" s="1517" t="s">
        <v>3928</v>
      </c>
      <c r="B396" s="1524" t="s">
        <v>3924</v>
      </c>
      <c r="C396" s="290">
        <v>1237</v>
      </c>
    </row>
    <row r="397" spans="1:3" x14ac:dyDescent="0.2">
      <c r="A397" s="1457" t="s">
        <v>3929</v>
      </c>
      <c r="B397" s="1497" t="s">
        <v>3926</v>
      </c>
    </row>
    <row r="398" spans="1:3" x14ac:dyDescent="0.2">
      <c r="A398" s="1517" t="s">
        <v>4422</v>
      </c>
      <c r="B398" s="1524" t="s">
        <v>4425</v>
      </c>
      <c r="C398" s="290">
        <v>1241</v>
      </c>
    </row>
    <row r="399" spans="1:3" x14ac:dyDescent="0.2">
      <c r="A399" s="1457" t="s">
        <v>4423</v>
      </c>
      <c r="B399" s="1497" t="s">
        <v>4424</v>
      </c>
    </row>
    <row r="400" spans="1:3" x14ac:dyDescent="0.2">
      <c r="A400" s="1517" t="s">
        <v>3743</v>
      </c>
      <c r="B400" s="1524" t="s">
        <v>3740</v>
      </c>
      <c r="C400" s="290">
        <v>1239</v>
      </c>
    </row>
    <row r="401" spans="1:3" x14ac:dyDescent="0.2">
      <c r="A401" s="1457" t="s">
        <v>3744</v>
      </c>
      <c r="B401" s="1497" t="s">
        <v>3742</v>
      </c>
    </row>
    <row r="402" spans="1:3" x14ac:dyDescent="0.2">
      <c r="A402" s="1311" t="s">
        <v>2297</v>
      </c>
      <c r="B402" s="1497"/>
    </row>
    <row r="403" spans="1:3" x14ac:dyDescent="0.2">
      <c r="A403" s="1311" t="s">
        <v>2298</v>
      </c>
      <c r="B403" s="1524" t="s">
        <v>2299</v>
      </c>
      <c r="C403" s="357" t="s">
        <v>775</v>
      </c>
    </row>
    <row r="404" spans="1:3" x14ac:dyDescent="0.2">
      <c r="B404" s="1497"/>
    </row>
    <row r="405" spans="1:3" x14ac:dyDescent="0.2">
      <c r="A405" s="1311" t="s">
        <v>2300</v>
      </c>
      <c r="B405" s="1524" t="s">
        <v>1969</v>
      </c>
      <c r="C405" s="357" t="s">
        <v>775</v>
      </c>
    </row>
    <row r="406" spans="1:3" x14ac:dyDescent="0.2">
      <c r="A406" t="s">
        <v>2301</v>
      </c>
      <c r="B406" s="1497" t="s">
        <v>2302</v>
      </c>
    </row>
    <row r="407" spans="1:3" x14ac:dyDescent="0.2">
      <c r="A407" t="s">
        <v>2303</v>
      </c>
      <c r="B407" s="1497" t="s">
        <v>2302</v>
      </c>
    </row>
    <row r="408" spans="1:3" x14ac:dyDescent="0.2">
      <c r="A408" t="s">
        <v>2304</v>
      </c>
      <c r="B408" s="1497" t="s">
        <v>2302</v>
      </c>
    </row>
    <row r="409" spans="1:3" x14ac:dyDescent="0.2">
      <c r="A409" t="s">
        <v>2305</v>
      </c>
      <c r="B409" s="1497" t="s">
        <v>2302</v>
      </c>
    </row>
    <row r="410" spans="1:3" x14ac:dyDescent="0.2">
      <c r="A410" t="s">
        <v>2306</v>
      </c>
      <c r="B410" s="1497" t="s">
        <v>2302</v>
      </c>
    </row>
    <row r="411" spans="1:3" x14ac:dyDescent="0.2">
      <c r="A411" t="s">
        <v>2307</v>
      </c>
      <c r="B411" s="1497" t="s">
        <v>2302</v>
      </c>
    </row>
    <row r="412" spans="1:3" x14ac:dyDescent="0.2">
      <c r="A412" t="s">
        <v>2308</v>
      </c>
      <c r="B412" s="1497" t="s">
        <v>2302</v>
      </c>
    </row>
    <row r="413" spans="1:3" x14ac:dyDescent="0.2">
      <c r="A413" t="s">
        <v>2309</v>
      </c>
      <c r="B413" s="1497" t="s">
        <v>2302</v>
      </c>
    </row>
    <row r="414" spans="1:3" x14ac:dyDescent="0.2">
      <c r="A414" t="s">
        <v>2310</v>
      </c>
      <c r="B414" s="1497" t="s">
        <v>2302</v>
      </c>
    </row>
    <row r="415" spans="1:3" x14ac:dyDescent="0.2">
      <c r="A415" s="1311" t="s">
        <v>2311</v>
      </c>
      <c r="B415" s="1524" t="s">
        <v>2312</v>
      </c>
      <c r="C415" s="357" t="s">
        <v>775</v>
      </c>
    </row>
    <row r="416" spans="1:3" x14ac:dyDescent="0.2">
      <c r="A416" t="s">
        <v>2313</v>
      </c>
      <c r="B416" s="1497"/>
    </row>
    <row r="417" spans="1:2" x14ac:dyDescent="0.2">
      <c r="A417" t="s">
        <v>2314</v>
      </c>
      <c r="B417" s="1497"/>
    </row>
    <row r="418" spans="1:2" x14ac:dyDescent="0.2">
      <c r="A418" t="s">
        <v>2315</v>
      </c>
      <c r="B418" s="1497" t="s">
        <v>2316</v>
      </c>
    </row>
    <row r="419" spans="1:2" x14ac:dyDescent="0.2">
      <c r="A419" t="s">
        <v>2317</v>
      </c>
      <c r="B419" s="1497"/>
    </row>
    <row r="420" spans="1:2" x14ac:dyDescent="0.2">
      <c r="A420" t="s">
        <v>2318</v>
      </c>
      <c r="B420" s="1497"/>
    </row>
    <row r="421" spans="1:2" x14ac:dyDescent="0.2">
      <c r="A421" t="s">
        <v>2319</v>
      </c>
      <c r="B421" s="1497"/>
    </row>
    <row r="422" spans="1:2" x14ac:dyDescent="0.2">
      <c r="A422" t="s">
        <v>2320</v>
      </c>
      <c r="B422" s="1497"/>
    </row>
    <row r="423" spans="1:2" x14ac:dyDescent="0.2">
      <c r="A423" t="s">
        <v>2321</v>
      </c>
      <c r="B423" s="1497"/>
    </row>
    <row r="424" spans="1:2" x14ac:dyDescent="0.2">
      <c r="A424" t="s">
        <v>2322</v>
      </c>
      <c r="B424" s="1497"/>
    </row>
    <row r="425" spans="1:2" x14ac:dyDescent="0.2">
      <c r="A425" t="s">
        <v>2323</v>
      </c>
      <c r="B425" s="1497"/>
    </row>
    <row r="426" spans="1:2" x14ac:dyDescent="0.2">
      <c r="A426" t="s">
        <v>2324</v>
      </c>
      <c r="B426" s="1497"/>
    </row>
    <row r="427" spans="1:2" x14ac:dyDescent="0.2">
      <c r="A427" t="s">
        <v>2325</v>
      </c>
      <c r="B427" s="1497"/>
    </row>
    <row r="428" spans="1:2" x14ac:dyDescent="0.2">
      <c r="A428" t="s">
        <v>2326</v>
      </c>
      <c r="B428" s="1497"/>
    </row>
    <row r="429" spans="1:2" x14ac:dyDescent="0.2">
      <c r="A429" t="s">
        <v>2327</v>
      </c>
      <c r="B429" s="1497"/>
    </row>
    <row r="430" spans="1:2" x14ac:dyDescent="0.2">
      <c r="A430" t="s">
        <v>2328</v>
      </c>
      <c r="B430" s="1497"/>
    </row>
    <row r="431" spans="1:2" x14ac:dyDescent="0.2">
      <c r="A431" t="s">
        <v>2329</v>
      </c>
      <c r="B431" s="1497"/>
    </row>
    <row r="432" spans="1:2" x14ac:dyDescent="0.2">
      <c r="A432" t="s">
        <v>2330</v>
      </c>
      <c r="B432" s="1497"/>
    </row>
    <row r="433" spans="1:2" x14ac:dyDescent="0.2">
      <c r="A433" t="s">
        <v>2331</v>
      </c>
      <c r="B433" s="1497"/>
    </row>
    <row r="434" spans="1:2" x14ac:dyDescent="0.2">
      <c r="A434" t="s">
        <v>2134</v>
      </c>
      <c r="B434" s="1497" t="s">
        <v>3745</v>
      </c>
    </row>
    <row r="435" spans="1:2" x14ac:dyDescent="0.2">
      <c r="A435" t="s">
        <v>2332</v>
      </c>
      <c r="B435" s="1497"/>
    </row>
    <row r="436" spans="1:2" ht="25.5" x14ac:dyDescent="0.2">
      <c r="A436" s="270" t="s">
        <v>2333</v>
      </c>
      <c r="B436" s="1497" t="s">
        <v>2334</v>
      </c>
    </row>
    <row r="437" spans="1:2" x14ac:dyDescent="0.2">
      <c r="A437" s="272" t="s">
        <v>3902</v>
      </c>
      <c r="B437" s="272" t="s">
        <v>3903</v>
      </c>
    </row>
    <row r="438" spans="1:2" x14ac:dyDescent="0.2">
      <c r="A438" t="s">
        <v>2335</v>
      </c>
      <c r="B438" s="1497"/>
    </row>
    <row r="439" spans="1:2" x14ac:dyDescent="0.2">
      <c r="A439" t="s">
        <v>2336</v>
      </c>
      <c r="B439" s="1497"/>
    </row>
    <row r="440" spans="1:2" x14ac:dyDescent="0.2">
      <c r="A440" t="s">
        <v>2337</v>
      </c>
      <c r="B440" s="1497"/>
    </row>
    <row r="441" spans="1:2" x14ac:dyDescent="0.2">
      <c r="A441" t="s">
        <v>2338</v>
      </c>
      <c r="B441" s="1497"/>
    </row>
    <row r="442" spans="1:2" x14ac:dyDescent="0.2">
      <c r="A442" t="s">
        <v>2339</v>
      </c>
      <c r="B442" s="1497"/>
    </row>
    <row r="443" spans="1:2" ht="25.5" x14ac:dyDescent="0.2">
      <c r="A443" s="267" t="s">
        <v>2340</v>
      </c>
      <c r="B443" s="1466" t="s">
        <v>2341</v>
      </c>
    </row>
    <row r="444" spans="1:2" x14ac:dyDescent="0.2">
      <c r="A444" t="s">
        <v>2342</v>
      </c>
      <c r="B444" s="1497"/>
    </row>
    <row r="445" spans="1:2" x14ac:dyDescent="0.2">
      <c r="A445" t="s">
        <v>2343</v>
      </c>
      <c r="B445" s="1497"/>
    </row>
    <row r="446" spans="1:2" x14ac:dyDescent="0.2">
      <c r="A446" t="s">
        <v>2344</v>
      </c>
      <c r="B446" s="1497"/>
    </row>
    <row r="447" spans="1:2" x14ac:dyDescent="0.2">
      <c r="A447" t="s">
        <v>2345</v>
      </c>
      <c r="B447" s="1497"/>
    </row>
    <row r="448" spans="1:2" x14ac:dyDescent="0.2">
      <c r="A448" t="s">
        <v>2346</v>
      </c>
      <c r="B448" s="1497"/>
    </row>
    <row r="449" spans="1:3" x14ac:dyDescent="0.2">
      <c r="A449" t="s">
        <v>2347</v>
      </c>
      <c r="B449" s="1497"/>
    </row>
    <row r="450" spans="1:3" x14ac:dyDescent="0.2">
      <c r="A450" t="s">
        <v>2348</v>
      </c>
      <c r="B450" s="1497"/>
    </row>
    <row r="451" spans="1:3" x14ac:dyDescent="0.2">
      <c r="A451" t="s">
        <v>2349</v>
      </c>
      <c r="B451" s="1497"/>
    </row>
    <row r="452" spans="1:3" x14ac:dyDescent="0.2">
      <c r="A452" t="s">
        <v>2350</v>
      </c>
      <c r="B452" s="1497"/>
    </row>
    <row r="453" spans="1:3" x14ac:dyDescent="0.2">
      <c r="A453" t="s">
        <v>2351</v>
      </c>
      <c r="B453" s="1497"/>
    </row>
    <row r="454" spans="1:3" x14ac:dyDescent="0.2">
      <c r="A454" t="s">
        <v>2352</v>
      </c>
      <c r="B454" s="1497"/>
    </row>
    <row r="455" spans="1:3" x14ac:dyDescent="0.2">
      <c r="A455" t="s">
        <v>2353</v>
      </c>
      <c r="B455" s="1497"/>
    </row>
    <row r="456" spans="1:3" x14ac:dyDescent="0.2">
      <c r="A456" t="s">
        <v>2214</v>
      </c>
      <c r="B456" s="1497" t="s">
        <v>3746</v>
      </c>
    </row>
    <row r="457" spans="1:3" x14ac:dyDescent="0.2">
      <c r="A457" t="s">
        <v>2354</v>
      </c>
      <c r="B457" s="1535" t="s">
        <v>2355</v>
      </c>
    </row>
    <row r="458" spans="1:3" x14ac:dyDescent="0.2">
      <c r="A458" s="1311" t="s">
        <v>2356</v>
      </c>
      <c r="B458" s="1524" t="s">
        <v>2357</v>
      </c>
      <c r="C458" s="357" t="s">
        <v>775</v>
      </c>
    </row>
    <row r="459" spans="1:3" x14ac:dyDescent="0.2">
      <c r="A459" t="s">
        <v>2358</v>
      </c>
      <c r="B459" s="1497"/>
    </row>
    <row r="460" spans="1:3" x14ac:dyDescent="0.2">
      <c r="A460" t="s">
        <v>2359</v>
      </c>
      <c r="B460" s="1497"/>
    </row>
    <row r="461" spans="1:3" x14ac:dyDescent="0.2">
      <c r="A461" t="s">
        <v>2360</v>
      </c>
      <c r="B461" s="1497"/>
    </row>
    <row r="462" spans="1:3" x14ac:dyDescent="0.2">
      <c r="A462" t="s">
        <v>2361</v>
      </c>
      <c r="B462" s="1497"/>
    </row>
    <row r="463" spans="1:3" x14ac:dyDescent="0.2">
      <c r="A463" t="s">
        <v>2362</v>
      </c>
      <c r="B463" s="1497"/>
    </row>
    <row r="464" spans="1:3" x14ac:dyDescent="0.2">
      <c r="A464" t="s">
        <v>2363</v>
      </c>
      <c r="B464" s="1497"/>
    </row>
    <row r="465" spans="1:3" x14ac:dyDescent="0.2">
      <c r="A465" t="s">
        <v>2364</v>
      </c>
      <c r="B465" s="1497"/>
    </row>
    <row r="466" spans="1:3" x14ac:dyDescent="0.2">
      <c r="A466" t="s">
        <v>2365</v>
      </c>
      <c r="B466" s="1497"/>
    </row>
    <row r="467" spans="1:3" x14ac:dyDescent="0.2">
      <c r="A467" s="1311" t="s">
        <v>2366</v>
      </c>
      <c r="B467" s="1497"/>
    </row>
    <row r="468" spans="1:3" x14ac:dyDescent="0.2">
      <c r="A468" s="1311" t="s">
        <v>274</v>
      </c>
      <c r="B468" s="1534"/>
    </row>
    <row r="469" spans="1:3" x14ac:dyDescent="0.2">
      <c r="A469" s="1311" t="s">
        <v>2367</v>
      </c>
      <c r="B469" s="1533"/>
    </row>
    <row r="470" spans="1:3" x14ac:dyDescent="0.2">
      <c r="A470" s="1311" t="s">
        <v>2368</v>
      </c>
      <c r="B470" s="1524" t="s">
        <v>1969</v>
      </c>
      <c r="C470" s="290">
        <v>1640</v>
      </c>
    </row>
    <row r="471" spans="1:3" x14ac:dyDescent="0.2">
      <c r="A471" t="s">
        <v>2369</v>
      </c>
      <c r="B471" s="1513"/>
    </row>
    <row r="472" spans="1:3" x14ac:dyDescent="0.2">
      <c r="A472" t="s">
        <v>2370</v>
      </c>
      <c r="B472" s="1497"/>
    </row>
    <row r="473" spans="1:3" x14ac:dyDescent="0.2">
      <c r="A473" s="272" t="s">
        <v>2371</v>
      </c>
      <c r="B473" s="1497" t="s">
        <v>2054</v>
      </c>
    </row>
    <row r="474" spans="1:3" x14ac:dyDescent="0.2">
      <c r="A474" s="1465" t="s">
        <v>2372</v>
      </c>
      <c r="B474" s="1497" t="s">
        <v>2054</v>
      </c>
    </row>
    <row r="475" spans="1:3" x14ac:dyDescent="0.2">
      <c r="A475" s="1526" t="s">
        <v>3747</v>
      </c>
      <c r="B475" s="1536"/>
    </row>
    <row r="476" spans="1:3" x14ac:dyDescent="0.2">
      <c r="A476" s="1465" t="s">
        <v>2373</v>
      </c>
      <c r="B476" s="1497"/>
    </row>
    <row r="477" spans="1:3" x14ac:dyDescent="0.2">
      <c r="A477" t="s">
        <v>2374</v>
      </c>
      <c r="B477" s="1497"/>
    </row>
    <row r="478" spans="1:3" x14ac:dyDescent="0.2">
      <c r="A478" t="s">
        <v>2376</v>
      </c>
      <c r="B478" s="1497"/>
    </row>
    <row r="479" spans="1:3" x14ac:dyDescent="0.2">
      <c r="A479" t="s">
        <v>2377</v>
      </c>
      <c r="B479" s="1497"/>
    </row>
    <row r="480" spans="1:3" x14ac:dyDescent="0.2">
      <c r="A480" t="s">
        <v>2378</v>
      </c>
      <c r="B480" s="1497"/>
    </row>
    <row r="481" spans="1:3" x14ac:dyDescent="0.2">
      <c r="A481" t="s">
        <v>2379</v>
      </c>
      <c r="B481" s="1497"/>
    </row>
    <row r="482" spans="1:3" x14ac:dyDescent="0.2">
      <c r="A482" t="s">
        <v>2380</v>
      </c>
      <c r="B482" s="1497"/>
    </row>
    <row r="483" spans="1:3" x14ac:dyDescent="0.2">
      <c r="A483" t="s">
        <v>2381</v>
      </c>
      <c r="B483" s="1497" t="s">
        <v>2382</v>
      </c>
    </row>
    <row r="484" spans="1:3" x14ac:dyDescent="0.2">
      <c r="A484" t="s">
        <v>2383</v>
      </c>
      <c r="B484" s="1522" t="s">
        <v>2384</v>
      </c>
    </row>
    <row r="485" spans="1:3" x14ac:dyDescent="0.2">
      <c r="A485" t="s">
        <v>2385</v>
      </c>
      <c r="B485" s="1497"/>
    </row>
    <row r="486" spans="1:3" x14ac:dyDescent="0.2">
      <c r="A486" t="s">
        <v>2386</v>
      </c>
      <c r="B486" s="1497"/>
    </row>
    <row r="487" spans="1:3" x14ac:dyDescent="0.2">
      <c r="A487" s="272" t="s">
        <v>2387</v>
      </c>
      <c r="B487" s="1497" t="s">
        <v>2388</v>
      </c>
    </row>
    <row r="488" spans="1:3" x14ac:dyDescent="0.2">
      <c r="A488" t="s">
        <v>2389</v>
      </c>
      <c r="B488" s="1497" t="s">
        <v>4933</v>
      </c>
    </row>
    <row r="489" spans="1:3" ht="12.75" customHeight="1" x14ac:dyDescent="0.2">
      <c r="A489" s="1311" t="s">
        <v>2390</v>
      </c>
      <c r="B489" s="1524" t="s">
        <v>1969</v>
      </c>
      <c r="C489" s="290">
        <v>1650</v>
      </c>
    </row>
    <row r="490" spans="1:3" x14ac:dyDescent="0.2">
      <c r="A490" t="s">
        <v>2391</v>
      </c>
      <c r="B490" s="1497"/>
    </row>
    <row r="491" spans="1:3" x14ac:dyDescent="0.2">
      <c r="A491" t="s">
        <v>2392</v>
      </c>
      <c r="B491" s="1497"/>
    </row>
    <row r="492" spans="1:3" x14ac:dyDescent="0.2">
      <c r="A492" s="1311" t="s">
        <v>2393</v>
      </c>
      <c r="B492" s="1524" t="s">
        <v>1969</v>
      </c>
      <c r="C492" s="290">
        <v>1660</v>
      </c>
    </row>
    <row r="493" spans="1:3" x14ac:dyDescent="0.2">
      <c r="A493" t="s">
        <v>2394</v>
      </c>
      <c r="B493" s="1497"/>
    </row>
    <row r="494" spans="1:3" x14ac:dyDescent="0.2">
      <c r="A494" t="s">
        <v>2395</v>
      </c>
      <c r="B494" s="1497"/>
    </row>
    <row r="495" spans="1:3" x14ac:dyDescent="0.2">
      <c r="A495" t="s">
        <v>2396</v>
      </c>
      <c r="B495" s="1497"/>
    </row>
    <row r="496" spans="1:3" x14ac:dyDescent="0.2">
      <c r="A496" s="272" t="s">
        <v>2397</v>
      </c>
      <c r="B496" s="1497" t="s">
        <v>2398</v>
      </c>
    </row>
    <row r="497" spans="1:3" x14ac:dyDescent="0.2">
      <c r="A497" t="s">
        <v>2399</v>
      </c>
      <c r="B497" s="1497"/>
    </row>
    <row r="498" spans="1:3" x14ac:dyDescent="0.2">
      <c r="A498" t="s">
        <v>2400</v>
      </c>
      <c r="B498" s="1497"/>
    </row>
    <row r="499" spans="1:3" x14ac:dyDescent="0.2">
      <c r="A499" t="s">
        <v>2401</v>
      </c>
      <c r="B499" s="1497"/>
    </row>
    <row r="500" spans="1:3" x14ac:dyDescent="0.2">
      <c r="A500" t="s">
        <v>2402</v>
      </c>
      <c r="B500" s="1497"/>
    </row>
    <row r="501" spans="1:3" x14ac:dyDescent="0.2">
      <c r="A501" s="1311" t="s">
        <v>2403</v>
      </c>
      <c r="B501" s="1524" t="s">
        <v>1969</v>
      </c>
      <c r="C501" s="357" t="s">
        <v>775</v>
      </c>
    </row>
    <row r="502" spans="1:3" x14ac:dyDescent="0.2">
      <c r="A502" t="s">
        <v>2404</v>
      </c>
      <c r="B502" s="1537"/>
    </row>
    <row r="503" spans="1:3" x14ac:dyDescent="0.2">
      <c r="A503" s="1311" t="s">
        <v>2405</v>
      </c>
      <c r="B503" s="1524" t="s">
        <v>1969</v>
      </c>
      <c r="C503" s="357" t="s">
        <v>775</v>
      </c>
    </row>
    <row r="504" spans="1:3" x14ac:dyDescent="0.2">
      <c r="A504" t="s">
        <v>2406</v>
      </c>
      <c r="B504" s="1497"/>
    </row>
    <row r="505" spans="1:3" x14ac:dyDescent="0.2">
      <c r="A505" s="1311" t="s">
        <v>2407</v>
      </c>
      <c r="B505" s="1524" t="s">
        <v>1969</v>
      </c>
      <c r="C505" s="290">
        <v>1670</v>
      </c>
    </row>
    <row r="506" spans="1:3" x14ac:dyDescent="0.2">
      <c r="A506" t="s">
        <v>2408</v>
      </c>
      <c r="B506" s="1497"/>
    </row>
    <row r="507" spans="1:3" x14ac:dyDescent="0.2">
      <c r="A507" s="1515" t="s">
        <v>2409</v>
      </c>
      <c r="B507" s="1497"/>
    </row>
    <row r="508" spans="1:3" x14ac:dyDescent="0.2">
      <c r="A508" s="1311" t="s">
        <v>2410</v>
      </c>
      <c r="B508" s="1524" t="s">
        <v>1969</v>
      </c>
      <c r="C508" s="357" t="s">
        <v>775</v>
      </c>
    </row>
    <row r="509" spans="1:3" x14ac:dyDescent="0.2">
      <c r="A509" s="1512" t="s">
        <v>2411</v>
      </c>
      <c r="B509" s="1497"/>
    </row>
    <row r="510" spans="1:3" x14ac:dyDescent="0.2">
      <c r="A510" s="1311" t="s">
        <v>2412</v>
      </c>
      <c r="B510" s="1524" t="s">
        <v>1969</v>
      </c>
      <c r="C510" s="357" t="s">
        <v>775</v>
      </c>
    </row>
    <row r="511" spans="1:3" x14ac:dyDescent="0.2">
      <c r="A511" t="s">
        <v>2413</v>
      </c>
      <c r="B511" s="1497"/>
    </row>
    <row r="512" spans="1:3" x14ac:dyDescent="0.2">
      <c r="A512" t="s">
        <v>2414</v>
      </c>
      <c r="B512" s="1497"/>
    </row>
    <row r="513" spans="1:3" x14ac:dyDescent="0.2">
      <c r="A513" t="s">
        <v>2415</v>
      </c>
      <c r="B513" s="1497"/>
    </row>
    <row r="514" spans="1:3" x14ac:dyDescent="0.2">
      <c r="A514" t="s">
        <v>2416</v>
      </c>
      <c r="B514" s="1497"/>
    </row>
    <row r="515" spans="1:3" x14ac:dyDescent="0.2">
      <c r="A515" t="s">
        <v>2417</v>
      </c>
      <c r="B515" s="1497"/>
    </row>
    <row r="516" spans="1:3" x14ac:dyDescent="0.2">
      <c r="A516" t="s">
        <v>2418</v>
      </c>
      <c r="B516" s="1497"/>
    </row>
    <row r="517" spans="1:3" x14ac:dyDescent="0.2">
      <c r="A517" s="1311" t="s">
        <v>2419</v>
      </c>
      <c r="B517" s="1524" t="s">
        <v>1969</v>
      </c>
      <c r="C517" s="357" t="s">
        <v>775</v>
      </c>
    </row>
    <row r="518" spans="1:3" x14ac:dyDescent="0.2">
      <c r="A518" t="s">
        <v>2420</v>
      </c>
      <c r="B518" s="1497"/>
    </row>
    <row r="519" spans="1:3" x14ac:dyDescent="0.2">
      <c r="A519" t="s">
        <v>2421</v>
      </c>
      <c r="B519" s="1497"/>
    </row>
    <row r="520" spans="1:3" x14ac:dyDescent="0.2">
      <c r="A520" t="s">
        <v>2422</v>
      </c>
      <c r="B520" s="1497"/>
    </row>
    <row r="521" spans="1:3" x14ac:dyDescent="0.2">
      <c r="A521" t="s">
        <v>2423</v>
      </c>
      <c r="B521" s="1497"/>
    </row>
    <row r="522" spans="1:3" x14ac:dyDescent="0.2">
      <c r="A522" t="s">
        <v>2424</v>
      </c>
      <c r="B522" s="1497"/>
    </row>
    <row r="523" spans="1:3" x14ac:dyDescent="0.2">
      <c r="A523" t="s">
        <v>2425</v>
      </c>
      <c r="B523" s="1497"/>
    </row>
    <row r="524" spans="1:3" x14ac:dyDescent="0.2">
      <c r="A524" t="s">
        <v>2426</v>
      </c>
      <c r="B524" s="1497"/>
    </row>
    <row r="525" spans="1:3" x14ac:dyDescent="0.2">
      <c r="A525" t="s">
        <v>2427</v>
      </c>
      <c r="B525" s="1497"/>
    </row>
    <row r="526" spans="1:3" x14ac:dyDescent="0.2">
      <c r="A526" t="s">
        <v>2428</v>
      </c>
      <c r="B526" s="1497"/>
    </row>
    <row r="527" spans="1:3" x14ac:dyDescent="0.2">
      <c r="A527" t="s">
        <v>2429</v>
      </c>
      <c r="B527" s="1497"/>
    </row>
    <row r="528" spans="1:3" x14ac:dyDescent="0.2">
      <c r="A528" t="s">
        <v>2430</v>
      </c>
      <c r="B528" s="1497"/>
    </row>
    <row r="529" spans="1:4" x14ac:dyDescent="0.2">
      <c r="A529" t="s">
        <v>2431</v>
      </c>
      <c r="B529" s="1497"/>
    </row>
    <row r="530" spans="1:4" x14ac:dyDescent="0.2">
      <c r="A530" s="1311" t="s">
        <v>2432</v>
      </c>
      <c r="B530" s="1524" t="s">
        <v>1969</v>
      </c>
      <c r="C530" s="290">
        <v>1730</v>
      </c>
    </row>
    <row r="531" spans="1:4" x14ac:dyDescent="0.2">
      <c r="A531" t="s">
        <v>2433</v>
      </c>
      <c r="B531" s="1497" t="s">
        <v>2434</v>
      </c>
    </row>
    <row r="532" spans="1:4" x14ac:dyDescent="0.2">
      <c r="A532" s="1311" t="s">
        <v>1543</v>
      </c>
      <c r="B532" s="1524" t="s">
        <v>1969</v>
      </c>
      <c r="C532" s="290">
        <v>1735</v>
      </c>
    </row>
    <row r="533" spans="1:4" x14ac:dyDescent="0.2">
      <c r="A533" t="s">
        <v>2435</v>
      </c>
      <c r="B533" s="1497" t="s">
        <v>2101</v>
      </c>
    </row>
    <row r="534" spans="1:4" x14ac:dyDescent="0.2">
      <c r="A534" s="1311" t="s">
        <v>699</v>
      </c>
      <c r="B534" s="1524" t="s">
        <v>1969</v>
      </c>
      <c r="C534" s="290">
        <v>1740</v>
      </c>
    </row>
    <row r="535" spans="1:4" x14ac:dyDescent="0.2">
      <c r="A535" t="s">
        <v>2436</v>
      </c>
      <c r="B535" s="1497"/>
    </row>
    <row r="536" spans="1:4" x14ac:dyDescent="0.2">
      <c r="A536" s="1311" t="s">
        <v>2437</v>
      </c>
      <c r="B536" s="1524" t="s">
        <v>1969</v>
      </c>
      <c r="C536" s="290">
        <v>1750</v>
      </c>
    </row>
    <row r="537" spans="1:4" x14ac:dyDescent="0.2">
      <c r="A537" t="s">
        <v>2438</v>
      </c>
      <c r="B537" s="1497"/>
    </row>
    <row r="538" spans="1:4" x14ac:dyDescent="0.2">
      <c r="A538" s="1311" t="s">
        <v>2439</v>
      </c>
      <c r="B538" s="1524" t="s">
        <v>1969</v>
      </c>
      <c r="C538" s="290">
        <v>1760</v>
      </c>
    </row>
    <row r="539" spans="1:4" x14ac:dyDescent="0.2">
      <c r="A539" t="s">
        <v>2440</v>
      </c>
      <c r="B539" s="1497"/>
    </row>
    <row r="540" spans="1:4" x14ac:dyDescent="0.2">
      <c r="A540" s="1517" t="s">
        <v>1347</v>
      </c>
      <c r="B540" s="1524" t="s">
        <v>1969</v>
      </c>
      <c r="C540" s="290">
        <v>1762</v>
      </c>
    </row>
    <row r="541" spans="1:4" x14ac:dyDescent="0.2">
      <c r="A541" s="272" t="s">
        <v>2441</v>
      </c>
      <c r="B541" s="1497" t="s">
        <v>2388</v>
      </c>
    </row>
    <row r="542" spans="1:4" x14ac:dyDescent="0.2">
      <c r="A542" s="1311" t="s">
        <v>4723</v>
      </c>
      <c r="B542" s="1527" t="s">
        <v>1969</v>
      </c>
      <c r="C542" s="290">
        <v>1770</v>
      </c>
    </row>
    <row r="543" spans="1:4" ht="22.5" x14ac:dyDescent="0.2">
      <c r="A543" s="267" t="s">
        <v>4717</v>
      </c>
      <c r="B543" s="1519" t="s">
        <v>4930</v>
      </c>
      <c r="D543" s="272" t="s">
        <v>4718</v>
      </c>
    </row>
    <row r="544" spans="1:4" x14ac:dyDescent="0.2">
      <c r="A544" s="1311" t="s">
        <v>5720</v>
      </c>
      <c r="B544" s="1527" t="s">
        <v>1969</v>
      </c>
      <c r="C544" s="290">
        <v>1780</v>
      </c>
    </row>
    <row r="545" spans="1:4" ht="22.5" x14ac:dyDescent="0.2">
      <c r="A545" s="272" t="s">
        <v>5723</v>
      </c>
      <c r="B545" s="1519" t="s">
        <v>4930</v>
      </c>
      <c r="D545" s="1610" t="s">
        <v>5721</v>
      </c>
    </row>
    <row r="546" spans="1:4" x14ac:dyDescent="0.2">
      <c r="A546" s="1311" t="s">
        <v>2442</v>
      </c>
      <c r="B546" s="1524" t="s">
        <v>1969</v>
      </c>
      <c r="C546" s="357" t="s">
        <v>775</v>
      </c>
    </row>
    <row r="547" spans="1:4" x14ac:dyDescent="0.2">
      <c r="A547" s="1512" t="s">
        <v>2443</v>
      </c>
      <c r="B547" s="1497"/>
    </row>
    <row r="548" spans="1:4" x14ac:dyDescent="0.2">
      <c r="A548" s="1514" t="s">
        <v>2444</v>
      </c>
      <c r="B548" s="1524" t="s">
        <v>1969</v>
      </c>
      <c r="C548" s="290">
        <v>1865</v>
      </c>
    </row>
    <row r="549" spans="1:4" ht="22.5" x14ac:dyDescent="0.2">
      <c r="A549" s="1512" t="s">
        <v>2445</v>
      </c>
      <c r="B549" s="1519" t="s">
        <v>4930</v>
      </c>
    </row>
    <row r="550" spans="1:4" x14ac:dyDescent="0.2">
      <c r="A550" s="1311" t="s">
        <v>2446</v>
      </c>
      <c r="B550" s="1524" t="s">
        <v>1969</v>
      </c>
      <c r="C550" s="290">
        <v>1788</v>
      </c>
    </row>
    <row r="551" spans="1:4" x14ac:dyDescent="0.2">
      <c r="A551" t="s">
        <v>2447</v>
      </c>
      <c r="B551" s="1497" t="s">
        <v>2181</v>
      </c>
    </row>
    <row r="552" spans="1:4" x14ac:dyDescent="0.2">
      <c r="A552" s="1311" t="s">
        <v>1541</v>
      </c>
      <c r="B552" s="1524" t="s">
        <v>1969</v>
      </c>
      <c r="C552" s="290">
        <v>1785</v>
      </c>
    </row>
    <row r="553" spans="1:4" s="267" customFormat="1" ht="15" customHeight="1" x14ac:dyDescent="0.2">
      <c r="A553" t="s">
        <v>2448</v>
      </c>
      <c r="B553" s="1497" t="s">
        <v>2181</v>
      </c>
      <c r="C553" s="1690"/>
    </row>
    <row r="554" spans="1:4" x14ac:dyDescent="0.2">
      <c r="A554" s="1311" t="s">
        <v>1542</v>
      </c>
      <c r="B554" s="1524" t="s">
        <v>1969</v>
      </c>
      <c r="C554" s="290">
        <v>1787</v>
      </c>
    </row>
    <row r="555" spans="1:4" x14ac:dyDescent="0.2">
      <c r="A555" t="s">
        <v>2449</v>
      </c>
      <c r="B555" s="1497" t="s">
        <v>2181</v>
      </c>
    </row>
    <row r="556" spans="1:4" ht="25.5" x14ac:dyDescent="0.2">
      <c r="A556" s="1518" t="s">
        <v>2450</v>
      </c>
      <c r="B556" s="1520" t="s">
        <v>4931</v>
      </c>
      <c r="C556" s="290">
        <v>1800</v>
      </c>
    </row>
    <row r="557" spans="1:4" x14ac:dyDescent="0.2">
      <c r="A557" s="1529" t="s">
        <v>2451</v>
      </c>
      <c r="B557" s="1497"/>
    </row>
    <row r="558" spans="1:4" ht="25.5" x14ac:dyDescent="0.2">
      <c r="A558" s="1530" t="s">
        <v>3748</v>
      </c>
      <c r="B558" s="1466" t="s">
        <v>2546</v>
      </c>
    </row>
    <row r="559" spans="1:4" x14ac:dyDescent="0.2">
      <c r="A559" s="2031" t="s">
        <v>4720</v>
      </c>
      <c r="B559" s="1466" t="s">
        <v>4721</v>
      </c>
    </row>
    <row r="560" spans="1:4" x14ac:dyDescent="0.2">
      <c r="A560" s="1531" t="s">
        <v>2452</v>
      </c>
      <c r="B560" s="1497" t="s">
        <v>2453</v>
      </c>
    </row>
    <row r="561" spans="1:3" x14ac:dyDescent="0.2">
      <c r="A561" s="1531" t="s">
        <v>3970</v>
      </c>
      <c r="B561" s="1497" t="s">
        <v>3931</v>
      </c>
    </row>
    <row r="562" spans="1:3" x14ac:dyDescent="0.2">
      <c r="A562" s="1311" t="s">
        <v>278</v>
      </c>
      <c r="B562" s="1497"/>
      <c r="C562" s="290">
        <v>1840</v>
      </c>
    </row>
    <row r="563" spans="1:3" x14ac:dyDescent="0.2">
      <c r="A563" s="1311" t="s">
        <v>2454</v>
      </c>
      <c r="B563" s="1524" t="s">
        <v>1969</v>
      </c>
    </row>
    <row r="564" spans="1:3" x14ac:dyDescent="0.2">
      <c r="A564" t="s">
        <v>2455</v>
      </c>
      <c r="B564" s="1497"/>
    </row>
    <row r="565" spans="1:3" x14ac:dyDescent="0.2">
      <c r="A565" s="1311" t="s">
        <v>2456</v>
      </c>
      <c r="B565" s="1524" t="s">
        <v>1969</v>
      </c>
      <c r="C565" s="357" t="s">
        <v>775</v>
      </c>
    </row>
    <row r="566" spans="1:3" x14ac:dyDescent="0.2">
      <c r="A566" t="s">
        <v>2457</v>
      </c>
      <c r="B566" s="1497"/>
    </row>
    <row r="567" spans="1:3" x14ac:dyDescent="0.2">
      <c r="A567" s="1311" t="s">
        <v>739</v>
      </c>
      <c r="B567" s="1524" t="s">
        <v>1969</v>
      </c>
      <c r="C567" s="290">
        <v>1870</v>
      </c>
    </row>
    <row r="568" spans="1:3" x14ac:dyDescent="0.2">
      <c r="A568" s="1516" t="s">
        <v>2458</v>
      </c>
      <c r="B568" s="1497"/>
    </row>
    <row r="569" spans="1:3" x14ac:dyDescent="0.2">
      <c r="A569" t="s">
        <v>2459</v>
      </c>
      <c r="B569" s="1497"/>
    </row>
    <row r="570" spans="1:3" x14ac:dyDescent="0.2">
      <c r="A570" t="s">
        <v>2460</v>
      </c>
      <c r="B570" s="1497"/>
    </row>
    <row r="571" spans="1:3" x14ac:dyDescent="0.2">
      <c r="A571" t="s">
        <v>2461</v>
      </c>
      <c r="B571" s="1497"/>
    </row>
    <row r="572" spans="1:3" x14ac:dyDescent="0.2">
      <c r="A572" t="s">
        <v>2462</v>
      </c>
      <c r="B572" s="1497"/>
    </row>
    <row r="573" spans="1:3" x14ac:dyDescent="0.2">
      <c r="A573" s="1515" t="s">
        <v>2463</v>
      </c>
      <c r="B573" s="1497"/>
    </row>
    <row r="574" spans="1:3" x14ac:dyDescent="0.2">
      <c r="A574" s="1311" t="s">
        <v>701</v>
      </c>
      <c r="B574" s="1524" t="s">
        <v>1969</v>
      </c>
      <c r="C574" s="290">
        <v>1880</v>
      </c>
    </row>
    <row r="575" spans="1:3" x14ac:dyDescent="0.2">
      <c r="A575" s="1512" t="s">
        <v>2464</v>
      </c>
      <c r="B575" s="1497"/>
    </row>
    <row r="576" spans="1:3" x14ac:dyDescent="0.2">
      <c r="A576" s="1311" t="s">
        <v>2465</v>
      </c>
      <c r="B576" s="1524" t="s">
        <v>2466</v>
      </c>
      <c r="C576" s="290">
        <v>1850</v>
      </c>
    </row>
    <row r="577" spans="1:3" ht="22.5" x14ac:dyDescent="0.2">
      <c r="A577" s="267" t="s">
        <v>2467</v>
      </c>
      <c r="B577" s="1519" t="s">
        <v>4930</v>
      </c>
    </row>
    <row r="578" spans="1:3" x14ac:dyDescent="0.2">
      <c r="A578" s="1311" t="s">
        <v>3804</v>
      </c>
      <c r="B578" s="1524" t="s">
        <v>3842</v>
      </c>
      <c r="C578" s="290">
        <v>1851</v>
      </c>
    </row>
    <row r="579" spans="1:3" ht="33.75" x14ac:dyDescent="0.2">
      <c r="A579" s="267" t="s">
        <v>2375</v>
      </c>
      <c r="B579" s="1519" t="s">
        <v>4932</v>
      </c>
    </row>
    <row r="580" spans="1:3" x14ac:dyDescent="0.2">
      <c r="A580" s="1311" t="s">
        <v>2468</v>
      </c>
      <c r="B580" s="1524" t="s">
        <v>1969</v>
      </c>
      <c r="C580" s="290">
        <v>1786</v>
      </c>
    </row>
    <row r="581" spans="1:3" ht="22.5" x14ac:dyDescent="0.2">
      <c r="A581" s="267" t="s">
        <v>2469</v>
      </c>
      <c r="B581" s="1519" t="s">
        <v>4930</v>
      </c>
    </row>
    <row r="582" spans="1:3" x14ac:dyDescent="0.2">
      <c r="A582" s="1517" t="s">
        <v>2470</v>
      </c>
      <c r="B582" s="1524" t="s">
        <v>1969</v>
      </c>
      <c r="C582" s="357" t="s">
        <v>775</v>
      </c>
    </row>
    <row r="583" spans="1:3" x14ac:dyDescent="0.2">
      <c r="A583" s="1459" t="s">
        <v>3803</v>
      </c>
      <c r="B583" s="1497" t="s">
        <v>2471</v>
      </c>
    </row>
    <row r="584" spans="1:3" x14ac:dyDescent="0.2">
      <c r="A584" t="s">
        <v>2472</v>
      </c>
      <c r="B584" s="1497"/>
    </row>
    <row r="585" spans="1:3" x14ac:dyDescent="0.2">
      <c r="A585" s="1311" t="s">
        <v>2473</v>
      </c>
      <c r="B585" s="1524" t="s">
        <v>1969</v>
      </c>
      <c r="C585" s="290">
        <v>1855</v>
      </c>
    </row>
    <row r="586" spans="1:3" ht="22.5" x14ac:dyDescent="0.2">
      <c r="A586" s="270" t="s">
        <v>2474</v>
      </c>
      <c r="B586" s="1519" t="s">
        <v>4930</v>
      </c>
    </row>
    <row r="587" spans="1:3" x14ac:dyDescent="0.2">
      <c r="B587" s="1497" t="s">
        <v>2475</v>
      </c>
    </row>
    <row r="588" spans="1:3" x14ac:dyDescent="0.2">
      <c r="A588" s="1311" t="s">
        <v>4604</v>
      </c>
      <c r="B588" s="1524" t="s">
        <v>1969</v>
      </c>
      <c r="C588" s="290">
        <v>1857</v>
      </c>
    </row>
    <row r="589" spans="1:3" ht="22.5" x14ac:dyDescent="0.2">
      <c r="A589" s="270" t="s">
        <v>4605</v>
      </c>
      <c r="B589" s="1519" t="s">
        <v>4930</v>
      </c>
    </row>
    <row r="590" spans="1:3" x14ac:dyDescent="0.2">
      <c r="A590" s="270"/>
      <c r="B590" s="1519" t="s">
        <v>4606</v>
      </c>
    </row>
    <row r="591" spans="1:3" x14ac:dyDescent="0.2">
      <c r="A591" s="1311" t="s">
        <v>2476</v>
      </c>
      <c r="B591" s="1524" t="s">
        <v>1969</v>
      </c>
      <c r="C591" s="290">
        <v>1860</v>
      </c>
    </row>
    <row r="592" spans="1:3" ht="22.5" x14ac:dyDescent="0.2">
      <c r="A592" s="270" t="s">
        <v>2477</v>
      </c>
      <c r="B592" s="1519" t="s">
        <v>4930</v>
      </c>
    </row>
    <row r="593" spans="1:3" ht="25.5" x14ac:dyDescent="0.2">
      <c r="A593" s="1311" t="s">
        <v>569</v>
      </c>
      <c r="B593" s="1524" t="s">
        <v>2478</v>
      </c>
      <c r="C593" s="290">
        <v>1890</v>
      </c>
    </row>
    <row r="594" spans="1:3" x14ac:dyDescent="0.2">
      <c r="A594" s="272" t="s">
        <v>3749</v>
      </c>
      <c r="B594" s="1497"/>
    </row>
    <row r="595" spans="1:3" x14ac:dyDescent="0.2">
      <c r="A595" t="s">
        <v>2479</v>
      </c>
      <c r="B595" s="1497"/>
    </row>
    <row r="596" spans="1:3" x14ac:dyDescent="0.2">
      <c r="A596" s="1517" t="s">
        <v>4426</v>
      </c>
      <c r="B596" s="1524" t="s">
        <v>1969</v>
      </c>
      <c r="C596" s="290">
        <v>1869</v>
      </c>
    </row>
    <row r="597" spans="1:3" x14ac:dyDescent="0.2">
      <c r="A597" s="272" t="s">
        <v>4427</v>
      </c>
      <c r="B597" s="1497" t="s">
        <v>4418</v>
      </c>
    </row>
    <row r="598" spans="1:3" x14ac:dyDescent="0.2">
      <c r="A598" s="2" t="s">
        <v>787</v>
      </c>
      <c r="B598" s="1497"/>
    </row>
    <row r="599" spans="1:3" x14ac:dyDescent="0.2">
      <c r="A599" s="1311" t="s">
        <v>788</v>
      </c>
      <c r="B599" s="1497"/>
    </row>
    <row r="600" spans="1:3" x14ac:dyDescent="0.2">
      <c r="A600" s="1311" t="s">
        <v>2367</v>
      </c>
      <c r="B600" s="1497"/>
    </row>
    <row r="601" spans="1:3" x14ac:dyDescent="0.2">
      <c r="A601" s="1311" t="s">
        <v>2368</v>
      </c>
      <c r="B601" s="1524" t="s">
        <v>1969</v>
      </c>
      <c r="C601" s="290">
        <v>1940</v>
      </c>
    </row>
    <row r="602" spans="1:3" x14ac:dyDescent="0.2">
      <c r="A602" t="s">
        <v>2481</v>
      </c>
      <c r="B602" s="1497"/>
    </row>
    <row r="603" spans="1:3" x14ac:dyDescent="0.2">
      <c r="A603" t="s">
        <v>2482</v>
      </c>
      <c r="B603" s="1497"/>
    </row>
    <row r="604" spans="1:3" x14ac:dyDescent="0.2">
      <c r="A604" t="s">
        <v>2483</v>
      </c>
      <c r="B604" s="1497"/>
    </row>
    <row r="605" spans="1:3" x14ac:dyDescent="0.2">
      <c r="A605" t="s">
        <v>2484</v>
      </c>
      <c r="B605" s="1497" t="s">
        <v>4933</v>
      </c>
    </row>
    <row r="606" spans="1:3" x14ac:dyDescent="0.2">
      <c r="A606" t="s">
        <v>2485</v>
      </c>
      <c r="B606" s="1497" t="s">
        <v>2388</v>
      </c>
    </row>
    <row r="607" spans="1:3" x14ac:dyDescent="0.2">
      <c r="A607" s="1311" t="s">
        <v>3750</v>
      </c>
      <c r="B607" s="1524" t="s">
        <v>3843</v>
      </c>
      <c r="C607" s="290">
        <v>1940</v>
      </c>
    </row>
    <row r="608" spans="1:3" x14ac:dyDescent="0.2">
      <c r="A608" s="272" t="s">
        <v>3751</v>
      </c>
      <c r="B608" s="1497" t="s">
        <v>3752</v>
      </c>
    </row>
    <row r="609" spans="1:3" x14ac:dyDescent="0.2">
      <c r="A609" s="1311" t="s">
        <v>2403</v>
      </c>
      <c r="B609" s="1524" t="s">
        <v>1969</v>
      </c>
    </row>
    <row r="610" spans="1:3" x14ac:dyDescent="0.2">
      <c r="A610" t="s">
        <v>2486</v>
      </c>
      <c r="B610" s="1537"/>
    </row>
    <row r="611" spans="1:3" x14ac:dyDescent="0.2">
      <c r="A611" s="1311" t="s">
        <v>2487</v>
      </c>
      <c r="B611" s="1524" t="s">
        <v>2488</v>
      </c>
      <c r="C611" s="290">
        <v>1950</v>
      </c>
    </row>
    <row r="612" spans="1:3" x14ac:dyDescent="0.2">
      <c r="A612" s="272" t="s">
        <v>2489</v>
      </c>
      <c r="B612" s="1497"/>
    </row>
    <row r="613" spans="1:3" x14ac:dyDescent="0.2">
      <c r="A613" s="1311" t="s">
        <v>2490</v>
      </c>
      <c r="B613" s="1524" t="s">
        <v>1969</v>
      </c>
      <c r="C613" s="290">
        <v>1960</v>
      </c>
    </row>
    <row r="614" spans="1:3" x14ac:dyDescent="0.2">
      <c r="B614" s="272"/>
    </row>
    <row r="615" spans="1:3" x14ac:dyDescent="0.2">
      <c r="A615" t="s">
        <v>2492</v>
      </c>
      <c r="B615" s="1497"/>
    </row>
    <row r="616" spans="1:3" x14ac:dyDescent="0.2">
      <c r="A616" s="1311" t="s">
        <v>2410</v>
      </c>
      <c r="B616" s="1524" t="s">
        <v>1969</v>
      </c>
      <c r="C616" s="357" t="s">
        <v>775</v>
      </c>
    </row>
    <row r="617" spans="1:3" x14ac:dyDescent="0.2">
      <c r="A617" t="s">
        <v>2493</v>
      </c>
      <c r="B617" s="1497"/>
    </row>
    <row r="618" spans="1:3" x14ac:dyDescent="0.2">
      <c r="A618" s="1311" t="s">
        <v>2432</v>
      </c>
      <c r="B618" s="1524" t="s">
        <v>2494</v>
      </c>
      <c r="C618" s="357" t="s">
        <v>775</v>
      </c>
    </row>
    <row r="619" spans="1:3" x14ac:dyDescent="0.2">
      <c r="A619" t="s">
        <v>2495</v>
      </c>
      <c r="B619" s="1497"/>
    </row>
    <row r="620" spans="1:3" x14ac:dyDescent="0.2">
      <c r="A620" s="1311" t="s">
        <v>699</v>
      </c>
      <c r="B620" s="1524" t="s">
        <v>1969</v>
      </c>
      <c r="C620" s="357">
        <v>1740</v>
      </c>
    </row>
    <row r="621" spans="1:3" x14ac:dyDescent="0.2">
      <c r="A621" t="s">
        <v>2496</v>
      </c>
      <c r="B621" s="1497"/>
    </row>
    <row r="622" spans="1:3" x14ac:dyDescent="0.2">
      <c r="A622" s="1311" t="s">
        <v>2497</v>
      </c>
      <c r="B622" s="1524" t="s">
        <v>1969</v>
      </c>
      <c r="C622" s="290">
        <v>2020</v>
      </c>
    </row>
    <row r="623" spans="1:3" x14ac:dyDescent="0.2">
      <c r="A623" t="s">
        <v>2498</v>
      </c>
      <c r="B623" s="1497"/>
    </row>
    <row r="624" spans="1:3" x14ac:dyDescent="0.2">
      <c r="A624" s="1311" t="s">
        <v>2499</v>
      </c>
      <c r="B624" s="1524" t="s">
        <v>1969</v>
      </c>
      <c r="C624" s="357" t="s">
        <v>775</v>
      </c>
    </row>
    <row r="625" spans="1:4" x14ac:dyDescent="0.2">
      <c r="A625" t="s">
        <v>2500</v>
      </c>
      <c r="B625" s="1497"/>
    </row>
    <row r="626" spans="1:4" x14ac:dyDescent="0.2">
      <c r="A626" t="s">
        <v>2501</v>
      </c>
      <c r="B626" s="1497"/>
    </row>
    <row r="627" spans="1:4" x14ac:dyDescent="0.2">
      <c r="A627" t="s">
        <v>2502</v>
      </c>
      <c r="B627" s="1497"/>
    </row>
    <row r="628" spans="1:4" x14ac:dyDescent="0.2">
      <c r="A628" t="s">
        <v>2503</v>
      </c>
      <c r="B628" s="1497"/>
    </row>
    <row r="629" spans="1:4" x14ac:dyDescent="0.2">
      <c r="A629" t="s">
        <v>2504</v>
      </c>
      <c r="B629" s="1497"/>
    </row>
    <row r="630" spans="1:4" x14ac:dyDescent="0.2">
      <c r="A630" t="s">
        <v>2505</v>
      </c>
      <c r="B630" s="1497"/>
    </row>
    <row r="631" spans="1:4" x14ac:dyDescent="0.2">
      <c r="A631" t="s">
        <v>2506</v>
      </c>
      <c r="B631" s="1497"/>
    </row>
    <row r="632" spans="1:4" x14ac:dyDescent="0.2">
      <c r="A632" s="1311" t="s">
        <v>2507</v>
      </c>
      <c r="B632" s="1524" t="s">
        <v>1969</v>
      </c>
      <c r="C632" s="357" t="s">
        <v>775</v>
      </c>
    </row>
    <row r="633" spans="1:4" x14ac:dyDescent="0.2">
      <c r="A633" t="s">
        <v>2508</v>
      </c>
      <c r="B633" s="1497"/>
    </row>
    <row r="634" spans="1:4" x14ac:dyDescent="0.2">
      <c r="A634" s="1311" t="s">
        <v>2509</v>
      </c>
      <c r="B634" s="1524" t="s">
        <v>2494</v>
      </c>
      <c r="C634" s="357" t="s">
        <v>775</v>
      </c>
    </row>
    <row r="635" spans="1:4" x14ac:dyDescent="0.2">
      <c r="A635" t="s">
        <v>2510</v>
      </c>
      <c r="B635" s="1497"/>
    </row>
    <row r="636" spans="1:4" x14ac:dyDescent="0.2">
      <c r="A636" s="1311" t="s">
        <v>1347</v>
      </c>
      <c r="B636" s="1524" t="s">
        <v>1969</v>
      </c>
      <c r="C636" s="290">
        <v>2024</v>
      </c>
    </row>
    <row r="637" spans="1:4" x14ac:dyDescent="0.2">
      <c r="A637" t="s">
        <v>2511</v>
      </c>
      <c r="B637" s="1497" t="s">
        <v>2388</v>
      </c>
    </row>
    <row r="638" spans="1:4" x14ac:dyDescent="0.2">
      <c r="A638" s="1311" t="s">
        <v>4723</v>
      </c>
      <c r="B638" s="1527" t="s">
        <v>1969</v>
      </c>
      <c r="C638" s="290">
        <v>2030</v>
      </c>
    </row>
    <row r="639" spans="1:4" ht="22.5" x14ac:dyDescent="0.2">
      <c r="A639" s="272" t="s">
        <v>4719</v>
      </c>
      <c r="B639" s="1519" t="s">
        <v>4934</v>
      </c>
      <c r="D639" s="272" t="s">
        <v>4718</v>
      </c>
    </row>
    <row r="640" spans="1:4" x14ac:dyDescent="0.2">
      <c r="A640" s="1311" t="s">
        <v>5720</v>
      </c>
      <c r="B640" s="1524" t="s">
        <v>1969</v>
      </c>
      <c r="C640" s="290">
        <v>2040</v>
      </c>
    </row>
    <row r="641" spans="1:4" ht="22.5" x14ac:dyDescent="0.2">
      <c r="A641" s="272" t="s">
        <v>5724</v>
      </c>
      <c r="B641" s="1519" t="s">
        <v>4934</v>
      </c>
      <c r="D641" s="1610" t="s">
        <v>5722</v>
      </c>
    </row>
    <row r="642" spans="1:4" x14ac:dyDescent="0.2">
      <c r="A642" s="1311" t="s">
        <v>2442</v>
      </c>
      <c r="B642" s="1524" t="s">
        <v>1969</v>
      </c>
      <c r="C642" s="357" t="s">
        <v>775</v>
      </c>
    </row>
    <row r="643" spans="1:4" x14ac:dyDescent="0.2">
      <c r="A643" t="s">
        <v>2512</v>
      </c>
      <c r="B643" s="1497"/>
    </row>
    <row r="644" spans="1:4" x14ac:dyDescent="0.2">
      <c r="A644" s="1311" t="s">
        <v>2444</v>
      </c>
      <c r="B644" s="1524" t="s">
        <v>1969</v>
      </c>
      <c r="C644" s="290">
        <v>2095</v>
      </c>
    </row>
    <row r="645" spans="1:4" ht="22.5" x14ac:dyDescent="0.2">
      <c r="A645" t="s">
        <v>2513</v>
      </c>
      <c r="B645" s="1519" t="s">
        <v>4934</v>
      </c>
    </row>
    <row r="646" spans="1:4" x14ac:dyDescent="0.2">
      <c r="A646" s="1311" t="s">
        <v>2450</v>
      </c>
      <c r="B646" s="1523" t="s">
        <v>1969</v>
      </c>
      <c r="C646" s="290">
        <v>2050</v>
      </c>
    </row>
    <row r="647" spans="1:4" ht="22.5" x14ac:dyDescent="0.2">
      <c r="A647" t="s">
        <v>2514</v>
      </c>
      <c r="B647" s="1519" t="s">
        <v>4934</v>
      </c>
    </row>
    <row r="648" spans="1:4" x14ac:dyDescent="0.2">
      <c r="A648" t="s">
        <v>2515</v>
      </c>
      <c r="B648" s="1497" t="s">
        <v>2181</v>
      </c>
    </row>
    <row r="649" spans="1:4" x14ac:dyDescent="0.2">
      <c r="A649" t="s">
        <v>2516</v>
      </c>
      <c r="B649" s="1497" t="s">
        <v>2453</v>
      </c>
    </row>
    <row r="650" spans="1:4" x14ac:dyDescent="0.2">
      <c r="A650" t="s">
        <v>3429</v>
      </c>
      <c r="B650" s="1497" t="s">
        <v>3430</v>
      </c>
    </row>
    <row r="651" spans="1:4" x14ac:dyDescent="0.2">
      <c r="A651" s="272" t="s">
        <v>4722</v>
      </c>
      <c r="B651" s="1497" t="s">
        <v>4721</v>
      </c>
    </row>
    <row r="652" spans="1:4" x14ac:dyDescent="0.2">
      <c r="A652" t="s">
        <v>2517</v>
      </c>
      <c r="B652" s="1497" t="s">
        <v>2181</v>
      </c>
    </row>
    <row r="653" spans="1:4" x14ac:dyDescent="0.2">
      <c r="A653" t="s">
        <v>2518</v>
      </c>
      <c r="B653" s="1497" t="s">
        <v>2041</v>
      </c>
    </row>
    <row r="654" spans="1:4" x14ac:dyDescent="0.2">
      <c r="A654" t="s">
        <v>2519</v>
      </c>
      <c r="B654" s="1497"/>
    </row>
    <row r="655" spans="1:4" x14ac:dyDescent="0.2">
      <c r="A655" t="s">
        <v>2520</v>
      </c>
      <c r="B655" s="1497" t="s">
        <v>2521</v>
      </c>
    </row>
    <row r="656" spans="1:4" x14ac:dyDescent="0.2">
      <c r="A656" t="s">
        <v>2523</v>
      </c>
      <c r="B656" s="1497"/>
    </row>
    <row r="657" spans="1:3" x14ac:dyDescent="0.2">
      <c r="A657" s="1311" t="s">
        <v>3904</v>
      </c>
      <c r="B657" s="1524" t="s">
        <v>1969</v>
      </c>
      <c r="C657" s="357" t="s">
        <v>775</v>
      </c>
    </row>
    <row r="658" spans="1:3" x14ac:dyDescent="0.2">
      <c r="A658" s="272" t="s">
        <v>3905</v>
      </c>
      <c r="B658" s="1497" t="s">
        <v>3906</v>
      </c>
    </row>
    <row r="659" spans="1:3" x14ac:dyDescent="0.2">
      <c r="A659" s="1311" t="s">
        <v>739</v>
      </c>
      <c r="B659" s="1524" t="s">
        <v>1969</v>
      </c>
      <c r="C659" s="290">
        <v>2070</v>
      </c>
    </row>
    <row r="660" spans="1:3" x14ac:dyDescent="0.2">
      <c r="A660" t="s">
        <v>2524</v>
      </c>
      <c r="B660" s="1497"/>
    </row>
    <row r="661" spans="1:3" x14ac:dyDescent="0.2">
      <c r="A661" t="s">
        <v>2525</v>
      </c>
      <c r="B661" s="1497"/>
    </row>
    <row r="662" spans="1:3" x14ac:dyDescent="0.2">
      <c r="A662" t="s">
        <v>2526</v>
      </c>
      <c r="B662" s="1497"/>
    </row>
    <row r="663" spans="1:3" ht="25.5" customHeight="1" x14ac:dyDescent="0.2">
      <c r="A663" t="s">
        <v>2527</v>
      </c>
      <c r="B663" s="1497"/>
    </row>
    <row r="664" spans="1:3" x14ac:dyDescent="0.2">
      <c r="A664" t="s">
        <v>2528</v>
      </c>
      <c r="B664" s="1497"/>
    </row>
    <row r="665" spans="1:3" ht="25.5" customHeight="1" x14ac:dyDescent="0.2">
      <c r="A665" t="s">
        <v>2529</v>
      </c>
      <c r="B665" s="1497"/>
    </row>
    <row r="666" spans="1:3" x14ac:dyDescent="0.2">
      <c r="A666" s="1311" t="s">
        <v>701</v>
      </c>
      <c r="B666" s="1524" t="s">
        <v>1969</v>
      </c>
      <c r="C666" s="290">
        <v>2080</v>
      </c>
    </row>
    <row r="667" spans="1:3" x14ac:dyDescent="0.2">
      <c r="A667" t="s">
        <v>2530</v>
      </c>
      <c r="B667" s="1497"/>
    </row>
    <row r="668" spans="1:3" x14ac:dyDescent="0.2">
      <c r="A668" t="s">
        <v>2531</v>
      </c>
      <c r="B668" s="1497"/>
    </row>
    <row r="669" spans="1:3" x14ac:dyDescent="0.2">
      <c r="A669" s="1311" t="s">
        <v>2465</v>
      </c>
      <c r="B669" s="1524" t="s">
        <v>2532</v>
      </c>
      <c r="C669" s="290">
        <v>2060</v>
      </c>
    </row>
    <row r="670" spans="1:3" ht="22.5" x14ac:dyDescent="0.2">
      <c r="A670" s="267" t="s">
        <v>2533</v>
      </c>
      <c r="B670" s="1519" t="s">
        <v>4935</v>
      </c>
    </row>
    <row r="671" spans="1:3" x14ac:dyDescent="0.2">
      <c r="A671" s="1311" t="s">
        <v>3802</v>
      </c>
      <c r="B671" s="1524" t="s">
        <v>3842</v>
      </c>
      <c r="C671" s="290">
        <v>2061</v>
      </c>
    </row>
    <row r="672" spans="1:3" ht="33.75" x14ac:dyDescent="0.2">
      <c r="A672" s="267" t="s">
        <v>2491</v>
      </c>
      <c r="B672" s="1519" t="s">
        <v>4936</v>
      </c>
    </row>
    <row r="673" spans="1:3" x14ac:dyDescent="0.2">
      <c r="A673" s="1311" t="s">
        <v>2468</v>
      </c>
      <c r="B673" s="1524" t="s">
        <v>1969</v>
      </c>
      <c r="C673" s="290">
        <v>2045</v>
      </c>
    </row>
    <row r="674" spans="1:3" ht="22.5" x14ac:dyDescent="0.2">
      <c r="A674" s="267" t="s">
        <v>2534</v>
      </c>
      <c r="B674" s="1519" t="s">
        <v>4934</v>
      </c>
    </row>
    <row r="675" spans="1:3" x14ac:dyDescent="0.2">
      <c r="A675" s="1517" t="s">
        <v>2470</v>
      </c>
      <c r="B675" s="1524" t="s">
        <v>1969</v>
      </c>
      <c r="C675" s="357" t="s">
        <v>775</v>
      </c>
    </row>
    <row r="676" spans="1:3" x14ac:dyDescent="0.2">
      <c r="A676" s="1517" t="s">
        <v>2535</v>
      </c>
      <c r="B676" s="1497"/>
    </row>
    <row r="677" spans="1:3" x14ac:dyDescent="0.2">
      <c r="A677" s="272" t="s">
        <v>2536</v>
      </c>
      <c r="B677" s="1525" t="s">
        <v>2537</v>
      </c>
    </row>
    <row r="678" spans="1:3" x14ac:dyDescent="0.2">
      <c r="A678" s="1311" t="s">
        <v>2473</v>
      </c>
      <c r="B678" s="1524" t="s">
        <v>1969</v>
      </c>
      <c r="C678" s="290">
        <v>2085</v>
      </c>
    </row>
    <row r="679" spans="1:3" ht="22.5" x14ac:dyDescent="0.2">
      <c r="A679" t="s">
        <v>2538</v>
      </c>
      <c r="B679" s="1519" t="s">
        <v>4934</v>
      </c>
    </row>
    <row r="680" spans="1:3" x14ac:dyDescent="0.2">
      <c r="B680" s="1497" t="s">
        <v>2475</v>
      </c>
    </row>
    <row r="681" spans="1:3" x14ac:dyDescent="0.2">
      <c r="A681" s="1311" t="s">
        <v>4607</v>
      </c>
      <c r="B681" s="1524" t="s">
        <v>1969</v>
      </c>
      <c r="C681" s="290">
        <v>2087</v>
      </c>
    </row>
    <row r="682" spans="1:3" ht="22.5" x14ac:dyDescent="0.2">
      <c r="A682" t="s">
        <v>4608</v>
      </c>
      <c r="B682" s="1519" t="s">
        <v>4934</v>
      </c>
    </row>
    <row r="683" spans="1:3" x14ac:dyDescent="0.2">
      <c r="B683" s="1497" t="s">
        <v>4606</v>
      </c>
    </row>
    <row r="684" spans="1:3" x14ac:dyDescent="0.2">
      <c r="A684" s="1311" t="s">
        <v>2476</v>
      </c>
      <c r="B684" s="1524" t="s">
        <v>1969</v>
      </c>
      <c r="C684" s="290">
        <v>2090</v>
      </c>
    </row>
    <row r="685" spans="1:3" ht="22.5" x14ac:dyDescent="0.2">
      <c r="A685" t="s">
        <v>2539</v>
      </c>
      <c r="B685" s="1519" t="s">
        <v>4934</v>
      </c>
    </row>
    <row r="686" spans="1:3" s="2" customFormat="1" x14ac:dyDescent="0.2">
      <c r="A686" s="2" t="s">
        <v>569</v>
      </c>
      <c r="B686" s="1845"/>
      <c r="C686" s="4"/>
    </row>
    <row r="687" spans="1:3" x14ac:dyDescent="0.2">
      <c r="A687" s="272" t="s">
        <v>4408</v>
      </c>
      <c r="B687" s="1519" t="s">
        <v>4409</v>
      </c>
    </row>
    <row r="688" spans="1:3" x14ac:dyDescent="0.2">
      <c r="A688" s="1311" t="s">
        <v>3845</v>
      </c>
      <c r="B688" s="1524" t="s">
        <v>4071</v>
      </c>
      <c r="C688" s="290">
        <v>2098</v>
      </c>
    </row>
    <row r="689" spans="1:3" ht="33.75" x14ac:dyDescent="0.2">
      <c r="A689" s="272" t="s">
        <v>3930</v>
      </c>
      <c r="B689" s="1519" t="s">
        <v>4937</v>
      </c>
    </row>
    <row r="690" spans="1:3" x14ac:dyDescent="0.2">
      <c r="A690" s="1517" t="s">
        <v>4428</v>
      </c>
      <c r="B690" s="1524" t="s">
        <v>4429</v>
      </c>
      <c r="C690" s="290">
        <v>2099</v>
      </c>
    </row>
    <row r="691" spans="1:3" ht="33.75" x14ac:dyDescent="0.2">
      <c r="A691" s="272" t="s">
        <v>4479</v>
      </c>
      <c r="B691" s="1519" t="s">
        <v>4938</v>
      </c>
    </row>
    <row r="692" spans="1:3" x14ac:dyDescent="0.2">
      <c r="A692" s="2" t="s">
        <v>2540</v>
      </c>
      <c r="B692" s="1519"/>
    </row>
    <row r="693" spans="1:3" x14ac:dyDescent="0.2">
      <c r="A693" s="2" t="s">
        <v>2541</v>
      </c>
      <c r="B693" s="1519"/>
    </row>
    <row r="694" spans="1:3" ht="25.5" x14ac:dyDescent="0.2">
      <c r="A694" s="1311" t="s">
        <v>1931</v>
      </c>
      <c r="B694" s="1497" t="s">
        <v>2542</v>
      </c>
    </row>
    <row r="695" spans="1:3" x14ac:dyDescent="0.2">
      <c r="A695" s="1521" t="s">
        <v>2543</v>
      </c>
      <c r="B695" s="1524" t="s">
        <v>1969</v>
      </c>
      <c r="C695" s="290">
        <v>1764</v>
      </c>
    </row>
    <row r="696" spans="1:3" x14ac:dyDescent="0.2">
      <c r="A696" s="272" t="s">
        <v>3753</v>
      </c>
      <c r="B696" s="1497" t="s">
        <v>2544</v>
      </c>
    </row>
    <row r="697" spans="1:3" x14ac:dyDescent="0.2">
      <c r="A697" s="1311" t="s">
        <v>2545</v>
      </c>
      <c r="B697" s="1524" t="s">
        <v>1969</v>
      </c>
      <c r="C697" s="290">
        <v>2026</v>
      </c>
    </row>
    <row r="698" spans="1:3" x14ac:dyDescent="0.2">
      <c r="A698" s="272" t="s">
        <v>3754</v>
      </c>
      <c r="B698" s="1497" t="s">
        <v>2546</v>
      </c>
    </row>
    <row r="699" spans="1:3" x14ac:dyDescent="0.2">
      <c r="A699" s="1311" t="s">
        <v>3755</v>
      </c>
      <c r="B699" s="1527" t="s">
        <v>3756</v>
      </c>
      <c r="C699" s="290">
        <v>1766</v>
      </c>
    </row>
    <row r="700" spans="1:3" x14ac:dyDescent="0.2">
      <c r="A700" s="272" t="s">
        <v>3757</v>
      </c>
      <c r="B700" s="1497" t="s">
        <v>3758</v>
      </c>
    </row>
    <row r="701" spans="1:3" x14ac:dyDescent="0.2">
      <c r="A701" s="1311" t="s">
        <v>3759</v>
      </c>
      <c r="B701" s="1527" t="s">
        <v>3756</v>
      </c>
      <c r="C701" s="290">
        <v>1768</v>
      </c>
    </row>
    <row r="702" spans="1:3" x14ac:dyDescent="0.2">
      <c r="A702" s="272" t="s">
        <v>3760</v>
      </c>
      <c r="B702" s="1497" t="s">
        <v>3761</v>
      </c>
    </row>
    <row r="703" spans="1:3" x14ac:dyDescent="0.2">
      <c r="A703" s="1311" t="s">
        <v>3907</v>
      </c>
      <c r="B703" s="1527" t="s">
        <v>3756</v>
      </c>
      <c r="C703" s="290">
        <v>1765</v>
      </c>
    </row>
    <row r="704" spans="1:3" x14ac:dyDescent="0.2">
      <c r="A704" s="272" t="s">
        <v>3908</v>
      </c>
      <c r="B704" s="1497" t="s">
        <v>3761</v>
      </c>
    </row>
    <row r="705" spans="1:3" x14ac:dyDescent="0.2">
      <c r="A705" s="1311" t="s">
        <v>3932</v>
      </c>
      <c r="B705" s="1527" t="s">
        <v>3933</v>
      </c>
      <c r="C705" s="290">
        <v>1767</v>
      </c>
    </row>
    <row r="706" spans="1:3" x14ac:dyDescent="0.2">
      <c r="A706" s="272" t="s">
        <v>3934</v>
      </c>
      <c r="B706" s="1497" t="s">
        <v>3931</v>
      </c>
    </row>
    <row r="707" spans="1:3" x14ac:dyDescent="0.2">
      <c r="A707" s="1517" t="s">
        <v>4430</v>
      </c>
      <c r="B707" s="1846" t="s">
        <v>4432</v>
      </c>
      <c r="C707" s="290">
        <v>1771</v>
      </c>
    </row>
    <row r="708" spans="1:3" x14ac:dyDescent="0.2">
      <c r="A708" s="272" t="s">
        <v>4431</v>
      </c>
      <c r="B708" s="1497" t="s">
        <v>4418</v>
      </c>
    </row>
    <row r="709" spans="1:3" x14ac:dyDescent="0.2">
      <c r="A709" s="1517" t="s">
        <v>4480</v>
      </c>
      <c r="B709" s="1846" t="s">
        <v>4432</v>
      </c>
      <c r="C709" s="290">
        <v>1772</v>
      </c>
    </row>
    <row r="710" spans="1:3" x14ac:dyDescent="0.2">
      <c r="A710" s="272" t="s">
        <v>4433</v>
      </c>
      <c r="B710" s="1497" t="s">
        <v>4418</v>
      </c>
    </row>
    <row r="711" spans="1:3" x14ac:dyDescent="0.2">
      <c r="A711" s="1311" t="s">
        <v>3762</v>
      </c>
      <c r="B711" s="1527" t="s">
        <v>3756</v>
      </c>
      <c r="C711" s="290">
        <v>1769</v>
      </c>
    </row>
    <row r="712" spans="1:3" x14ac:dyDescent="0.2">
      <c r="A712" s="272" t="s">
        <v>3763</v>
      </c>
      <c r="B712" s="1497" t="s">
        <v>3761</v>
      </c>
    </row>
    <row r="713" spans="1:3" x14ac:dyDescent="0.2">
      <c r="A713" s="1311" t="s">
        <v>5725</v>
      </c>
      <c r="B713" s="1497"/>
    </row>
    <row r="714" spans="1:3" x14ac:dyDescent="0.2">
      <c r="A714" s="272" t="s">
        <v>5726</v>
      </c>
      <c r="B714" s="2347" t="s">
        <v>5727</v>
      </c>
    </row>
    <row r="715" spans="1:3" x14ac:dyDescent="0.2">
      <c r="A715" s="2" t="s">
        <v>2547</v>
      </c>
      <c r="B715" s="1497"/>
    </row>
    <row r="716" spans="1:3" x14ac:dyDescent="0.2">
      <c r="A716" s="1311" t="s">
        <v>2548</v>
      </c>
      <c r="B716" s="1524" t="s">
        <v>2299</v>
      </c>
      <c r="C716" s="357" t="s">
        <v>775</v>
      </c>
    </row>
    <row r="717" spans="1:3" x14ac:dyDescent="0.2">
      <c r="B717" s="1497"/>
    </row>
    <row r="718" spans="1:3" x14ac:dyDescent="0.2">
      <c r="A718" s="1311" t="s">
        <v>2549</v>
      </c>
      <c r="B718" s="1524" t="s">
        <v>1969</v>
      </c>
      <c r="C718" s="357" t="s">
        <v>775</v>
      </c>
    </row>
    <row r="719" spans="1:3" x14ac:dyDescent="0.2">
      <c r="A719" t="s">
        <v>2550</v>
      </c>
      <c r="B719" s="1497" t="s">
        <v>2302</v>
      </c>
    </row>
    <row r="720" spans="1:3" x14ac:dyDescent="0.2">
      <c r="A720" t="s">
        <v>2551</v>
      </c>
      <c r="B720" s="1497" t="s">
        <v>2302</v>
      </c>
    </row>
    <row r="721" spans="1:3" x14ac:dyDescent="0.2">
      <c r="A721" t="s">
        <v>2552</v>
      </c>
      <c r="B721" s="1497" t="s">
        <v>2302</v>
      </c>
    </row>
    <row r="722" spans="1:3" x14ac:dyDescent="0.2">
      <c r="A722" t="s">
        <v>2553</v>
      </c>
      <c r="B722" s="1497" t="s">
        <v>2302</v>
      </c>
    </row>
    <row r="723" spans="1:3" x14ac:dyDescent="0.2">
      <c r="A723" t="s">
        <v>2554</v>
      </c>
      <c r="B723" s="1497" t="s">
        <v>2302</v>
      </c>
    </row>
    <row r="724" spans="1:3" x14ac:dyDescent="0.2">
      <c r="A724" t="s">
        <v>2555</v>
      </c>
      <c r="B724" s="1497" t="s">
        <v>2302</v>
      </c>
    </row>
    <row r="725" spans="1:3" x14ac:dyDescent="0.2">
      <c r="A725" t="s">
        <v>2556</v>
      </c>
      <c r="B725" s="1497" t="s">
        <v>2302</v>
      </c>
    </row>
    <row r="726" spans="1:3" x14ac:dyDescent="0.2">
      <c r="A726" t="s">
        <v>2557</v>
      </c>
      <c r="B726" s="1497" t="s">
        <v>2302</v>
      </c>
    </row>
    <row r="727" spans="1:3" x14ac:dyDescent="0.2">
      <c r="A727" t="s">
        <v>2558</v>
      </c>
      <c r="B727" s="1497" t="s">
        <v>2302</v>
      </c>
    </row>
    <row r="728" spans="1:3" x14ac:dyDescent="0.2">
      <c r="A728" s="1311" t="s">
        <v>2559</v>
      </c>
      <c r="B728" s="1524" t="s">
        <v>2312</v>
      </c>
      <c r="C728" s="357" t="s">
        <v>775</v>
      </c>
    </row>
    <row r="729" spans="1:3" x14ac:dyDescent="0.2">
      <c r="A729" s="272" t="s">
        <v>2560</v>
      </c>
      <c r="B729" s="1497" t="s">
        <v>2041</v>
      </c>
    </row>
    <row r="730" spans="1:3" x14ac:dyDescent="0.2">
      <c r="A730" t="s">
        <v>2561</v>
      </c>
      <c r="B730" s="1497"/>
    </row>
    <row r="731" spans="1:3" x14ac:dyDescent="0.2">
      <c r="A731" t="s">
        <v>2562</v>
      </c>
      <c r="B731" s="1497" t="s">
        <v>2563</v>
      </c>
    </row>
    <row r="732" spans="1:3" x14ac:dyDescent="0.2">
      <c r="A732" t="s">
        <v>2564</v>
      </c>
      <c r="B732" s="1497" t="s">
        <v>2316</v>
      </c>
    </row>
    <row r="733" spans="1:3" x14ac:dyDescent="0.2">
      <c r="A733" t="s">
        <v>2565</v>
      </c>
      <c r="B733" s="1497"/>
    </row>
    <row r="734" spans="1:3" x14ac:dyDescent="0.2">
      <c r="A734" t="s">
        <v>2566</v>
      </c>
      <c r="B734" s="1497"/>
    </row>
    <row r="735" spans="1:3" x14ac:dyDescent="0.2">
      <c r="A735" t="s">
        <v>2567</v>
      </c>
      <c r="B735" s="1497"/>
    </row>
    <row r="736" spans="1:3" x14ac:dyDescent="0.2">
      <c r="A736" t="s">
        <v>2568</v>
      </c>
      <c r="B736" s="1497"/>
    </row>
    <row r="737" spans="1:2" x14ac:dyDescent="0.2">
      <c r="A737" t="s">
        <v>2569</v>
      </c>
      <c r="B737" s="1497"/>
    </row>
    <row r="738" spans="1:2" x14ac:dyDescent="0.2">
      <c r="A738" t="s">
        <v>2570</v>
      </c>
      <c r="B738" s="1497"/>
    </row>
    <row r="739" spans="1:2" x14ac:dyDescent="0.2">
      <c r="A739" t="s">
        <v>2571</v>
      </c>
      <c r="B739" s="1497"/>
    </row>
    <row r="740" spans="1:2" x14ac:dyDescent="0.2">
      <c r="A740" t="s">
        <v>2572</v>
      </c>
      <c r="B740" s="1497"/>
    </row>
    <row r="741" spans="1:2" x14ac:dyDescent="0.2">
      <c r="A741" t="s">
        <v>2573</v>
      </c>
      <c r="B741" s="1497"/>
    </row>
    <row r="742" spans="1:2" x14ac:dyDescent="0.2">
      <c r="A742" t="s">
        <v>2574</v>
      </c>
      <c r="B742" s="1497"/>
    </row>
    <row r="743" spans="1:2" x14ac:dyDescent="0.2">
      <c r="A743" t="s">
        <v>2575</v>
      </c>
      <c r="B743" s="1497"/>
    </row>
    <row r="744" spans="1:2" x14ac:dyDescent="0.2">
      <c r="A744" t="s">
        <v>2576</v>
      </c>
      <c r="B744" s="1497"/>
    </row>
    <row r="745" spans="1:2" x14ac:dyDescent="0.2">
      <c r="A745" t="s">
        <v>2577</v>
      </c>
      <c r="B745" s="1497"/>
    </row>
    <row r="746" spans="1:2" x14ac:dyDescent="0.2">
      <c r="A746" t="s">
        <v>2578</v>
      </c>
      <c r="B746" s="1497"/>
    </row>
    <row r="747" spans="1:2" x14ac:dyDescent="0.2">
      <c r="A747" t="s">
        <v>2579</v>
      </c>
      <c r="B747" s="1497"/>
    </row>
    <row r="748" spans="1:2" x14ac:dyDescent="0.2">
      <c r="A748" t="s">
        <v>2580</v>
      </c>
      <c r="B748" s="1497"/>
    </row>
    <row r="749" spans="1:2" x14ac:dyDescent="0.2">
      <c r="A749" t="s">
        <v>2581</v>
      </c>
      <c r="B749" s="1497"/>
    </row>
    <row r="750" spans="1:2" x14ac:dyDescent="0.2">
      <c r="A750" t="s">
        <v>2582</v>
      </c>
      <c r="B750" s="1497" t="s">
        <v>2583</v>
      </c>
    </row>
    <row r="751" spans="1:2" x14ac:dyDescent="0.2">
      <c r="A751" t="s">
        <v>2584</v>
      </c>
      <c r="B751" s="1497" t="s">
        <v>2585</v>
      </c>
    </row>
    <row r="752" spans="1:2" x14ac:dyDescent="0.2">
      <c r="A752" t="s">
        <v>2586</v>
      </c>
      <c r="B752" s="1497" t="s">
        <v>2587</v>
      </c>
    </row>
    <row r="753" spans="1:3" x14ac:dyDescent="0.2">
      <c r="A753" t="s">
        <v>2588</v>
      </c>
      <c r="B753" s="1497" t="s">
        <v>2587</v>
      </c>
    </row>
    <row r="754" spans="1:3" x14ac:dyDescent="0.2">
      <c r="A754" s="272" t="s">
        <v>2589</v>
      </c>
      <c r="B754" s="1497" t="s">
        <v>2587</v>
      </c>
    </row>
    <row r="755" spans="1:3" x14ac:dyDescent="0.2">
      <c r="A755" t="s">
        <v>2590</v>
      </c>
      <c r="B755" s="1497" t="s">
        <v>2587</v>
      </c>
    </row>
    <row r="756" spans="1:3" x14ac:dyDescent="0.2">
      <c r="A756" t="s">
        <v>2591</v>
      </c>
      <c r="B756" s="1497" t="s">
        <v>2592</v>
      </c>
    </row>
    <row r="757" spans="1:3" x14ac:dyDescent="0.2">
      <c r="A757" t="s">
        <v>2593</v>
      </c>
      <c r="B757" s="1497" t="s">
        <v>2594</v>
      </c>
    </row>
    <row r="758" spans="1:3" x14ac:dyDescent="0.2">
      <c r="A758" t="s">
        <v>2595</v>
      </c>
      <c r="B758" s="1497" t="s">
        <v>2596</v>
      </c>
    </row>
    <row r="759" spans="1:3" x14ac:dyDescent="0.2">
      <c r="A759" t="s">
        <v>2480</v>
      </c>
      <c r="B759" s="1497" t="s">
        <v>3764</v>
      </c>
    </row>
    <row r="760" spans="1:3" x14ac:dyDescent="0.2">
      <c r="A760" t="s">
        <v>2597</v>
      </c>
      <c r="B760" s="1535" t="s">
        <v>2355</v>
      </c>
    </row>
    <row r="761" spans="1:3" x14ac:dyDescent="0.2">
      <c r="A761" s="272" t="s">
        <v>2598</v>
      </c>
      <c r="B761" s="1497" t="s">
        <v>2599</v>
      </c>
    </row>
    <row r="762" spans="1:3" x14ac:dyDescent="0.2">
      <c r="A762" t="s">
        <v>2600</v>
      </c>
      <c r="B762" s="1497" t="s">
        <v>2601</v>
      </c>
    </row>
    <row r="763" spans="1:3" x14ac:dyDescent="0.2">
      <c r="A763" t="s">
        <v>2602</v>
      </c>
      <c r="B763" s="1497" t="s">
        <v>2601</v>
      </c>
    </row>
    <row r="764" spans="1:3" x14ac:dyDescent="0.2">
      <c r="A764" t="s">
        <v>2603</v>
      </c>
      <c r="B764" s="1497" t="s">
        <v>2601</v>
      </c>
    </row>
    <row r="765" spans="1:3" x14ac:dyDescent="0.2">
      <c r="A765" t="s">
        <v>2522</v>
      </c>
      <c r="B765" s="1497" t="s">
        <v>3764</v>
      </c>
    </row>
    <row r="766" spans="1:3" x14ac:dyDescent="0.2">
      <c r="A766" t="s">
        <v>2604</v>
      </c>
      <c r="B766" s="1535" t="s">
        <v>2355</v>
      </c>
    </row>
    <row r="767" spans="1:3" x14ac:dyDescent="0.2">
      <c r="A767" s="1311" t="s">
        <v>2356</v>
      </c>
      <c r="B767" s="1524" t="s">
        <v>2605</v>
      </c>
      <c r="C767" s="357" t="s">
        <v>775</v>
      </c>
    </row>
    <row r="768" spans="1:3" x14ac:dyDescent="0.2">
      <c r="A768" t="s">
        <v>2606</v>
      </c>
      <c r="B768" s="1497"/>
    </row>
    <row r="769" spans="1:3" x14ac:dyDescent="0.2">
      <c r="A769" t="s">
        <v>2607</v>
      </c>
      <c r="B769" s="1497"/>
    </row>
    <row r="770" spans="1:3" x14ac:dyDescent="0.2">
      <c r="A770" t="s">
        <v>2608</v>
      </c>
      <c r="B770" s="1497" t="s">
        <v>2382</v>
      </c>
    </row>
    <row r="771" spans="1:3" x14ac:dyDescent="0.2">
      <c r="A771" t="s">
        <v>2609</v>
      </c>
      <c r="B771" s="1497"/>
    </row>
    <row r="772" spans="1:3" x14ac:dyDescent="0.2">
      <c r="A772" t="s">
        <v>2610</v>
      </c>
      <c r="B772" s="1497"/>
    </row>
    <row r="773" spans="1:3" x14ac:dyDescent="0.2">
      <c r="A773" t="s">
        <v>2611</v>
      </c>
      <c r="B773" s="1497"/>
    </row>
    <row r="774" spans="1:3" x14ac:dyDescent="0.2">
      <c r="A774" t="s">
        <v>2612</v>
      </c>
      <c r="B774" s="1497"/>
    </row>
    <row r="775" spans="1:3" x14ac:dyDescent="0.2">
      <c r="A775" t="s">
        <v>2613</v>
      </c>
      <c r="B775" s="1497"/>
    </row>
    <row r="776" spans="1:3" x14ac:dyDescent="0.2">
      <c r="A776" t="s">
        <v>2614</v>
      </c>
      <c r="B776" s="1497"/>
    </row>
    <row r="777" spans="1:3" x14ac:dyDescent="0.2">
      <c r="A777" t="s">
        <v>2615</v>
      </c>
      <c r="B777" s="1497"/>
    </row>
    <row r="778" spans="1:3" x14ac:dyDescent="0.2">
      <c r="A778" s="1311" t="s">
        <v>2616</v>
      </c>
      <c r="B778" s="1524" t="s">
        <v>1969</v>
      </c>
      <c r="C778" s="357" t="s">
        <v>775</v>
      </c>
    </row>
    <row r="779" spans="1:3" x14ac:dyDescent="0.2">
      <c r="A779" s="272" t="s">
        <v>2617</v>
      </c>
      <c r="B779" s="1497" t="s">
        <v>2618</v>
      </c>
    </row>
    <row r="780" spans="1:3" x14ac:dyDescent="0.2">
      <c r="A780" s="1311" t="s">
        <v>2619</v>
      </c>
      <c r="B780" s="1524" t="s">
        <v>2620</v>
      </c>
      <c r="C780" s="357" t="s">
        <v>775</v>
      </c>
    </row>
    <row r="781" spans="1:3" x14ac:dyDescent="0.2">
      <c r="A781" s="272" t="s">
        <v>2621</v>
      </c>
      <c r="B781" s="1497" t="s">
        <v>2618</v>
      </c>
    </row>
    <row r="782" spans="1:3" x14ac:dyDescent="0.2">
      <c r="A782" s="1311" t="s">
        <v>2622</v>
      </c>
      <c r="B782" s="1524" t="s">
        <v>1969</v>
      </c>
      <c r="C782" s="357" t="s">
        <v>775</v>
      </c>
    </row>
    <row r="783" spans="1:3" x14ac:dyDescent="0.2">
      <c r="A783" t="s">
        <v>2623</v>
      </c>
      <c r="B783" s="1497"/>
    </row>
    <row r="784" spans="1:3" x14ac:dyDescent="0.2">
      <c r="A784" t="s">
        <v>2624</v>
      </c>
      <c r="B784" s="1497"/>
    </row>
    <row r="785" spans="1:3" x14ac:dyDescent="0.2">
      <c r="A785" s="2" t="s">
        <v>2625</v>
      </c>
      <c r="B785" s="1497"/>
    </row>
    <row r="786" spans="1:3" x14ac:dyDescent="0.2">
      <c r="A786" s="1311" t="s">
        <v>2626</v>
      </c>
      <c r="B786" s="1524" t="s">
        <v>1969</v>
      </c>
      <c r="C786" s="357" t="s">
        <v>775</v>
      </c>
    </row>
    <row r="787" spans="1:3" x14ac:dyDescent="0.2">
      <c r="A787" t="s">
        <v>2627</v>
      </c>
      <c r="B787" s="1497" t="s">
        <v>2628</v>
      </c>
    </row>
    <row r="788" spans="1:3" x14ac:dyDescent="0.2">
      <c r="A788" t="s">
        <v>2629</v>
      </c>
      <c r="B788" s="1497" t="s">
        <v>2628</v>
      </c>
    </row>
    <row r="789" spans="1:3" x14ac:dyDescent="0.2">
      <c r="A789" t="s">
        <v>2630</v>
      </c>
      <c r="B789" s="1497" t="s">
        <v>2628</v>
      </c>
    </row>
    <row r="790" spans="1:3" x14ac:dyDescent="0.2">
      <c r="A790" s="1311" t="s">
        <v>2631</v>
      </c>
      <c r="B790" s="1524" t="s">
        <v>2620</v>
      </c>
      <c r="C790" s="357" t="s">
        <v>775</v>
      </c>
    </row>
    <row r="791" spans="1:3" x14ac:dyDescent="0.2">
      <c r="A791" t="s">
        <v>2632</v>
      </c>
      <c r="B791" s="1497"/>
    </row>
    <row r="792" spans="1:3" x14ac:dyDescent="0.2">
      <c r="A792" t="s">
        <v>2633</v>
      </c>
      <c r="B792" s="1497"/>
    </row>
    <row r="793" spans="1:3" x14ac:dyDescent="0.2">
      <c r="A793" t="s">
        <v>2634</v>
      </c>
      <c r="B793" s="1497"/>
    </row>
    <row r="794" spans="1:3" x14ac:dyDescent="0.2">
      <c r="A794" t="s">
        <v>2635</v>
      </c>
      <c r="B794" s="1497"/>
    </row>
    <row r="795" spans="1:3" x14ac:dyDescent="0.2">
      <c r="A795" s="272" t="s">
        <v>2636</v>
      </c>
      <c r="B795" s="1497"/>
    </row>
    <row r="796" spans="1:3" x14ac:dyDescent="0.2">
      <c r="A796" t="s">
        <v>2637</v>
      </c>
      <c r="B796" s="1497"/>
    </row>
    <row r="797" spans="1:3" x14ac:dyDescent="0.2">
      <c r="A797" t="s">
        <v>2638</v>
      </c>
      <c r="B797" s="1497"/>
    </row>
    <row r="798" spans="1:3" x14ac:dyDescent="0.2">
      <c r="A798" t="s">
        <v>2639</v>
      </c>
      <c r="B798" s="1497"/>
    </row>
    <row r="799" spans="1:3" x14ac:dyDescent="0.2">
      <c r="A799" t="s">
        <v>2640</v>
      </c>
      <c r="B799" s="1497"/>
    </row>
    <row r="800" spans="1:3" x14ac:dyDescent="0.2">
      <c r="A800" t="s">
        <v>2641</v>
      </c>
      <c r="B800" s="1497"/>
    </row>
    <row r="801" spans="1:2" x14ac:dyDescent="0.2">
      <c r="A801" t="s">
        <v>2642</v>
      </c>
      <c r="B801" s="1497"/>
    </row>
    <row r="802" spans="1:2" x14ac:dyDescent="0.2">
      <c r="A802" t="s">
        <v>2643</v>
      </c>
      <c r="B802" s="1497"/>
    </row>
    <row r="803" spans="1:2" x14ac:dyDescent="0.2">
      <c r="A803" t="s">
        <v>2644</v>
      </c>
      <c r="B803" s="1497"/>
    </row>
    <row r="804" spans="1:2" x14ac:dyDescent="0.2">
      <c r="A804" t="s">
        <v>2645</v>
      </c>
      <c r="B804" s="1497"/>
    </row>
    <row r="805" spans="1:2" x14ac:dyDescent="0.2">
      <c r="A805" t="s">
        <v>2646</v>
      </c>
      <c r="B805" s="1497"/>
    </row>
    <row r="806" spans="1:2" x14ac:dyDescent="0.2">
      <c r="A806" t="s">
        <v>2647</v>
      </c>
      <c r="B806" s="1497"/>
    </row>
    <row r="807" spans="1:2" x14ac:dyDescent="0.2">
      <c r="A807" t="s">
        <v>2648</v>
      </c>
      <c r="B807" s="1497"/>
    </row>
    <row r="808" spans="1:2" x14ac:dyDescent="0.2">
      <c r="A808" t="s">
        <v>2649</v>
      </c>
      <c r="B808" s="1497"/>
    </row>
    <row r="809" spans="1:2" x14ac:dyDescent="0.2">
      <c r="A809" t="s">
        <v>2650</v>
      </c>
      <c r="B809" s="1497"/>
    </row>
    <row r="810" spans="1:2" x14ac:dyDescent="0.2">
      <c r="A810" t="s">
        <v>2651</v>
      </c>
      <c r="B810" s="1497"/>
    </row>
    <row r="811" spans="1:2" x14ac:dyDescent="0.2">
      <c r="A811" t="s">
        <v>2652</v>
      </c>
      <c r="B811" s="1497"/>
    </row>
    <row r="812" spans="1:2" x14ac:dyDescent="0.2">
      <c r="A812" t="s">
        <v>2653</v>
      </c>
      <c r="B812" s="1497"/>
    </row>
    <row r="813" spans="1:2" x14ac:dyDescent="0.2">
      <c r="A813" t="s">
        <v>2654</v>
      </c>
      <c r="B813" s="1497"/>
    </row>
    <row r="814" spans="1:2" x14ac:dyDescent="0.2">
      <c r="A814" t="s">
        <v>2655</v>
      </c>
      <c r="B814" s="1497"/>
    </row>
    <row r="815" spans="1:2" x14ac:dyDescent="0.2">
      <c r="A815" t="s">
        <v>2656</v>
      </c>
      <c r="B815" s="1497"/>
    </row>
    <row r="816" spans="1:2" x14ac:dyDescent="0.2">
      <c r="A816" t="s">
        <v>2657</v>
      </c>
      <c r="B816" s="1497"/>
    </row>
    <row r="817" spans="1:2" x14ac:dyDescent="0.2">
      <c r="A817" t="s">
        <v>2658</v>
      </c>
      <c r="B817" s="1497"/>
    </row>
    <row r="818" spans="1:2" x14ac:dyDescent="0.2">
      <c r="A818" t="s">
        <v>2659</v>
      </c>
      <c r="B818" s="1497"/>
    </row>
    <row r="819" spans="1:2" x14ac:dyDescent="0.2">
      <c r="A819" t="s">
        <v>2660</v>
      </c>
      <c r="B819" s="1497"/>
    </row>
    <row r="820" spans="1:2" x14ac:dyDescent="0.2">
      <c r="A820" t="s">
        <v>2661</v>
      </c>
      <c r="B820" s="1497"/>
    </row>
    <row r="821" spans="1:2" x14ac:dyDescent="0.2">
      <c r="A821" t="s">
        <v>2662</v>
      </c>
      <c r="B821" s="1497"/>
    </row>
    <row r="822" spans="1:2" x14ac:dyDescent="0.2">
      <c r="A822" t="s">
        <v>2663</v>
      </c>
      <c r="B822" s="1497"/>
    </row>
    <row r="823" spans="1:2" x14ac:dyDescent="0.2">
      <c r="A823" t="s">
        <v>2664</v>
      </c>
      <c r="B823" s="1497"/>
    </row>
    <row r="824" spans="1:2" x14ac:dyDescent="0.2">
      <c r="A824" t="s">
        <v>2665</v>
      </c>
      <c r="B824" s="1497"/>
    </row>
    <row r="825" spans="1:2" x14ac:dyDescent="0.2">
      <c r="A825" t="s">
        <v>2666</v>
      </c>
      <c r="B825" s="1497"/>
    </row>
    <row r="826" spans="1:2" x14ac:dyDescent="0.2">
      <c r="A826" t="s">
        <v>2667</v>
      </c>
      <c r="B826" s="1497"/>
    </row>
    <row r="827" spans="1:2" x14ac:dyDescent="0.2">
      <c r="A827" t="s">
        <v>2668</v>
      </c>
      <c r="B827" s="1497"/>
    </row>
    <row r="828" spans="1:2" x14ac:dyDescent="0.2">
      <c r="A828" t="s">
        <v>2669</v>
      </c>
      <c r="B828" s="1497"/>
    </row>
    <row r="829" spans="1:2" x14ac:dyDescent="0.2">
      <c r="A829" t="s">
        <v>2670</v>
      </c>
      <c r="B829" s="1497"/>
    </row>
    <row r="830" spans="1:2" x14ac:dyDescent="0.2">
      <c r="A830" t="s">
        <v>2671</v>
      </c>
      <c r="B830" s="1497"/>
    </row>
    <row r="831" spans="1:2" x14ac:dyDescent="0.2">
      <c r="A831" t="s">
        <v>2672</v>
      </c>
      <c r="B831" s="1497"/>
    </row>
    <row r="832" spans="1:2" x14ac:dyDescent="0.2">
      <c r="A832" t="s">
        <v>2673</v>
      </c>
      <c r="B832" s="1497"/>
    </row>
    <row r="833" spans="1:2" x14ac:dyDescent="0.2">
      <c r="A833" t="s">
        <v>2674</v>
      </c>
      <c r="B833" s="1497"/>
    </row>
    <row r="834" spans="1:2" x14ac:dyDescent="0.2">
      <c r="A834" t="s">
        <v>2675</v>
      </c>
      <c r="B834" s="1497"/>
    </row>
    <row r="835" spans="1:2" x14ac:dyDescent="0.2">
      <c r="A835" t="s">
        <v>2676</v>
      </c>
      <c r="B835" s="1497"/>
    </row>
    <row r="836" spans="1:2" x14ac:dyDescent="0.2">
      <c r="A836" t="s">
        <v>2677</v>
      </c>
      <c r="B836" s="1497"/>
    </row>
    <row r="837" spans="1:2" x14ac:dyDescent="0.2">
      <c r="A837" t="s">
        <v>2678</v>
      </c>
      <c r="B837" s="1497"/>
    </row>
    <row r="838" spans="1:2" x14ac:dyDescent="0.2">
      <c r="A838" t="s">
        <v>2679</v>
      </c>
      <c r="B838" s="1497"/>
    </row>
    <row r="839" spans="1:2" x14ac:dyDescent="0.2">
      <c r="A839" t="s">
        <v>2680</v>
      </c>
      <c r="B839" s="1497"/>
    </row>
    <row r="840" spans="1:2" x14ac:dyDescent="0.2">
      <c r="A840" t="s">
        <v>2681</v>
      </c>
      <c r="B840" s="1497"/>
    </row>
    <row r="841" spans="1:2" x14ac:dyDescent="0.2">
      <c r="A841" t="s">
        <v>2682</v>
      </c>
      <c r="B841" s="1497"/>
    </row>
    <row r="842" spans="1:2" x14ac:dyDescent="0.2">
      <c r="A842" t="s">
        <v>2683</v>
      </c>
      <c r="B842" s="1497"/>
    </row>
    <row r="843" spans="1:2" x14ac:dyDescent="0.2">
      <c r="A843" t="s">
        <v>2684</v>
      </c>
      <c r="B843" s="1497"/>
    </row>
    <row r="844" spans="1:2" x14ac:dyDescent="0.2">
      <c r="A844" t="s">
        <v>2685</v>
      </c>
      <c r="B844" s="1497"/>
    </row>
    <row r="845" spans="1:2" x14ac:dyDescent="0.2">
      <c r="A845" t="s">
        <v>2686</v>
      </c>
      <c r="B845" s="1497"/>
    </row>
    <row r="846" spans="1:2" x14ac:dyDescent="0.2">
      <c r="A846" t="s">
        <v>2687</v>
      </c>
      <c r="B846" s="1497"/>
    </row>
    <row r="847" spans="1:2" x14ac:dyDescent="0.2">
      <c r="A847" t="s">
        <v>2688</v>
      </c>
      <c r="B847" s="1497"/>
    </row>
    <row r="848" spans="1:2" x14ac:dyDescent="0.2">
      <c r="A848" t="s">
        <v>2689</v>
      </c>
      <c r="B848" s="1497"/>
    </row>
    <row r="849" spans="1:2" x14ac:dyDescent="0.2">
      <c r="A849" t="s">
        <v>2690</v>
      </c>
      <c r="B849" s="1497"/>
    </row>
    <row r="850" spans="1:2" x14ac:dyDescent="0.2">
      <c r="A850" t="s">
        <v>2691</v>
      </c>
      <c r="B850" s="1497"/>
    </row>
    <row r="851" spans="1:2" x14ac:dyDescent="0.2">
      <c r="A851" t="s">
        <v>2692</v>
      </c>
      <c r="B851" s="1497"/>
    </row>
    <row r="852" spans="1:2" x14ac:dyDescent="0.2">
      <c r="A852" t="s">
        <v>2693</v>
      </c>
      <c r="B852" s="1497"/>
    </row>
    <row r="853" spans="1:2" x14ac:dyDescent="0.2">
      <c r="A853" t="s">
        <v>2694</v>
      </c>
      <c r="B853" s="1497"/>
    </row>
    <row r="854" spans="1:2" x14ac:dyDescent="0.2">
      <c r="A854" t="s">
        <v>2695</v>
      </c>
      <c r="B854" s="1497"/>
    </row>
    <row r="855" spans="1:2" x14ac:dyDescent="0.2">
      <c r="A855" t="s">
        <v>2696</v>
      </c>
      <c r="B855" s="1497"/>
    </row>
    <row r="856" spans="1:2" x14ac:dyDescent="0.2">
      <c r="A856" t="s">
        <v>2697</v>
      </c>
      <c r="B856" s="1497"/>
    </row>
    <row r="857" spans="1:2" x14ac:dyDescent="0.2">
      <c r="A857" t="s">
        <v>2698</v>
      </c>
      <c r="B857" s="1497"/>
    </row>
    <row r="858" spans="1:2" x14ac:dyDescent="0.2">
      <c r="A858" t="s">
        <v>2699</v>
      </c>
      <c r="B858" s="1497"/>
    </row>
    <row r="859" spans="1:2" x14ac:dyDescent="0.2">
      <c r="A859" t="s">
        <v>2700</v>
      </c>
      <c r="B859" s="1497"/>
    </row>
    <row r="860" spans="1:2" x14ac:dyDescent="0.2">
      <c r="A860" t="s">
        <v>2701</v>
      </c>
      <c r="B860" s="1497"/>
    </row>
    <row r="861" spans="1:2" x14ac:dyDescent="0.2">
      <c r="A861" t="s">
        <v>2702</v>
      </c>
      <c r="B861" s="1497"/>
    </row>
    <row r="862" spans="1:2" x14ac:dyDescent="0.2">
      <c r="A862" t="s">
        <v>2703</v>
      </c>
      <c r="B862" s="1497"/>
    </row>
    <row r="863" spans="1:2" x14ac:dyDescent="0.2">
      <c r="A863" t="s">
        <v>2704</v>
      </c>
      <c r="B863" s="1497"/>
    </row>
    <row r="864" spans="1:2" x14ac:dyDescent="0.2">
      <c r="A864" t="s">
        <v>2705</v>
      </c>
      <c r="B864" s="1497"/>
    </row>
    <row r="865" spans="1:3" x14ac:dyDescent="0.2">
      <c r="A865" t="s">
        <v>2706</v>
      </c>
      <c r="B865" s="1497"/>
    </row>
    <row r="866" spans="1:3" x14ac:dyDescent="0.2">
      <c r="A866" t="s">
        <v>2707</v>
      </c>
      <c r="B866" s="1497"/>
    </row>
    <row r="867" spans="1:3" x14ac:dyDescent="0.2">
      <c r="A867" t="s">
        <v>2708</v>
      </c>
      <c r="B867" s="1497"/>
    </row>
    <row r="868" spans="1:3" x14ac:dyDescent="0.2">
      <c r="A868" t="s">
        <v>2709</v>
      </c>
      <c r="B868" s="1497"/>
    </row>
    <row r="869" spans="1:3" x14ac:dyDescent="0.2">
      <c r="A869" t="s">
        <v>2710</v>
      </c>
      <c r="B869" s="1497"/>
    </row>
    <row r="870" spans="1:3" x14ac:dyDescent="0.2">
      <c r="A870" t="s">
        <v>2711</v>
      </c>
      <c r="B870" s="1497"/>
    </row>
    <row r="871" spans="1:3" x14ac:dyDescent="0.2">
      <c r="A871" s="1532"/>
      <c r="B871" s="272"/>
    </row>
    <row r="872" spans="1:3" x14ac:dyDescent="0.2">
      <c r="A872" s="272" t="s">
        <v>2712</v>
      </c>
      <c r="B872" s="272"/>
    </row>
    <row r="873" spans="1:3" x14ac:dyDescent="0.2">
      <c r="A873" s="1532" t="s">
        <v>2713</v>
      </c>
      <c r="B873" s="272"/>
    </row>
    <row r="874" spans="1:3" x14ac:dyDescent="0.2">
      <c r="A874" s="272" t="s">
        <v>2714</v>
      </c>
      <c r="B874" s="272"/>
    </row>
    <row r="875" spans="1:3" ht="14.25" customHeight="1" x14ac:dyDescent="0.2">
      <c r="A875" s="272"/>
    </row>
    <row r="876" spans="1:3" ht="18.75" thickBot="1" x14ac:dyDescent="0.3">
      <c r="A876" s="1313" t="s">
        <v>4939</v>
      </c>
      <c r="B876" s="1485" t="s">
        <v>4661</v>
      </c>
    </row>
    <row r="877" spans="1:3" x14ac:dyDescent="0.2">
      <c r="A877" s="1316" t="s">
        <v>1894</v>
      </c>
      <c r="B877" s="2102" t="s">
        <v>4940</v>
      </c>
    </row>
    <row r="878" spans="1:3" x14ac:dyDescent="0.2">
      <c r="A878" s="1314" t="s">
        <v>2715</v>
      </c>
      <c r="B878" s="1486" t="s">
        <v>3495</v>
      </c>
    </row>
    <row r="879" spans="1:3" ht="13.5" thickBot="1" x14ac:dyDescent="0.25">
      <c r="A879" s="1314" t="s">
        <v>782</v>
      </c>
      <c r="B879" s="1484" t="s">
        <v>3496</v>
      </c>
      <c r="C879" s="290">
        <v>2310</v>
      </c>
    </row>
    <row r="880" spans="1:3" x14ac:dyDescent="0.2">
      <c r="A880" s="1465" t="s">
        <v>2716</v>
      </c>
      <c r="B880" s="1465"/>
    </row>
    <row r="881" spans="1:2" x14ac:dyDescent="0.2">
      <c r="A881" s="1465" t="s">
        <v>2717</v>
      </c>
      <c r="B881" s="1465"/>
    </row>
    <row r="882" spans="1:2" x14ac:dyDescent="0.2">
      <c r="A882" t="s">
        <v>2718</v>
      </c>
      <c r="B882"/>
    </row>
    <row r="883" spans="1:2" x14ac:dyDescent="0.2">
      <c r="A883" t="s">
        <v>2719</v>
      </c>
      <c r="B883"/>
    </row>
    <row r="884" spans="1:2" x14ac:dyDescent="0.2">
      <c r="A884" t="s">
        <v>2720</v>
      </c>
      <c r="B884"/>
    </row>
    <row r="885" spans="1:2" x14ac:dyDescent="0.2">
      <c r="A885" t="s">
        <v>2721</v>
      </c>
      <c r="B885"/>
    </row>
    <row r="886" spans="1:2" x14ac:dyDescent="0.2">
      <c r="A886" t="s">
        <v>2722</v>
      </c>
      <c r="B886"/>
    </row>
    <row r="887" spans="1:2" x14ac:dyDescent="0.2">
      <c r="A887" t="s">
        <v>2723</v>
      </c>
      <c r="B887"/>
    </row>
    <row r="888" spans="1:2" x14ac:dyDescent="0.2">
      <c r="A888" t="s">
        <v>2724</v>
      </c>
      <c r="B888"/>
    </row>
    <row r="889" spans="1:2" x14ac:dyDescent="0.2">
      <c r="A889" t="s">
        <v>2725</v>
      </c>
      <c r="B889"/>
    </row>
    <row r="890" spans="1:2" x14ac:dyDescent="0.2">
      <c r="A890" t="s">
        <v>2726</v>
      </c>
      <c r="B890"/>
    </row>
    <row r="891" spans="1:2" x14ac:dyDescent="0.2">
      <c r="A891" t="s">
        <v>2727</v>
      </c>
      <c r="B891"/>
    </row>
    <row r="892" spans="1:2" x14ac:dyDescent="0.2">
      <c r="A892" t="s">
        <v>2728</v>
      </c>
      <c r="B892"/>
    </row>
    <row r="893" spans="1:2" x14ac:dyDescent="0.2">
      <c r="A893" t="s">
        <v>2729</v>
      </c>
      <c r="B893"/>
    </row>
    <row r="894" spans="1:2" x14ac:dyDescent="0.2">
      <c r="A894" t="s">
        <v>2730</v>
      </c>
      <c r="B894"/>
    </row>
    <row r="895" spans="1:2" x14ac:dyDescent="0.2">
      <c r="A895" t="s">
        <v>2731</v>
      </c>
      <c r="B895" s="1465"/>
    </row>
    <row r="896" spans="1:2" x14ac:dyDescent="0.2">
      <c r="A896" s="1465" t="s">
        <v>2732</v>
      </c>
      <c r="B896" t="s">
        <v>2054</v>
      </c>
    </row>
    <row r="897" spans="1:3" x14ac:dyDescent="0.2">
      <c r="A897" t="s">
        <v>2733</v>
      </c>
      <c r="B897"/>
    </row>
    <row r="898" spans="1:3" x14ac:dyDescent="0.2">
      <c r="A898" t="s">
        <v>2734</v>
      </c>
      <c r="B898"/>
    </row>
    <row r="899" spans="1:3" x14ac:dyDescent="0.2">
      <c r="A899" t="s">
        <v>2735</v>
      </c>
      <c r="B899" t="s">
        <v>2054</v>
      </c>
    </row>
    <row r="900" spans="1:3" ht="25.5" x14ac:dyDescent="0.2">
      <c r="A900" s="1456" t="s">
        <v>1425</v>
      </c>
      <c r="B900" s="1510" t="s">
        <v>3790</v>
      </c>
      <c r="C900" s="290">
        <v>2320</v>
      </c>
    </row>
    <row r="901" spans="1:3" x14ac:dyDescent="0.2">
      <c r="A901" s="1457" t="s">
        <v>2736</v>
      </c>
      <c r="B901" s="1538"/>
    </row>
    <row r="902" spans="1:3" x14ac:dyDescent="0.2">
      <c r="A902" s="1452" t="s">
        <v>1426</v>
      </c>
      <c r="B902" s="1539" t="s">
        <v>1969</v>
      </c>
      <c r="C902" s="290">
        <v>2330</v>
      </c>
    </row>
    <row r="903" spans="1:3" x14ac:dyDescent="0.2">
      <c r="A903" s="272" t="s">
        <v>2737</v>
      </c>
      <c r="B903" s="1538"/>
    </row>
    <row r="904" spans="1:3" x14ac:dyDescent="0.2">
      <c r="A904" s="272" t="s">
        <v>2738</v>
      </c>
      <c r="B904" s="1538"/>
    </row>
    <row r="905" spans="1:3" x14ac:dyDescent="0.2">
      <c r="A905" s="272" t="s">
        <v>2739</v>
      </c>
      <c r="B905" s="1538"/>
    </row>
    <row r="906" spans="1:3" x14ac:dyDescent="0.2">
      <c r="A906" s="1528" t="s">
        <v>2740</v>
      </c>
      <c r="B906" s="1540"/>
    </row>
    <row r="907" spans="1:3" x14ac:dyDescent="0.2">
      <c r="A907" s="1458" t="s">
        <v>291</v>
      </c>
      <c r="B907" s="1511" t="s">
        <v>1969</v>
      </c>
      <c r="C907" s="357" t="s">
        <v>775</v>
      </c>
    </row>
    <row r="908" spans="1:3" x14ac:dyDescent="0.2">
      <c r="A908" s="1457" t="s">
        <v>2741</v>
      </c>
      <c r="B908" s="1540"/>
    </row>
    <row r="909" spans="1:3" x14ac:dyDescent="0.2">
      <c r="A909" s="1452" t="s">
        <v>1427</v>
      </c>
      <c r="B909" s="1511" t="s">
        <v>1969</v>
      </c>
      <c r="C909" s="290">
        <v>2350</v>
      </c>
    </row>
    <row r="910" spans="1:3" x14ac:dyDescent="0.2">
      <c r="A910" s="1457" t="s">
        <v>2742</v>
      </c>
      <c r="B910" s="1540"/>
    </row>
    <row r="911" spans="1:3" x14ac:dyDescent="0.2">
      <c r="A911" s="1452" t="s">
        <v>388</v>
      </c>
      <c r="B911" s="1511" t="s">
        <v>2743</v>
      </c>
      <c r="C911" s="290">
        <v>2370</v>
      </c>
    </row>
    <row r="912" spans="1:3" x14ac:dyDescent="0.2">
      <c r="A912" s="1452" t="s">
        <v>2744</v>
      </c>
      <c r="B912" s="1511" t="s">
        <v>2745</v>
      </c>
      <c r="C912" s="290">
        <v>2390</v>
      </c>
    </row>
    <row r="913" spans="1:3" x14ac:dyDescent="0.2">
      <c r="A913" s="1452" t="s">
        <v>2746</v>
      </c>
      <c r="B913" s="1511" t="s">
        <v>2747</v>
      </c>
      <c r="C913" s="290">
        <v>2400</v>
      </c>
    </row>
    <row r="914" spans="1:3" x14ac:dyDescent="0.2">
      <c r="A914" s="1452" t="s">
        <v>391</v>
      </c>
      <c r="B914" s="1511" t="s">
        <v>1969</v>
      </c>
      <c r="C914" s="290">
        <v>2410</v>
      </c>
    </row>
    <row r="915" spans="1:3" x14ac:dyDescent="0.2">
      <c r="A915" t="s">
        <v>2748</v>
      </c>
      <c r="B915"/>
    </row>
    <row r="916" spans="1:3" x14ac:dyDescent="0.2">
      <c r="A916" t="s">
        <v>2749</v>
      </c>
      <c r="B916"/>
    </row>
    <row r="917" spans="1:3" x14ac:dyDescent="0.2">
      <c r="A917" t="s">
        <v>2750</v>
      </c>
      <c r="B917"/>
    </row>
    <row r="918" spans="1:3" x14ac:dyDescent="0.2">
      <c r="A918" s="1452" t="s">
        <v>783</v>
      </c>
      <c r="B918" s="1511" t="s">
        <v>1969</v>
      </c>
      <c r="C918" s="290">
        <v>2420</v>
      </c>
    </row>
    <row r="919" spans="1:3" x14ac:dyDescent="0.2">
      <c r="A919" t="s">
        <v>2751</v>
      </c>
      <c r="B919"/>
    </row>
    <row r="920" spans="1:3" x14ac:dyDescent="0.2">
      <c r="A920" t="s">
        <v>2752</v>
      </c>
      <c r="B920"/>
    </row>
    <row r="921" spans="1:3" x14ac:dyDescent="0.2">
      <c r="A921" t="s">
        <v>2753</v>
      </c>
      <c r="B921"/>
    </row>
    <row r="922" spans="1:3" ht="38.25" x14ac:dyDescent="0.2">
      <c r="A922" s="1452" t="s">
        <v>8</v>
      </c>
      <c r="B922" s="1510" t="s">
        <v>3791</v>
      </c>
      <c r="C922" s="290">
        <v>2430</v>
      </c>
    </row>
    <row r="923" spans="1:3" x14ac:dyDescent="0.2">
      <c r="A923" t="s">
        <v>2754</v>
      </c>
      <c r="B923" t="s">
        <v>2755</v>
      </c>
    </row>
    <row r="924" spans="1:3" x14ac:dyDescent="0.2">
      <c r="A924" t="s">
        <v>2756</v>
      </c>
      <c r="B924" t="s">
        <v>2755</v>
      </c>
    </row>
    <row r="925" spans="1:3" x14ac:dyDescent="0.2">
      <c r="A925" t="s">
        <v>2757</v>
      </c>
      <c r="B925" s="272" t="s">
        <v>2758</v>
      </c>
    </row>
    <row r="926" spans="1:3" x14ac:dyDescent="0.2">
      <c r="A926" s="272" t="s">
        <v>2759</v>
      </c>
      <c r="B926" s="272" t="s">
        <v>2758</v>
      </c>
    </row>
    <row r="927" spans="1:3" x14ac:dyDescent="0.2">
      <c r="A927" s="1465" t="s">
        <v>2760</v>
      </c>
      <c r="B927" s="272" t="s">
        <v>2758</v>
      </c>
    </row>
    <row r="928" spans="1:3" x14ac:dyDescent="0.2">
      <c r="A928" s="272" t="s">
        <v>2761</v>
      </c>
      <c r="B928" s="272" t="s">
        <v>2762</v>
      </c>
    </row>
    <row r="929" spans="1:3" x14ac:dyDescent="0.2">
      <c r="A929" s="1459" t="s">
        <v>2763</v>
      </c>
      <c r="B929" s="1511" t="s">
        <v>1969</v>
      </c>
      <c r="C929" s="357" t="s">
        <v>775</v>
      </c>
    </row>
    <row r="930" spans="1:3" x14ac:dyDescent="0.2">
      <c r="A930" s="272" t="s">
        <v>2764</v>
      </c>
      <c r="B930" s="272" t="s">
        <v>2765</v>
      </c>
    </row>
    <row r="931" spans="1:3" x14ac:dyDescent="0.2">
      <c r="A931" s="272" t="s">
        <v>2766</v>
      </c>
      <c r="B931" s="272" t="s">
        <v>2765</v>
      </c>
    </row>
    <row r="932" spans="1:3" x14ac:dyDescent="0.2">
      <c r="A932" s="1452" t="s">
        <v>2767</v>
      </c>
      <c r="B932" s="1511" t="s">
        <v>1969</v>
      </c>
      <c r="C932" s="357" t="s">
        <v>775</v>
      </c>
    </row>
    <row r="933" spans="1:3" x14ac:dyDescent="0.2">
      <c r="A933" t="s">
        <v>2768</v>
      </c>
      <c r="B933"/>
    </row>
    <row r="934" spans="1:3" x14ac:dyDescent="0.2">
      <c r="A934" s="1452" t="s">
        <v>643</v>
      </c>
      <c r="B934" s="1511" t="s">
        <v>1969</v>
      </c>
      <c r="C934" s="290">
        <v>2450</v>
      </c>
    </row>
    <row r="935" spans="1:3" x14ac:dyDescent="0.2">
      <c r="A935" t="s">
        <v>2769</v>
      </c>
      <c r="B935"/>
    </row>
    <row r="936" spans="1:3" x14ac:dyDescent="0.2">
      <c r="A936" t="s">
        <v>2770</v>
      </c>
      <c r="B936"/>
    </row>
    <row r="937" spans="1:3" x14ac:dyDescent="0.2">
      <c r="A937" t="s">
        <v>2771</v>
      </c>
      <c r="B937"/>
    </row>
    <row r="938" spans="1:3" x14ac:dyDescent="0.2">
      <c r="A938" t="s">
        <v>2772</v>
      </c>
      <c r="B938"/>
    </row>
    <row r="939" spans="1:3" x14ac:dyDescent="0.2">
      <c r="A939" t="s">
        <v>2773</v>
      </c>
      <c r="B939"/>
    </row>
    <row r="940" spans="1:3" x14ac:dyDescent="0.2">
      <c r="A940" t="s">
        <v>2774</v>
      </c>
      <c r="B940"/>
    </row>
    <row r="941" spans="1:3" x14ac:dyDescent="0.2">
      <c r="A941" t="s">
        <v>2775</v>
      </c>
      <c r="B941"/>
    </row>
    <row r="942" spans="1:3" x14ac:dyDescent="0.2">
      <c r="A942" t="s">
        <v>2776</v>
      </c>
      <c r="B942"/>
    </row>
    <row r="943" spans="1:3" x14ac:dyDescent="0.2">
      <c r="A943" t="s">
        <v>2777</v>
      </c>
      <c r="B943"/>
    </row>
    <row r="944" spans="1:3" x14ac:dyDescent="0.2">
      <c r="A944" t="s">
        <v>2778</v>
      </c>
      <c r="B944" s="272" t="s">
        <v>2779</v>
      </c>
    </row>
    <row r="945" spans="1:3" x14ac:dyDescent="0.2">
      <c r="A945" t="s">
        <v>2780</v>
      </c>
      <c r="B945"/>
    </row>
    <row r="946" spans="1:3" x14ac:dyDescent="0.2">
      <c r="A946" t="s">
        <v>3972</v>
      </c>
      <c r="B946" s="272" t="s">
        <v>3973</v>
      </c>
    </row>
    <row r="947" spans="1:3" x14ac:dyDescent="0.2">
      <c r="A947" t="s">
        <v>2781</v>
      </c>
      <c r="B947"/>
    </row>
    <row r="948" spans="1:3" x14ac:dyDescent="0.2">
      <c r="A948" t="s">
        <v>2782</v>
      </c>
      <c r="B948"/>
    </row>
    <row r="949" spans="1:3" x14ac:dyDescent="0.2">
      <c r="A949" s="1452" t="s">
        <v>2783</v>
      </c>
      <c r="B949" s="1511" t="s">
        <v>1969</v>
      </c>
      <c r="C949" s="357" t="s">
        <v>775</v>
      </c>
    </row>
    <row r="950" spans="1:3" x14ac:dyDescent="0.2">
      <c r="A950" s="272" t="s">
        <v>2784</v>
      </c>
      <c r="B950" t="s">
        <v>2785</v>
      </c>
    </row>
    <row r="951" spans="1:3" x14ac:dyDescent="0.2">
      <c r="A951" s="1311" t="s">
        <v>2786</v>
      </c>
      <c r="B951" s="1611" t="s">
        <v>1969</v>
      </c>
      <c r="C951" s="357" t="s">
        <v>775</v>
      </c>
    </row>
    <row r="952" spans="1:3" x14ac:dyDescent="0.2">
      <c r="A952" s="272" t="s">
        <v>2787</v>
      </c>
      <c r="B952" t="s">
        <v>2302</v>
      </c>
    </row>
    <row r="953" spans="1:3" x14ac:dyDescent="0.2">
      <c r="A953" t="s">
        <v>2842</v>
      </c>
      <c r="B953"/>
    </row>
    <row r="954" spans="1:3" x14ac:dyDescent="0.2">
      <c r="A954" t="s">
        <v>2788</v>
      </c>
      <c r="B954" t="s">
        <v>2789</v>
      </c>
    </row>
    <row r="955" spans="1:3" x14ac:dyDescent="0.2">
      <c r="A955" s="272" t="s">
        <v>2790</v>
      </c>
      <c r="B955" t="s">
        <v>2302</v>
      </c>
    </row>
    <row r="956" spans="1:3" x14ac:dyDescent="0.2">
      <c r="A956" t="s">
        <v>2791</v>
      </c>
      <c r="B956" t="s">
        <v>2302</v>
      </c>
    </row>
    <row r="957" spans="1:3" x14ac:dyDescent="0.2">
      <c r="A957" t="s">
        <v>2792</v>
      </c>
      <c r="B957" t="s">
        <v>2302</v>
      </c>
    </row>
    <row r="958" spans="1:3" x14ac:dyDescent="0.2">
      <c r="A958" s="272" t="s">
        <v>5728</v>
      </c>
      <c r="B958" s="272" t="s">
        <v>5729</v>
      </c>
    </row>
    <row r="959" spans="1:3" x14ac:dyDescent="0.2">
      <c r="A959" t="s">
        <v>2793</v>
      </c>
      <c r="B959" t="s">
        <v>2302</v>
      </c>
    </row>
    <row r="960" spans="1:3" x14ac:dyDescent="0.2">
      <c r="A960" t="s">
        <v>2794</v>
      </c>
      <c r="B960" t="s">
        <v>2302</v>
      </c>
    </row>
    <row r="961" spans="1:3" x14ac:dyDescent="0.2">
      <c r="A961" t="s">
        <v>2795</v>
      </c>
      <c r="B961" t="s">
        <v>2302</v>
      </c>
    </row>
    <row r="962" spans="1:3" x14ac:dyDescent="0.2">
      <c r="A962" t="s">
        <v>2796</v>
      </c>
      <c r="B962" t="s">
        <v>2797</v>
      </c>
    </row>
    <row r="963" spans="1:3" x14ac:dyDescent="0.2">
      <c r="A963" s="1095" t="s">
        <v>2798</v>
      </c>
      <c r="B963" s="272" t="s">
        <v>2041</v>
      </c>
    </row>
    <row r="964" spans="1:3" x14ac:dyDescent="0.2">
      <c r="A964" t="s">
        <v>2799</v>
      </c>
      <c r="B964" t="s">
        <v>2800</v>
      </c>
    </row>
    <row r="965" spans="1:3" x14ac:dyDescent="0.2">
      <c r="A965" t="s">
        <v>2801</v>
      </c>
      <c r="B965" t="s">
        <v>2802</v>
      </c>
    </row>
    <row r="966" spans="1:3" x14ac:dyDescent="0.2">
      <c r="A966" t="s">
        <v>2803</v>
      </c>
      <c r="B966" t="s">
        <v>2804</v>
      </c>
    </row>
    <row r="967" spans="1:3" x14ac:dyDescent="0.2">
      <c r="A967" t="s">
        <v>2805</v>
      </c>
      <c r="B967" t="s">
        <v>2804</v>
      </c>
    </row>
    <row r="968" spans="1:3" x14ac:dyDescent="0.2">
      <c r="A968" t="s">
        <v>2806</v>
      </c>
      <c r="B968" t="s">
        <v>2804</v>
      </c>
    </row>
    <row r="969" spans="1:3" x14ac:dyDescent="0.2">
      <c r="A969" t="s">
        <v>2807</v>
      </c>
      <c r="B969" t="s">
        <v>2808</v>
      </c>
    </row>
    <row r="970" spans="1:3" x14ac:dyDescent="0.2">
      <c r="A970" t="s">
        <v>2809</v>
      </c>
      <c r="B970" t="s">
        <v>2808</v>
      </c>
    </row>
    <row r="971" spans="1:3" x14ac:dyDescent="0.2">
      <c r="A971" t="s">
        <v>2810</v>
      </c>
      <c r="B971" t="s">
        <v>2811</v>
      </c>
    </row>
    <row r="972" spans="1:3" x14ac:dyDescent="0.2">
      <c r="A972" s="272" t="s">
        <v>2812</v>
      </c>
      <c r="B972" s="272" t="s">
        <v>2813</v>
      </c>
    </row>
    <row r="973" spans="1:3" x14ac:dyDescent="0.2">
      <c r="A973" s="1452" t="s">
        <v>2814</v>
      </c>
      <c r="B973" s="1511" t="s">
        <v>1969</v>
      </c>
      <c r="C973" s="357" t="s">
        <v>775</v>
      </c>
    </row>
    <row r="974" spans="1:3" x14ac:dyDescent="0.2">
      <c r="A974" s="272" t="s">
        <v>2815</v>
      </c>
      <c r="B974"/>
      <c r="C974" s="357"/>
    </row>
    <row r="975" spans="1:3" x14ac:dyDescent="0.2">
      <c r="A975" s="272" t="s">
        <v>2816</v>
      </c>
      <c r="B975"/>
    </row>
    <row r="976" spans="1:3" x14ac:dyDescent="0.2">
      <c r="A976" s="272" t="s">
        <v>2817</v>
      </c>
      <c r="B976"/>
    </row>
    <row r="977" spans="1:2" x14ac:dyDescent="0.2">
      <c r="A977" s="272" t="s">
        <v>2818</v>
      </c>
      <c r="B977"/>
    </row>
    <row r="978" spans="1:2" x14ac:dyDescent="0.2">
      <c r="A978" s="272" t="s">
        <v>2819</v>
      </c>
      <c r="B978"/>
    </row>
    <row r="979" spans="1:2" x14ac:dyDescent="0.2">
      <c r="A979" s="272" t="s">
        <v>2820</v>
      </c>
      <c r="B979"/>
    </row>
    <row r="980" spans="1:2" x14ac:dyDescent="0.2">
      <c r="A980" s="272" t="s">
        <v>2821</v>
      </c>
      <c r="B980"/>
    </row>
    <row r="981" spans="1:2" x14ac:dyDescent="0.2">
      <c r="A981" s="272" t="s">
        <v>2822</v>
      </c>
      <c r="B981"/>
    </row>
    <row r="982" spans="1:2" x14ac:dyDescent="0.2">
      <c r="A982" s="272" t="s">
        <v>2823</v>
      </c>
      <c r="B982"/>
    </row>
    <row r="983" spans="1:2" x14ac:dyDescent="0.2">
      <c r="A983" t="s">
        <v>2824</v>
      </c>
      <c r="B983"/>
    </row>
    <row r="984" spans="1:2" x14ac:dyDescent="0.2">
      <c r="A984" t="s">
        <v>2825</v>
      </c>
      <c r="B984"/>
    </row>
    <row r="985" spans="1:2" x14ac:dyDescent="0.2">
      <c r="A985" t="s">
        <v>2826</v>
      </c>
      <c r="B985"/>
    </row>
    <row r="986" spans="1:2" x14ac:dyDescent="0.2">
      <c r="A986" t="s">
        <v>2827</v>
      </c>
      <c r="B986"/>
    </row>
    <row r="987" spans="1:2" x14ac:dyDescent="0.2">
      <c r="A987" t="s">
        <v>2828</v>
      </c>
      <c r="B987"/>
    </row>
    <row r="988" spans="1:2" x14ac:dyDescent="0.2">
      <c r="A988" t="s">
        <v>2829</v>
      </c>
      <c r="B988"/>
    </row>
    <row r="989" spans="1:2" x14ac:dyDescent="0.2">
      <c r="A989" t="s">
        <v>2830</v>
      </c>
      <c r="B989"/>
    </row>
    <row r="990" spans="1:2" x14ac:dyDescent="0.2">
      <c r="A990" t="s">
        <v>2831</v>
      </c>
      <c r="B990"/>
    </row>
    <row r="991" spans="1:2" x14ac:dyDescent="0.2">
      <c r="A991" s="272" t="s">
        <v>4411</v>
      </c>
      <c r="B991" s="272" t="s">
        <v>4413</v>
      </c>
    </row>
    <row r="992" spans="1:2" x14ac:dyDescent="0.2">
      <c r="A992" s="272" t="s">
        <v>4412</v>
      </c>
      <c r="B992" s="272" t="s">
        <v>4413</v>
      </c>
    </row>
    <row r="993" spans="1:2" x14ac:dyDescent="0.2">
      <c r="A993" t="s">
        <v>2832</v>
      </c>
      <c r="B993"/>
    </row>
    <row r="994" spans="1:2" x14ac:dyDescent="0.2">
      <c r="A994" t="s">
        <v>2833</v>
      </c>
      <c r="B994"/>
    </row>
    <row r="995" spans="1:2" x14ac:dyDescent="0.2">
      <c r="A995" t="s">
        <v>2834</v>
      </c>
      <c r="B995"/>
    </row>
    <row r="996" spans="1:2" x14ac:dyDescent="0.2">
      <c r="A996" t="s">
        <v>2835</v>
      </c>
      <c r="B996"/>
    </row>
    <row r="997" spans="1:2" x14ac:dyDescent="0.2">
      <c r="A997" t="s">
        <v>2836</v>
      </c>
      <c r="B997" s="272" t="s">
        <v>2837</v>
      </c>
    </row>
    <row r="998" spans="1:2" x14ac:dyDescent="0.2">
      <c r="A998" t="s">
        <v>2838</v>
      </c>
      <c r="B998" s="272" t="s">
        <v>2837</v>
      </c>
    </row>
    <row r="999" spans="1:2" x14ac:dyDescent="0.2">
      <c r="A999" t="s">
        <v>2839</v>
      </c>
      <c r="B999" t="s">
        <v>2840</v>
      </c>
    </row>
    <row r="1000" spans="1:2" x14ac:dyDescent="0.2">
      <c r="A1000" t="s">
        <v>2841</v>
      </c>
      <c r="B1000"/>
    </row>
    <row r="1001" spans="1:2" x14ac:dyDescent="0.2">
      <c r="A1001" s="272" t="s">
        <v>3765</v>
      </c>
      <c r="B1001" s="272" t="s">
        <v>3766</v>
      </c>
    </row>
    <row r="1002" spans="1:2" x14ac:dyDescent="0.2">
      <c r="A1002" s="272" t="s">
        <v>3767</v>
      </c>
      <c r="B1002" s="272" t="s">
        <v>3766</v>
      </c>
    </row>
    <row r="1003" spans="1:2" x14ac:dyDescent="0.2">
      <c r="A1003" s="272" t="s">
        <v>3768</v>
      </c>
      <c r="B1003" s="272" t="s">
        <v>3766</v>
      </c>
    </row>
    <row r="1004" spans="1:2" x14ac:dyDescent="0.2">
      <c r="A1004" s="272" t="s">
        <v>3769</v>
      </c>
      <c r="B1004" s="272" t="s">
        <v>3766</v>
      </c>
    </row>
    <row r="1005" spans="1:2" x14ac:dyDescent="0.2">
      <c r="A1005" s="272" t="s">
        <v>3770</v>
      </c>
      <c r="B1005" s="272" t="s">
        <v>3766</v>
      </c>
    </row>
    <row r="1006" spans="1:2" x14ac:dyDescent="0.2">
      <c r="A1006" s="272" t="s">
        <v>3771</v>
      </c>
      <c r="B1006" s="272" t="s">
        <v>3772</v>
      </c>
    </row>
    <row r="1007" spans="1:2" x14ac:dyDescent="0.2">
      <c r="A1007" t="s">
        <v>2843</v>
      </c>
      <c r="B1007"/>
    </row>
    <row r="1008" spans="1:2" x14ac:dyDescent="0.2">
      <c r="A1008" t="s">
        <v>2844</v>
      </c>
      <c r="B1008" t="s">
        <v>2846</v>
      </c>
    </row>
    <row r="1009" spans="1:2" x14ac:dyDescent="0.2">
      <c r="A1009" s="1465" t="s">
        <v>2845</v>
      </c>
      <c r="B1009"/>
    </row>
    <row r="1010" spans="1:2" x14ac:dyDescent="0.2">
      <c r="A1010" t="s">
        <v>2847</v>
      </c>
      <c r="B1010"/>
    </row>
    <row r="1011" spans="1:2" x14ac:dyDescent="0.2">
      <c r="A1011" t="s">
        <v>2848</v>
      </c>
      <c r="B1011"/>
    </row>
    <row r="1012" spans="1:2" x14ac:dyDescent="0.2">
      <c r="A1012" t="s">
        <v>2849</v>
      </c>
      <c r="B1012"/>
    </row>
    <row r="1013" spans="1:2" x14ac:dyDescent="0.2">
      <c r="A1013" t="s">
        <v>2850</v>
      </c>
      <c r="B1013"/>
    </row>
    <row r="1014" spans="1:2" x14ac:dyDescent="0.2">
      <c r="A1014" t="s">
        <v>2851</v>
      </c>
      <c r="B1014" t="s">
        <v>2853</v>
      </c>
    </row>
    <row r="1015" spans="1:2" x14ac:dyDescent="0.2">
      <c r="A1015" t="s">
        <v>2852</v>
      </c>
      <c r="B1015" t="s">
        <v>2853</v>
      </c>
    </row>
    <row r="1016" spans="1:2" x14ac:dyDescent="0.2">
      <c r="A1016" t="s">
        <v>2854</v>
      </c>
      <c r="B1016" t="s">
        <v>2853</v>
      </c>
    </row>
    <row r="1017" spans="1:2" x14ac:dyDescent="0.2">
      <c r="A1017" t="s">
        <v>2855</v>
      </c>
      <c r="B1017" t="s">
        <v>2857</v>
      </c>
    </row>
    <row r="1018" spans="1:2" x14ac:dyDescent="0.2">
      <c r="A1018" t="s">
        <v>2856</v>
      </c>
      <c r="B1018"/>
    </row>
    <row r="1019" spans="1:2" x14ac:dyDescent="0.2">
      <c r="A1019" t="s">
        <v>2858</v>
      </c>
      <c r="B1019"/>
    </row>
    <row r="1020" spans="1:2" x14ac:dyDescent="0.2">
      <c r="A1020" t="s">
        <v>2859</v>
      </c>
      <c r="B1020"/>
    </row>
    <row r="1021" spans="1:2" x14ac:dyDescent="0.2">
      <c r="A1021" t="s">
        <v>2860</v>
      </c>
      <c r="B1021"/>
    </row>
    <row r="1022" spans="1:2" x14ac:dyDescent="0.2">
      <c r="A1022" t="s">
        <v>2861</v>
      </c>
      <c r="B1022"/>
    </row>
    <row r="1023" spans="1:2" x14ac:dyDescent="0.2">
      <c r="A1023" t="s">
        <v>2862</v>
      </c>
      <c r="B1023"/>
    </row>
    <row r="1024" spans="1:2" x14ac:dyDescent="0.2">
      <c r="A1024" t="s">
        <v>2863</v>
      </c>
      <c r="B1024"/>
    </row>
    <row r="1025" spans="1:3" x14ac:dyDescent="0.2">
      <c r="A1025" t="s">
        <v>2864</v>
      </c>
      <c r="B1025"/>
    </row>
    <row r="1026" spans="1:3" x14ac:dyDescent="0.2">
      <c r="A1026" t="s">
        <v>2865</v>
      </c>
      <c r="B1026" s="272" t="s">
        <v>2867</v>
      </c>
    </row>
    <row r="1027" spans="1:3" x14ac:dyDescent="0.2">
      <c r="A1027" t="s">
        <v>2866</v>
      </c>
      <c r="B1027" s="1612"/>
    </row>
    <row r="1028" spans="1:3" x14ac:dyDescent="0.2">
      <c r="A1028" t="s">
        <v>4251</v>
      </c>
      <c r="B1028" s="272" t="s">
        <v>4252</v>
      </c>
    </row>
    <row r="1029" spans="1:3" x14ac:dyDescent="0.2">
      <c r="A1029" t="s">
        <v>2868</v>
      </c>
      <c r="B1029"/>
    </row>
    <row r="1030" spans="1:3" x14ac:dyDescent="0.2">
      <c r="A1030" t="s">
        <v>2869</v>
      </c>
      <c r="B1030"/>
    </row>
    <row r="1031" spans="1:3" x14ac:dyDescent="0.2">
      <c r="A1031" s="1311" t="s">
        <v>2870</v>
      </c>
      <c r="B1031"/>
    </row>
    <row r="1032" spans="1:3" x14ac:dyDescent="0.2">
      <c r="A1032" s="1452" t="s">
        <v>394</v>
      </c>
      <c r="B1032"/>
    </row>
    <row r="1033" spans="1:3" x14ac:dyDescent="0.2">
      <c r="A1033" s="1458" t="s">
        <v>2871</v>
      </c>
      <c r="B1033" s="1541" t="s">
        <v>1969</v>
      </c>
      <c r="C1033" s="290">
        <v>2490</v>
      </c>
    </row>
    <row r="1034" spans="1:3" x14ac:dyDescent="0.2">
      <c r="A1034" t="s">
        <v>2872</v>
      </c>
      <c r="B1034"/>
    </row>
    <row r="1035" spans="1:3" x14ac:dyDescent="0.2">
      <c r="A1035" t="s">
        <v>2873</v>
      </c>
      <c r="B1035"/>
    </row>
    <row r="1036" spans="1:3" x14ac:dyDescent="0.2">
      <c r="A1036" t="s">
        <v>2874</v>
      </c>
      <c r="B1036"/>
    </row>
    <row r="1037" spans="1:3" x14ac:dyDescent="0.2">
      <c r="A1037" t="s">
        <v>2875</v>
      </c>
      <c r="B1037"/>
    </row>
    <row r="1038" spans="1:3" x14ac:dyDescent="0.2">
      <c r="A1038" t="s">
        <v>2876</v>
      </c>
      <c r="B1038" t="s">
        <v>2877</v>
      </c>
    </row>
    <row r="1039" spans="1:3" x14ac:dyDescent="0.2">
      <c r="A1039" t="s">
        <v>2878</v>
      </c>
      <c r="B1039"/>
    </row>
    <row r="1040" spans="1:3" x14ac:dyDescent="0.2">
      <c r="A1040" t="s">
        <v>2879</v>
      </c>
      <c r="B1040"/>
    </row>
    <row r="1041" spans="1:2" x14ac:dyDescent="0.2">
      <c r="A1041" t="s">
        <v>2880</v>
      </c>
      <c r="B1041"/>
    </row>
    <row r="1042" spans="1:2" x14ac:dyDescent="0.2">
      <c r="A1042" t="s">
        <v>2881</v>
      </c>
      <c r="B1042"/>
    </row>
    <row r="1043" spans="1:2" x14ac:dyDescent="0.2">
      <c r="A1043" t="s">
        <v>2882</v>
      </c>
      <c r="B1043"/>
    </row>
    <row r="1044" spans="1:2" x14ac:dyDescent="0.2">
      <c r="A1044" t="s">
        <v>2883</v>
      </c>
      <c r="B1044"/>
    </row>
    <row r="1045" spans="1:2" x14ac:dyDescent="0.2">
      <c r="A1045" t="s">
        <v>2884</v>
      </c>
      <c r="B1045"/>
    </row>
    <row r="1046" spans="1:2" x14ac:dyDescent="0.2">
      <c r="A1046" t="s">
        <v>2885</v>
      </c>
      <c r="B1046"/>
    </row>
    <row r="1047" spans="1:2" x14ac:dyDescent="0.2">
      <c r="A1047" t="s">
        <v>2886</v>
      </c>
      <c r="B1047"/>
    </row>
    <row r="1048" spans="1:2" x14ac:dyDescent="0.2">
      <c r="A1048" t="s">
        <v>2887</v>
      </c>
      <c r="B1048"/>
    </row>
    <row r="1049" spans="1:2" x14ac:dyDescent="0.2">
      <c r="A1049" t="s">
        <v>2888</v>
      </c>
      <c r="B1049"/>
    </row>
    <row r="1050" spans="1:2" x14ac:dyDescent="0.2">
      <c r="A1050" t="s">
        <v>2889</v>
      </c>
      <c r="B1050"/>
    </row>
    <row r="1051" spans="1:2" x14ac:dyDescent="0.2">
      <c r="A1051" t="s">
        <v>2890</v>
      </c>
      <c r="B1051"/>
    </row>
    <row r="1052" spans="1:2" x14ac:dyDescent="0.2">
      <c r="A1052" t="s">
        <v>2891</v>
      </c>
      <c r="B1052"/>
    </row>
    <row r="1053" spans="1:2" x14ac:dyDescent="0.2">
      <c r="A1053" t="s">
        <v>2892</v>
      </c>
      <c r="B1053"/>
    </row>
    <row r="1054" spans="1:2" x14ac:dyDescent="0.2">
      <c r="A1054" t="s">
        <v>2893</v>
      </c>
      <c r="B1054"/>
    </row>
    <row r="1055" spans="1:2" x14ac:dyDescent="0.2">
      <c r="A1055" t="s">
        <v>2894</v>
      </c>
      <c r="B1055"/>
    </row>
    <row r="1056" spans="1:2" x14ac:dyDescent="0.2">
      <c r="A1056" t="s">
        <v>2895</v>
      </c>
      <c r="B1056"/>
    </row>
    <row r="1057" spans="1:2" x14ac:dyDescent="0.2">
      <c r="A1057" t="s">
        <v>2896</v>
      </c>
      <c r="B1057"/>
    </row>
    <row r="1058" spans="1:2" x14ac:dyDescent="0.2">
      <c r="A1058" t="s">
        <v>2897</v>
      </c>
      <c r="B1058"/>
    </row>
    <row r="1059" spans="1:2" x14ac:dyDescent="0.2">
      <c r="A1059" t="s">
        <v>2898</v>
      </c>
      <c r="B1059" t="s">
        <v>2899</v>
      </c>
    </row>
    <row r="1060" spans="1:2" x14ac:dyDescent="0.2">
      <c r="A1060" t="s">
        <v>2900</v>
      </c>
      <c r="B1060" s="272" t="s">
        <v>2901</v>
      </c>
    </row>
    <row r="1061" spans="1:2" x14ac:dyDescent="0.2">
      <c r="A1061" t="s">
        <v>2902</v>
      </c>
      <c r="B1061"/>
    </row>
    <row r="1062" spans="1:2" x14ac:dyDescent="0.2">
      <c r="A1062" t="s">
        <v>2903</v>
      </c>
      <c r="B1062"/>
    </row>
    <row r="1063" spans="1:2" x14ac:dyDescent="0.2">
      <c r="A1063" t="s">
        <v>2904</v>
      </c>
      <c r="B1063"/>
    </row>
    <row r="1064" spans="1:2" x14ac:dyDescent="0.2">
      <c r="A1064" t="s">
        <v>2905</v>
      </c>
      <c r="B1064"/>
    </row>
    <row r="1065" spans="1:2" x14ac:dyDescent="0.2">
      <c r="A1065" t="s">
        <v>2906</v>
      </c>
      <c r="B1065"/>
    </row>
    <row r="1066" spans="1:2" x14ac:dyDescent="0.2">
      <c r="A1066" t="s">
        <v>2907</v>
      </c>
      <c r="B1066"/>
    </row>
    <row r="1067" spans="1:2" x14ac:dyDescent="0.2">
      <c r="A1067" t="s">
        <v>2908</v>
      </c>
      <c r="B1067"/>
    </row>
    <row r="1068" spans="1:2" x14ac:dyDescent="0.2">
      <c r="A1068" t="s">
        <v>2909</v>
      </c>
      <c r="B1068"/>
    </row>
    <row r="1069" spans="1:2" x14ac:dyDescent="0.2">
      <c r="A1069" t="s">
        <v>2910</v>
      </c>
      <c r="B1069"/>
    </row>
    <row r="1070" spans="1:2" x14ac:dyDescent="0.2">
      <c r="A1070" t="s">
        <v>2911</v>
      </c>
      <c r="B1070"/>
    </row>
    <row r="1071" spans="1:2" x14ac:dyDescent="0.2">
      <c r="A1071" t="s">
        <v>2912</v>
      </c>
      <c r="B1071"/>
    </row>
    <row r="1072" spans="1:2" x14ac:dyDescent="0.2">
      <c r="A1072" t="s">
        <v>2913</v>
      </c>
      <c r="B1072"/>
    </row>
    <row r="1073" spans="1:2" x14ac:dyDescent="0.2">
      <c r="A1073" s="1465" t="s">
        <v>2914</v>
      </c>
      <c r="B1073" t="s">
        <v>2915</v>
      </c>
    </row>
    <row r="1074" spans="1:2" x14ac:dyDescent="0.2">
      <c r="A1074" s="1465" t="s">
        <v>2916</v>
      </c>
      <c r="B1074" t="s">
        <v>2915</v>
      </c>
    </row>
    <row r="1075" spans="1:2" x14ac:dyDescent="0.2">
      <c r="A1075" s="1465" t="s">
        <v>2917</v>
      </c>
      <c r="B1075" t="s">
        <v>2915</v>
      </c>
    </row>
    <row r="1076" spans="1:2" x14ac:dyDescent="0.2">
      <c r="A1076" s="1465" t="s">
        <v>2918</v>
      </c>
      <c r="B1076" t="s">
        <v>2915</v>
      </c>
    </row>
    <row r="1077" spans="1:2" x14ac:dyDescent="0.2">
      <c r="A1077" t="s">
        <v>2919</v>
      </c>
      <c r="B1077"/>
    </row>
    <row r="1078" spans="1:2" x14ac:dyDescent="0.2">
      <c r="A1078" t="s">
        <v>2920</v>
      </c>
      <c r="B1078"/>
    </row>
    <row r="1079" spans="1:2" x14ac:dyDescent="0.2">
      <c r="A1079" t="s">
        <v>2921</v>
      </c>
      <c r="B1079"/>
    </row>
    <row r="1080" spans="1:2" x14ac:dyDescent="0.2">
      <c r="A1080" t="s">
        <v>2922</v>
      </c>
      <c r="B1080"/>
    </row>
    <row r="1081" spans="1:2" x14ac:dyDescent="0.2">
      <c r="A1081" t="s">
        <v>2923</v>
      </c>
      <c r="B1081"/>
    </row>
    <row r="1082" spans="1:2" x14ac:dyDescent="0.2">
      <c r="A1082" t="s">
        <v>2924</v>
      </c>
      <c r="B1082"/>
    </row>
    <row r="1083" spans="1:2" x14ac:dyDescent="0.2">
      <c r="A1083" t="s">
        <v>2925</v>
      </c>
      <c r="B1083"/>
    </row>
    <row r="1084" spans="1:2" x14ac:dyDescent="0.2">
      <c r="A1084" t="s">
        <v>2926</v>
      </c>
      <c r="B1084"/>
    </row>
    <row r="1085" spans="1:2" x14ac:dyDescent="0.2">
      <c r="A1085" t="s">
        <v>2927</v>
      </c>
      <c r="B1085"/>
    </row>
    <row r="1086" spans="1:2" x14ac:dyDescent="0.2">
      <c r="A1086" t="s">
        <v>2928</v>
      </c>
      <c r="B1086"/>
    </row>
    <row r="1087" spans="1:2" x14ac:dyDescent="0.2">
      <c r="A1087" t="s">
        <v>2929</v>
      </c>
      <c r="B1087"/>
    </row>
    <row r="1088" spans="1:2" x14ac:dyDescent="0.2">
      <c r="A1088" t="s">
        <v>2930</v>
      </c>
      <c r="B1088"/>
    </row>
    <row r="1089" spans="1:2" x14ac:dyDescent="0.2">
      <c r="A1089" t="s">
        <v>2931</v>
      </c>
      <c r="B1089"/>
    </row>
    <row r="1090" spans="1:2" x14ac:dyDescent="0.2">
      <c r="A1090" t="s">
        <v>2932</v>
      </c>
      <c r="B1090"/>
    </row>
    <row r="1091" spans="1:2" x14ac:dyDescent="0.2">
      <c r="A1091" t="s">
        <v>2933</v>
      </c>
      <c r="B1091"/>
    </row>
    <row r="1092" spans="1:2" x14ac:dyDescent="0.2">
      <c r="A1092" t="s">
        <v>2934</v>
      </c>
      <c r="B1092"/>
    </row>
    <row r="1093" spans="1:2" x14ac:dyDescent="0.2">
      <c r="A1093" t="s">
        <v>2935</v>
      </c>
      <c r="B1093"/>
    </row>
    <row r="1094" spans="1:2" x14ac:dyDescent="0.2">
      <c r="A1094" t="s">
        <v>2936</v>
      </c>
      <c r="B1094"/>
    </row>
    <row r="1095" spans="1:2" x14ac:dyDescent="0.2">
      <c r="A1095" t="s">
        <v>2937</v>
      </c>
      <c r="B1095"/>
    </row>
    <row r="1096" spans="1:2" x14ac:dyDescent="0.2">
      <c r="A1096" t="s">
        <v>2938</v>
      </c>
      <c r="B1096"/>
    </row>
    <row r="1097" spans="1:2" x14ac:dyDescent="0.2">
      <c r="A1097" t="s">
        <v>2939</v>
      </c>
      <c r="B1097"/>
    </row>
    <row r="1098" spans="1:2" x14ac:dyDescent="0.2">
      <c r="A1098" t="s">
        <v>2940</v>
      </c>
      <c r="B1098"/>
    </row>
    <row r="1099" spans="1:2" x14ac:dyDescent="0.2">
      <c r="A1099" t="s">
        <v>2941</v>
      </c>
      <c r="B1099"/>
    </row>
    <row r="1100" spans="1:2" x14ac:dyDescent="0.2">
      <c r="A1100" t="s">
        <v>2942</v>
      </c>
      <c r="B1100"/>
    </row>
    <row r="1101" spans="1:2" x14ac:dyDescent="0.2">
      <c r="A1101" t="s">
        <v>2943</v>
      </c>
      <c r="B1101"/>
    </row>
    <row r="1102" spans="1:2" x14ac:dyDescent="0.2">
      <c r="A1102" t="s">
        <v>2944</v>
      </c>
      <c r="B1102"/>
    </row>
    <row r="1103" spans="1:2" x14ac:dyDescent="0.2">
      <c r="A1103" t="s">
        <v>2945</v>
      </c>
      <c r="B1103"/>
    </row>
    <row r="1104" spans="1:2" x14ac:dyDescent="0.2">
      <c r="A1104" t="s">
        <v>2946</v>
      </c>
      <c r="B1104"/>
    </row>
    <row r="1105" spans="1:2" x14ac:dyDescent="0.2">
      <c r="A1105" t="s">
        <v>2947</v>
      </c>
      <c r="B1105"/>
    </row>
    <row r="1106" spans="1:2" x14ac:dyDescent="0.2">
      <c r="A1106" t="s">
        <v>2948</v>
      </c>
      <c r="B1106"/>
    </row>
    <row r="1107" spans="1:2" x14ac:dyDescent="0.2">
      <c r="A1107" t="s">
        <v>2949</v>
      </c>
      <c r="B1107"/>
    </row>
    <row r="1108" spans="1:2" x14ac:dyDescent="0.2">
      <c r="A1108" t="s">
        <v>2950</v>
      </c>
      <c r="B1108"/>
    </row>
    <row r="1109" spans="1:2" x14ac:dyDescent="0.2">
      <c r="A1109" t="s">
        <v>2951</v>
      </c>
      <c r="B1109"/>
    </row>
    <row r="1110" spans="1:2" x14ac:dyDescent="0.2">
      <c r="A1110" t="s">
        <v>2952</v>
      </c>
      <c r="B1110"/>
    </row>
    <row r="1111" spans="1:2" x14ac:dyDescent="0.2">
      <c r="A1111" t="s">
        <v>2953</v>
      </c>
      <c r="B1111"/>
    </row>
    <row r="1112" spans="1:2" x14ac:dyDescent="0.2">
      <c r="A1112" t="s">
        <v>2954</v>
      </c>
      <c r="B1112"/>
    </row>
    <row r="1113" spans="1:2" x14ac:dyDescent="0.2">
      <c r="A1113" t="s">
        <v>2955</v>
      </c>
      <c r="B1113"/>
    </row>
    <row r="1114" spans="1:2" x14ac:dyDescent="0.2">
      <c r="A1114" t="s">
        <v>2956</v>
      </c>
      <c r="B1114"/>
    </row>
    <row r="1115" spans="1:2" x14ac:dyDescent="0.2">
      <c r="A1115" t="s">
        <v>2957</v>
      </c>
      <c r="B1115"/>
    </row>
    <row r="1116" spans="1:2" x14ac:dyDescent="0.2">
      <c r="A1116" t="s">
        <v>2958</v>
      </c>
      <c r="B1116"/>
    </row>
    <row r="1117" spans="1:2" x14ac:dyDescent="0.2">
      <c r="A1117" t="s">
        <v>3299</v>
      </c>
      <c r="B1117" s="1869" t="s">
        <v>4246</v>
      </c>
    </row>
    <row r="1118" spans="1:2" x14ac:dyDescent="0.2">
      <c r="A1118" t="s">
        <v>2959</v>
      </c>
      <c r="B1118"/>
    </row>
    <row r="1119" spans="1:2" x14ac:dyDescent="0.2">
      <c r="A1119" t="s">
        <v>2960</v>
      </c>
      <c r="B1119"/>
    </row>
    <row r="1120" spans="1:2" x14ac:dyDescent="0.2">
      <c r="A1120" t="s">
        <v>2961</v>
      </c>
      <c r="B1120"/>
    </row>
    <row r="1121" spans="1:3" x14ac:dyDescent="0.2">
      <c r="A1121" t="s">
        <v>2962</v>
      </c>
      <c r="B1121"/>
    </row>
    <row r="1122" spans="1:3" x14ac:dyDescent="0.2">
      <c r="A1122" t="s">
        <v>2963</v>
      </c>
      <c r="B1122"/>
    </row>
    <row r="1123" spans="1:3" x14ac:dyDescent="0.2">
      <c r="A1123" t="s">
        <v>2964</v>
      </c>
      <c r="B1123"/>
    </row>
    <row r="1124" spans="1:3" x14ac:dyDescent="0.2">
      <c r="A1124" t="s">
        <v>2965</v>
      </c>
      <c r="B1124"/>
    </row>
    <row r="1125" spans="1:3" x14ac:dyDescent="0.2">
      <c r="A1125" t="s">
        <v>2966</v>
      </c>
      <c r="B1125"/>
    </row>
    <row r="1126" spans="1:3" x14ac:dyDescent="0.2">
      <c r="A1126" t="s">
        <v>2967</v>
      </c>
      <c r="B1126"/>
    </row>
    <row r="1127" spans="1:3" x14ac:dyDescent="0.2">
      <c r="A1127" t="s">
        <v>2968</v>
      </c>
      <c r="B1127"/>
    </row>
    <row r="1128" spans="1:3" x14ac:dyDescent="0.2">
      <c r="A1128" t="s">
        <v>2969</v>
      </c>
      <c r="B1128"/>
    </row>
    <row r="1129" spans="1:3" x14ac:dyDescent="0.2">
      <c r="A1129" t="s">
        <v>2970</v>
      </c>
      <c r="B1129"/>
    </row>
    <row r="1130" spans="1:3" x14ac:dyDescent="0.2">
      <c r="A1130" t="s">
        <v>4058</v>
      </c>
      <c r="B1130"/>
    </row>
    <row r="1131" spans="1:3" x14ac:dyDescent="0.2">
      <c r="A1131" s="1452" t="s">
        <v>2971</v>
      </c>
      <c r="B1131" s="1511" t="s">
        <v>1969</v>
      </c>
      <c r="C1131" s="290">
        <v>2490</v>
      </c>
    </row>
    <row r="1132" spans="1:3" x14ac:dyDescent="0.2">
      <c r="A1132" t="s">
        <v>2972</v>
      </c>
      <c r="B1132"/>
    </row>
    <row r="1133" spans="1:3" x14ac:dyDescent="0.2">
      <c r="A1133" t="s">
        <v>2973</v>
      </c>
      <c r="B1133"/>
    </row>
    <row r="1134" spans="1:3" x14ac:dyDescent="0.2">
      <c r="A1134" t="s">
        <v>2974</v>
      </c>
      <c r="B1134" t="s">
        <v>2975</v>
      </c>
    </row>
    <row r="1135" spans="1:3" x14ac:dyDescent="0.2">
      <c r="A1135" t="s">
        <v>2976</v>
      </c>
      <c r="B1135"/>
    </row>
    <row r="1136" spans="1:3" x14ac:dyDescent="0.2">
      <c r="A1136" t="s">
        <v>2977</v>
      </c>
      <c r="B1136"/>
    </row>
    <row r="1137" spans="1:2" x14ac:dyDescent="0.2">
      <c r="A1137" t="s">
        <v>2978</v>
      </c>
      <c r="B1137"/>
    </row>
    <row r="1138" spans="1:2" x14ac:dyDescent="0.2">
      <c r="A1138" t="s">
        <v>2979</v>
      </c>
      <c r="B1138" s="272" t="s">
        <v>2041</v>
      </c>
    </row>
    <row r="1139" spans="1:2" x14ac:dyDescent="0.2">
      <c r="A1139" t="s">
        <v>4059</v>
      </c>
      <c r="B1139" s="272" t="s">
        <v>4060</v>
      </c>
    </row>
    <row r="1140" spans="1:2" x14ac:dyDescent="0.2">
      <c r="A1140" s="272" t="s">
        <v>4061</v>
      </c>
      <c r="B1140" s="272"/>
    </row>
    <row r="1141" spans="1:2" x14ac:dyDescent="0.2">
      <c r="A1141" s="272" t="s">
        <v>4247</v>
      </c>
      <c r="B1141" s="272" t="s">
        <v>4248</v>
      </c>
    </row>
    <row r="1142" spans="1:2" x14ac:dyDescent="0.2">
      <c r="A1142" t="s">
        <v>2980</v>
      </c>
      <c r="B1142" s="272"/>
    </row>
    <row r="1143" spans="1:2" x14ac:dyDescent="0.2">
      <c r="A1143" t="s">
        <v>2981</v>
      </c>
      <c r="B1143" s="272"/>
    </row>
    <row r="1144" spans="1:2" x14ac:dyDescent="0.2">
      <c r="A1144" t="s">
        <v>2982</v>
      </c>
      <c r="B1144" s="272"/>
    </row>
    <row r="1145" spans="1:2" x14ac:dyDescent="0.2">
      <c r="A1145" t="s">
        <v>2983</v>
      </c>
      <c r="B1145" s="272"/>
    </row>
    <row r="1146" spans="1:2" x14ac:dyDescent="0.2">
      <c r="A1146" t="s">
        <v>2984</v>
      </c>
      <c r="B1146" s="272"/>
    </row>
    <row r="1147" spans="1:2" x14ac:dyDescent="0.2">
      <c r="A1147" t="s">
        <v>2985</v>
      </c>
      <c r="B1147" s="272"/>
    </row>
    <row r="1148" spans="1:2" x14ac:dyDescent="0.2">
      <c r="A1148" t="s">
        <v>2986</v>
      </c>
      <c r="B1148" s="272"/>
    </row>
    <row r="1149" spans="1:2" x14ac:dyDescent="0.2">
      <c r="A1149" t="s">
        <v>2987</v>
      </c>
      <c r="B1149" s="272"/>
    </row>
    <row r="1150" spans="1:2" x14ac:dyDescent="0.2">
      <c r="A1150" t="s">
        <v>2988</v>
      </c>
      <c r="B1150" s="272"/>
    </row>
    <row r="1151" spans="1:2" x14ac:dyDescent="0.2">
      <c r="A1151" t="s">
        <v>2989</v>
      </c>
      <c r="B1151" s="272"/>
    </row>
    <row r="1152" spans="1:2" x14ac:dyDescent="0.2">
      <c r="A1152" t="s">
        <v>2990</v>
      </c>
      <c r="B1152" s="272"/>
    </row>
    <row r="1153" spans="1:2" x14ac:dyDescent="0.2">
      <c r="A1153" t="s">
        <v>2991</v>
      </c>
      <c r="B1153" s="272"/>
    </row>
    <row r="1154" spans="1:2" x14ac:dyDescent="0.2">
      <c r="A1154" t="s">
        <v>2992</v>
      </c>
      <c r="B1154" s="272"/>
    </row>
    <row r="1155" spans="1:2" x14ac:dyDescent="0.2">
      <c r="A1155" t="s">
        <v>2993</v>
      </c>
      <c r="B1155" s="272"/>
    </row>
    <row r="1156" spans="1:2" x14ac:dyDescent="0.2">
      <c r="A1156" t="s">
        <v>2994</v>
      </c>
      <c r="B1156" s="272"/>
    </row>
    <row r="1157" spans="1:2" x14ac:dyDescent="0.2">
      <c r="A1157" s="356" t="s">
        <v>2995</v>
      </c>
      <c r="B1157" s="272"/>
    </row>
    <row r="1158" spans="1:2" x14ac:dyDescent="0.2">
      <c r="A1158" t="s">
        <v>2996</v>
      </c>
      <c r="B1158" s="272"/>
    </row>
    <row r="1159" spans="1:2" x14ac:dyDescent="0.2">
      <c r="A1159" s="272" t="s">
        <v>4062</v>
      </c>
      <c r="B1159" s="272" t="s">
        <v>4063</v>
      </c>
    </row>
    <row r="1160" spans="1:2" x14ac:dyDescent="0.2">
      <c r="A1160" s="272" t="s">
        <v>4064</v>
      </c>
      <c r="B1160" s="272" t="s">
        <v>4060</v>
      </c>
    </row>
    <row r="1161" spans="1:2" x14ac:dyDescent="0.2">
      <c r="A1161" s="272" t="s">
        <v>4065</v>
      </c>
      <c r="B1161" s="272" t="s">
        <v>4060</v>
      </c>
    </row>
    <row r="1162" spans="1:2" x14ac:dyDescent="0.2">
      <c r="A1162" s="272" t="s">
        <v>4066</v>
      </c>
      <c r="B1162" s="272" t="s">
        <v>4060</v>
      </c>
    </row>
    <row r="1163" spans="1:2" x14ac:dyDescent="0.2">
      <c r="A1163" t="s">
        <v>2997</v>
      </c>
      <c r="B1163" s="272"/>
    </row>
    <row r="1164" spans="1:2" x14ac:dyDescent="0.2">
      <c r="A1164" t="s">
        <v>2998</v>
      </c>
      <c r="B1164"/>
    </row>
    <row r="1165" spans="1:2" x14ac:dyDescent="0.2">
      <c r="A1165" t="s">
        <v>2999</v>
      </c>
      <c r="B1165"/>
    </row>
    <row r="1166" spans="1:2" x14ac:dyDescent="0.2">
      <c r="A1166" t="s">
        <v>3000</v>
      </c>
      <c r="B1166"/>
    </row>
    <row r="1167" spans="1:2" x14ac:dyDescent="0.2">
      <c r="A1167" t="s">
        <v>3002</v>
      </c>
      <c r="B1167" s="272"/>
    </row>
    <row r="1168" spans="1:2" x14ac:dyDescent="0.2">
      <c r="A1168" t="s">
        <v>3773</v>
      </c>
      <c r="B1168" s="272" t="s">
        <v>3774</v>
      </c>
    </row>
    <row r="1169" spans="1:2" x14ac:dyDescent="0.2">
      <c r="A1169" t="s">
        <v>3003</v>
      </c>
      <c r="B1169" s="272"/>
    </row>
    <row r="1170" spans="1:2" x14ac:dyDescent="0.2">
      <c r="A1170" t="s">
        <v>3004</v>
      </c>
      <c r="B1170" s="272" t="s">
        <v>2453</v>
      </c>
    </row>
    <row r="1171" spans="1:2" x14ac:dyDescent="0.2">
      <c r="A1171" t="s">
        <v>3005</v>
      </c>
      <c r="B1171" s="272" t="s">
        <v>2054</v>
      </c>
    </row>
    <row r="1172" spans="1:2" x14ac:dyDescent="0.2">
      <c r="A1172" t="s">
        <v>3006</v>
      </c>
      <c r="B1172" s="272" t="s">
        <v>2041</v>
      </c>
    </row>
    <row r="1173" spans="1:2" x14ac:dyDescent="0.2">
      <c r="A1173" t="s">
        <v>3775</v>
      </c>
      <c r="B1173" s="272" t="s">
        <v>3776</v>
      </c>
    </row>
    <row r="1174" spans="1:2" x14ac:dyDescent="0.2">
      <c r="A1174" t="s">
        <v>3007</v>
      </c>
      <c r="B1174" s="272"/>
    </row>
    <row r="1175" spans="1:2" x14ac:dyDescent="0.2">
      <c r="A1175" t="s">
        <v>3942</v>
      </c>
      <c r="B1175" s="272" t="s">
        <v>3943</v>
      </c>
    </row>
    <row r="1176" spans="1:2" x14ac:dyDescent="0.2">
      <c r="A1176" s="272" t="s">
        <v>4437</v>
      </c>
      <c r="B1176" s="272" t="s">
        <v>4438</v>
      </c>
    </row>
    <row r="1177" spans="1:2" x14ac:dyDescent="0.2">
      <c r="A1177" t="s">
        <v>3008</v>
      </c>
      <c r="B1177" s="272"/>
    </row>
    <row r="1178" spans="1:2" x14ac:dyDescent="0.2">
      <c r="A1178" t="s">
        <v>3009</v>
      </c>
      <c r="B1178"/>
    </row>
    <row r="1179" spans="1:2" x14ac:dyDescent="0.2">
      <c r="A1179" t="s">
        <v>3010</v>
      </c>
      <c r="B1179"/>
    </row>
    <row r="1180" spans="1:2" x14ac:dyDescent="0.2">
      <c r="A1180" t="s">
        <v>3011</v>
      </c>
      <c r="B1180"/>
    </row>
    <row r="1181" spans="1:2" x14ac:dyDescent="0.2">
      <c r="A1181" t="s">
        <v>3012</v>
      </c>
      <c r="B1181" t="s">
        <v>2877</v>
      </c>
    </row>
    <row r="1182" spans="1:2" x14ac:dyDescent="0.2">
      <c r="A1182" t="s">
        <v>3013</v>
      </c>
      <c r="B1182" t="s">
        <v>2877</v>
      </c>
    </row>
    <row r="1183" spans="1:2" x14ac:dyDescent="0.2">
      <c r="A1183" t="s">
        <v>3014</v>
      </c>
      <c r="B1183"/>
    </row>
    <row r="1184" spans="1:2" x14ac:dyDescent="0.2">
      <c r="A1184" t="s">
        <v>3015</v>
      </c>
      <c r="B1184"/>
    </row>
    <row r="1185" spans="1:2" x14ac:dyDescent="0.2">
      <c r="A1185" t="s">
        <v>3016</v>
      </c>
      <c r="B1185"/>
    </row>
    <row r="1186" spans="1:2" x14ac:dyDescent="0.2">
      <c r="A1186" t="s">
        <v>3017</v>
      </c>
      <c r="B1186"/>
    </row>
    <row r="1187" spans="1:2" x14ac:dyDescent="0.2">
      <c r="A1187" t="s">
        <v>3018</v>
      </c>
      <c r="B1187"/>
    </row>
    <row r="1188" spans="1:2" x14ac:dyDescent="0.2">
      <c r="A1188" t="s">
        <v>3019</v>
      </c>
      <c r="B1188"/>
    </row>
    <row r="1189" spans="1:2" x14ac:dyDescent="0.2">
      <c r="A1189" t="s">
        <v>3020</v>
      </c>
      <c r="B1189"/>
    </row>
    <row r="1190" spans="1:2" x14ac:dyDescent="0.2">
      <c r="A1190" t="s">
        <v>3021</v>
      </c>
      <c r="B1190" t="s">
        <v>2041</v>
      </c>
    </row>
    <row r="1191" spans="1:2" x14ac:dyDescent="0.2">
      <c r="A1191" t="s">
        <v>3022</v>
      </c>
      <c r="B1191" s="272" t="s">
        <v>3023</v>
      </c>
    </row>
    <row r="1192" spans="1:2" x14ac:dyDescent="0.2">
      <c r="A1192" t="s">
        <v>3024</v>
      </c>
      <c r="B1192" t="s">
        <v>3025</v>
      </c>
    </row>
    <row r="1193" spans="1:2" x14ac:dyDescent="0.2">
      <c r="A1193" t="s">
        <v>3026</v>
      </c>
      <c r="B1193"/>
    </row>
    <row r="1194" spans="1:2" x14ac:dyDescent="0.2">
      <c r="A1194" t="s">
        <v>3027</v>
      </c>
      <c r="B1194"/>
    </row>
    <row r="1195" spans="1:2" x14ac:dyDescent="0.2">
      <c r="A1195" t="s">
        <v>3028</v>
      </c>
      <c r="B1195"/>
    </row>
    <row r="1196" spans="1:2" x14ac:dyDescent="0.2">
      <c r="A1196" t="s">
        <v>3029</v>
      </c>
      <c r="B1196" t="s">
        <v>3030</v>
      </c>
    </row>
    <row r="1197" spans="1:2" x14ac:dyDescent="0.2">
      <c r="A1197" t="s">
        <v>3031</v>
      </c>
      <c r="B1197" t="s">
        <v>3030</v>
      </c>
    </row>
    <row r="1198" spans="1:2" x14ac:dyDescent="0.2">
      <c r="A1198" t="s">
        <v>3032</v>
      </c>
      <c r="B1198"/>
    </row>
    <row r="1199" spans="1:2" x14ac:dyDescent="0.2">
      <c r="A1199" t="s">
        <v>3033</v>
      </c>
      <c r="B1199"/>
    </row>
    <row r="1200" spans="1:2" x14ac:dyDescent="0.2">
      <c r="A1200" t="s">
        <v>3034</v>
      </c>
      <c r="B1200"/>
    </row>
    <row r="1201" spans="1:3" x14ac:dyDescent="0.2">
      <c r="A1201" s="1452" t="s">
        <v>3035</v>
      </c>
      <c r="B1201" s="1511" t="s">
        <v>1969</v>
      </c>
      <c r="C1201" s="290">
        <v>2490</v>
      </c>
    </row>
    <row r="1202" spans="1:3" x14ac:dyDescent="0.2">
      <c r="A1202" s="1457" t="s">
        <v>3036</v>
      </c>
      <c r="B1202" s="1542"/>
    </row>
    <row r="1203" spans="1:3" x14ac:dyDescent="0.2">
      <c r="A1203" s="1311" t="s">
        <v>395</v>
      </c>
      <c r="B1203" s="1511"/>
      <c r="C1203" s="290">
        <v>2510</v>
      </c>
    </row>
    <row r="1204" spans="1:3" x14ac:dyDescent="0.2">
      <c r="A1204" s="272" t="s">
        <v>3037</v>
      </c>
      <c r="B1204" s="1516"/>
    </row>
    <row r="1205" spans="1:3" ht="25.5" x14ac:dyDescent="0.2">
      <c r="A1205" s="1460" t="s">
        <v>3777</v>
      </c>
      <c r="B1205" s="1497" t="s">
        <v>3778</v>
      </c>
    </row>
    <row r="1206" spans="1:3" x14ac:dyDescent="0.2">
      <c r="A1206" s="1452" t="s">
        <v>396</v>
      </c>
      <c r="B1206" s="1543"/>
      <c r="C1206" s="290">
        <v>2520</v>
      </c>
    </row>
    <row r="1207" spans="1:3" x14ac:dyDescent="0.2">
      <c r="A1207" s="1452" t="s">
        <v>3038</v>
      </c>
      <c r="B1207" s="1511" t="s">
        <v>1969</v>
      </c>
      <c r="C1207" s="290">
        <v>2520</v>
      </c>
    </row>
    <row r="1208" spans="1:3" x14ac:dyDescent="0.2">
      <c r="A1208" t="s">
        <v>3039</v>
      </c>
      <c r="B1208"/>
    </row>
    <row r="1209" spans="1:3" x14ac:dyDescent="0.2">
      <c r="A1209" t="s">
        <v>3040</v>
      </c>
      <c r="B1209"/>
    </row>
    <row r="1210" spans="1:3" x14ac:dyDescent="0.2">
      <c r="A1210" s="272" t="s">
        <v>3041</v>
      </c>
      <c r="B1210"/>
    </row>
    <row r="1211" spans="1:3" x14ac:dyDescent="0.2">
      <c r="A1211" t="s">
        <v>3042</v>
      </c>
      <c r="B1211"/>
    </row>
    <row r="1212" spans="1:3" x14ac:dyDescent="0.2">
      <c r="A1212" t="s">
        <v>3043</v>
      </c>
      <c r="B1212"/>
    </row>
    <row r="1213" spans="1:3" x14ac:dyDescent="0.2">
      <c r="A1213" t="s">
        <v>3044</v>
      </c>
      <c r="B1213"/>
    </row>
    <row r="1214" spans="1:3" x14ac:dyDescent="0.2">
      <c r="A1214" s="272" t="s">
        <v>4067</v>
      </c>
      <c r="B1214" s="272" t="s">
        <v>4060</v>
      </c>
    </row>
    <row r="1215" spans="1:3" x14ac:dyDescent="0.2">
      <c r="A1215" s="272" t="s">
        <v>3779</v>
      </c>
      <c r="B1215" s="272" t="s">
        <v>3780</v>
      </c>
    </row>
    <row r="1216" spans="1:3" x14ac:dyDescent="0.2">
      <c r="A1216" t="s">
        <v>3045</v>
      </c>
      <c r="B1216" s="272" t="s">
        <v>3046</v>
      </c>
    </row>
    <row r="1217" spans="1:2" x14ac:dyDescent="0.2">
      <c r="A1217" t="s">
        <v>3047</v>
      </c>
      <c r="B1217" s="272" t="s">
        <v>3048</v>
      </c>
    </row>
    <row r="1218" spans="1:2" x14ac:dyDescent="0.2">
      <c r="A1218" t="s">
        <v>3049</v>
      </c>
      <c r="B1218" s="272" t="s">
        <v>3048</v>
      </c>
    </row>
    <row r="1219" spans="1:2" x14ac:dyDescent="0.2">
      <c r="A1219" t="s">
        <v>3050</v>
      </c>
      <c r="B1219" s="272" t="s">
        <v>3048</v>
      </c>
    </row>
    <row r="1220" spans="1:2" x14ac:dyDescent="0.2">
      <c r="A1220" s="272" t="s">
        <v>3781</v>
      </c>
      <c r="B1220" s="272" t="s">
        <v>4070</v>
      </c>
    </row>
    <row r="1221" spans="1:2" x14ac:dyDescent="0.2">
      <c r="A1221" t="s">
        <v>3051</v>
      </c>
      <c r="B1221" s="272" t="s">
        <v>3048</v>
      </c>
    </row>
    <row r="1222" spans="1:2" x14ac:dyDescent="0.2">
      <c r="A1222" t="s">
        <v>3052</v>
      </c>
      <c r="B1222" s="272"/>
    </row>
    <row r="1223" spans="1:2" x14ac:dyDescent="0.2">
      <c r="A1223" t="s">
        <v>3053</v>
      </c>
      <c r="B1223" s="272"/>
    </row>
    <row r="1224" spans="1:2" x14ac:dyDescent="0.2">
      <c r="A1224" s="272" t="s">
        <v>3782</v>
      </c>
      <c r="B1224" s="272" t="s">
        <v>3776</v>
      </c>
    </row>
    <row r="1225" spans="1:2" x14ac:dyDescent="0.2">
      <c r="A1225" s="272" t="s">
        <v>3783</v>
      </c>
      <c r="B1225" s="272" t="s">
        <v>3776</v>
      </c>
    </row>
    <row r="1226" spans="1:2" x14ac:dyDescent="0.2">
      <c r="A1226" t="s">
        <v>3054</v>
      </c>
      <c r="B1226"/>
    </row>
    <row r="1227" spans="1:2" x14ac:dyDescent="0.2">
      <c r="A1227" t="s">
        <v>3055</v>
      </c>
      <c r="B1227"/>
    </row>
    <row r="1228" spans="1:2" x14ac:dyDescent="0.2">
      <c r="A1228" t="s">
        <v>3056</v>
      </c>
      <c r="B1228"/>
    </row>
    <row r="1229" spans="1:2" x14ac:dyDescent="0.2">
      <c r="A1229" t="s">
        <v>3057</v>
      </c>
      <c r="B1229"/>
    </row>
    <row r="1230" spans="1:2" x14ac:dyDescent="0.2">
      <c r="A1230" t="s">
        <v>3058</v>
      </c>
      <c r="B1230"/>
    </row>
    <row r="1231" spans="1:2" x14ac:dyDescent="0.2">
      <c r="A1231" t="s">
        <v>3059</v>
      </c>
      <c r="B1231"/>
    </row>
    <row r="1232" spans="1:2" x14ac:dyDescent="0.2">
      <c r="A1232" t="s">
        <v>3060</v>
      </c>
      <c r="B1232"/>
    </row>
    <row r="1233" spans="1:2" x14ac:dyDescent="0.2">
      <c r="A1233" t="s">
        <v>3061</v>
      </c>
      <c r="B1233" s="272"/>
    </row>
    <row r="1234" spans="1:2" x14ac:dyDescent="0.2">
      <c r="A1234" t="s">
        <v>3062</v>
      </c>
      <c r="B1234" s="272"/>
    </row>
    <row r="1235" spans="1:2" x14ac:dyDescent="0.2">
      <c r="A1235" t="s">
        <v>3063</v>
      </c>
      <c r="B1235" s="272"/>
    </row>
    <row r="1236" spans="1:2" x14ac:dyDescent="0.2">
      <c r="A1236" t="s">
        <v>3147</v>
      </c>
      <c r="B1236" s="272" t="s">
        <v>3909</v>
      </c>
    </row>
    <row r="1237" spans="1:2" x14ac:dyDescent="0.2">
      <c r="A1237" t="s">
        <v>3062</v>
      </c>
      <c r="B1237" s="272"/>
    </row>
    <row r="1238" spans="1:2" x14ac:dyDescent="0.2">
      <c r="A1238" t="s">
        <v>3064</v>
      </c>
      <c r="B1238" s="272"/>
    </row>
    <row r="1239" spans="1:2" x14ac:dyDescent="0.2">
      <c r="A1239" t="s">
        <v>3065</v>
      </c>
      <c r="B1239" s="272"/>
    </row>
    <row r="1240" spans="1:2" x14ac:dyDescent="0.2">
      <c r="A1240" t="s">
        <v>3066</v>
      </c>
      <c r="B1240" s="272"/>
    </row>
    <row r="1241" spans="1:2" x14ac:dyDescent="0.2">
      <c r="A1241" t="s">
        <v>4068</v>
      </c>
      <c r="B1241" s="272" t="s">
        <v>4069</v>
      </c>
    </row>
    <row r="1242" spans="1:2" x14ac:dyDescent="0.2">
      <c r="A1242" t="s">
        <v>3067</v>
      </c>
      <c r="B1242" s="272"/>
    </row>
    <row r="1243" spans="1:2" x14ac:dyDescent="0.2">
      <c r="A1243" t="s">
        <v>3068</v>
      </c>
      <c r="B1243" s="272"/>
    </row>
    <row r="1244" spans="1:2" x14ac:dyDescent="0.2">
      <c r="A1244" t="s">
        <v>3069</v>
      </c>
      <c r="B1244"/>
    </row>
    <row r="1245" spans="1:2" x14ac:dyDescent="0.2">
      <c r="A1245" t="s">
        <v>3070</v>
      </c>
      <c r="B1245"/>
    </row>
    <row r="1246" spans="1:2" x14ac:dyDescent="0.2">
      <c r="A1246" t="s">
        <v>3071</v>
      </c>
      <c r="B1246" t="s">
        <v>3072</v>
      </c>
    </row>
    <row r="1247" spans="1:2" x14ac:dyDescent="0.2">
      <c r="A1247" s="1465" t="s">
        <v>3073</v>
      </c>
      <c r="B1247" t="s">
        <v>2054</v>
      </c>
    </row>
    <row r="1248" spans="1:2" x14ac:dyDescent="0.2">
      <c r="A1248" s="1465" t="s">
        <v>3074</v>
      </c>
      <c r="B1248" t="s">
        <v>2054</v>
      </c>
    </row>
    <row r="1249" spans="1:2" x14ac:dyDescent="0.2">
      <c r="A1249" t="s">
        <v>3075</v>
      </c>
      <c r="B1249" t="s">
        <v>3076</v>
      </c>
    </row>
    <row r="1250" spans="1:2" x14ac:dyDescent="0.2">
      <c r="A1250" t="s">
        <v>3077</v>
      </c>
      <c r="B1250"/>
    </row>
    <row r="1251" spans="1:2" x14ac:dyDescent="0.2">
      <c r="A1251" t="s">
        <v>3078</v>
      </c>
      <c r="B1251"/>
    </row>
    <row r="1252" spans="1:2" x14ac:dyDescent="0.2">
      <c r="A1252" t="s">
        <v>3079</v>
      </c>
      <c r="B1252"/>
    </row>
    <row r="1253" spans="1:2" x14ac:dyDescent="0.2">
      <c r="A1253" t="s">
        <v>3080</v>
      </c>
      <c r="B1253"/>
    </row>
    <row r="1254" spans="1:2" x14ac:dyDescent="0.2">
      <c r="A1254" t="s">
        <v>3081</v>
      </c>
      <c r="B1254"/>
    </row>
    <row r="1255" spans="1:2" x14ac:dyDescent="0.2">
      <c r="A1255" t="s">
        <v>3082</v>
      </c>
      <c r="B1255"/>
    </row>
    <row r="1256" spans="1:2" x14ac:dyDescent="0.2">
      <c r="A1256" t="s">
        <v>3083</v>
      </c>
      <c r="B1256"/>
    </row>
    <row r="1257" spans="1:2" x14ac:dyDescent="0.2">
      <c r="A1257" t="s">
        <v>3084</v>
      </c>
      <c r="B1257"/>
    </row>
    <row r="1258" spans="1:2" x14ac:dyDescent="0.2">
      <c r="A1258" t="s">
        <v>3085</v>
      </c>
      <c r="B1258"/>
    </row>
    <row r="1259" spans="1:2" x14ac:dyDescent="0.2">
      <c r="A1259" t="s">
        <v>3086</v>
      </c>
      <c r="B1259"/>
    </row>
    <row r="1260" spans="1:2" x14ac:dyDescent="0.2">
      <c r="A1260" t="s">
        <v>3087</v>
      </c>
      <c r="B1260"/>
    </row>
    <row r="1261" spans="1:2" x14ac:dyDescent="0.2">
      <c r="A1261" t="s">
        <v>3088</v>
      </c>
      <c r="B1261"/>
    </row>
    <row r="1262" spans="1:2" x14ac:dyDescent="0.2">
      <c r="A1262" t="s">
        <v>3089</v>
      </c>
      <c r="B1262"/>
    </row>
    <row r="1263" spans="1:2" x14ac:dyDescent="0.2">
      <c r="A1263" t="s">
        <v>3090</v>
      </c>
      <c r="B1263"/>
    </row>
    <row r="1264" spans="1:2" x14ac:dyDescent="0.2">
      <c r="A1264" t="s">
        <v>3091</v>
      </c>
      <c r="B1264"/>
    </row>
    <row r="1265" spans="1:3" x14ac:dyDescent="0.2">
      <c r="A1265" t="s">
        <v>3092</v>
      </c>
      <c r="B1265"/>
    </row>
    <row r="1266" spans="1:3" x14ac:dyDescent="0.2">
      <c r="A1266" t="s">
        <v>3093</v>
      </c>
      <c r="B1266"/>
    </row>
    <row r="1267" spans="1:3" x14ac:dyDescent="0.2">
      <c r="A1267" t="s">
        <v>3094</v>
      </c>
      <c r="B1267"/>
    </row>
    <row r="1268" spans="1:3" x14ac:dyDescent="0.2">
      <c r="A1268" t="s">
        <v>3095</v>
      </c>
      <c r="B1268"/>
    </row>
    <row r="1269" spans="1:3" x14ac:dyDescent="0.2">
      <c r="A1269" t="s">
        <v>3096</v>
      </c>
      <c r="B1269"/>
    </row>
    <row r="1270" spans="1:3" x14ac:dyDescent="0.2">
      <c r="A1270" t="s">
        <v>3097</v>
      </c>
      <c r="B1270"/>
    </row>
    <row r="1271" spans="1:3" x14ac:dyDescent="0.2">
      <c r="A1271" t="s">
        <v>3098</v>
      </c>
      <c r="B1271"/>
    </row>
    <row r="1272" spans="1:3" x14ac:dyDescent="0.2">
      <c r="A1272" s="1452" t="s">
        <v>3099</v>
      </c>
      <c r="B1272" s="1511" t="s">
        <v>1969</v>
      </c>
      <c r="C1272" s="290">
        <v>2520</v>
      </c>
    </row>
    <row r="1273" spans="1:3" x14ac:dyDescent="0.2">
      <c r="A1273" t="s">
        <v>3100</v>
      </c>
      <c r="B1273"/>
    </row>
    <row r="1274" spans="1:3" x14ac:dyDescent="0.2">
      <c r="A1274" t="s">
        <v>3101</v>
      </c>
      <c r="B1274"/>
    </row>
    <row r="1275" spans="1:3" x14ac:dyDescent="0.2">
      <c r="A1275" t="s">
        <v>3102</v>
      </c>
      <c r="B1275"/>
    </row>
    <row r="1276" spans="1:3" x14ac:dyDescent="0.2">
      <c r="A1276" t="s">
        <v>3103</v>
      </c>
      <c r="B1276"/>
    </row>
    <row r="1277" spans="1:3" x14ac:dyDescent="0.2">
      <c r="A1277" t="s">
        <v>3104</v>
      </c>
      <c r="B1277"/>
    </row>
    <row r="1278" spans="1:3" x14ac:dyDescent="0.2">
      <c r="A1278" t="s">
        <v>3105</v>
      </c>
      <c r="B1278"/>
    </row>
    <row r="1279" spans="1:3" x14ac:dyDescent="0.2">
      <c r="A1279" t="s">
        <v>3106</v>
      </c>
      <c r="B1279"/>
    </row>
    <row r="1280" spans="1:3" x14ac:dyDescent="0.2">
      <c r="A1280" t="s">
        <v>3107</v>
      </c>
      <c r="B1280"/>
    </row>
    <row r="1281" spans="1:3" x14ac:dyDescent="0.2">
      <c r="A1281" t="s">
        <v>3108</v>
      </c>
      <c r="B1281"/>
    </row>
    <row r="1282" spans="1:3" x14ac:dyDescent="0.2">
      <c r="A1282" s="1452" t="s">
        <v>3109</v>
      </c>
      <c r="B1282" s="1511" t="s">
        <v>1969</v>
      </c>
      <c r="C1282" s="290">
        <v>2520</v>
      </c>
    </row>
    <row r="1283" spans="1:3" x14ac:dyDescent="0.2">
      <c r="A1283" t="s">
        <v>3110</v>
      </c>
      <c r="B1283"/>
    </row>
    <row r="1284" spans="1:3" x14ac:dyDescent="0.2">
      <c r="A1284" t="s">
        <v>3111</v>
      </c>
      <c r="B1284"/>
    </row>
    <row r="1285" spans="1:3" x14ac:dyDescent="0.2">
      <c r="A1285" t="s">
        <v>3112</v>
      </c>
      <c r="B1285"/>
    </row>
    <row r="1286" spans="1:3" x14ac:dyDescent="0.2">
      <c r="A1286" t="s">
        <v>3113</v>
      </c>
      <c r="B1286"/>
    </row>
    <row r="1287" spans="1:3" x14ac:dyDescent="0.2">
      <c r="A1287" t="s">
        <v>3114</v>
      </c>
      <c r="B1287"/>
    </row>
    <row r="1288" spans="1:3" x14ac:dyDescent="0.2">
      <c r="A1288" t="s">
        <v>3115</v>
      </c>
      <c r="B1288"/>
    </row>
    <row r="1289" spans="1:3" x14ac:dyDescent="0.2">
      <c r="A1289" t="s">
        <v>3116</v>
      </c>
      <c r="B1289"/>
    </row>
    <row r="1290" spans="1:3" x14ac:dyDescent="0.2">
      <c r="A1290" t="s">
        <v>3117</v>
      </c>
      <c r="B1290"/>
    </row>
    <row r="1291" spans="1:3" x14ac:dyDescent="0.2">
      <c r="A1291" t="s">
        <v>3118</v>
      </c>
      <c r="B1291"/>
    </row>
    <row r="1292" spans="1:3" x14ac:dyDescent="0.2">
      <c r="A1292" t="s">
        <v>3119</v>
      </c>
      <c r="B1292"/>
    </row>
    <row r="1293" spans="1:3" x14ac:dyDescent="0.2">
      <c r="A1293" t="s">
        <v>3120</v>
      </c>
      <c r="B1293"/>
    </row>
    <row r="1294" spans="1:3" x14ac:dyDescent="0.2">
      <c r="A1294" t="s">
        <v>3121</v>
      </c>
      <c r="B1294"/>
    </row>
    <row r="1295" spans="1:3" x14ac:dyDescent="0.2">
      <c r="A1295" t="s">
        <v>3122</v>
      </c>
      <c r="B1295"/>
    </row>
    <row r="1296" spans="1:3" x14ac:dyDescent="0.2">
      <c r="A1296" t="s">
        <v>3123</v>
      </c>
      <c r="B1296"/>
    </row>
    <row r="1297" spans="1:3" x14ac:dyDescent="0.2">
      <c r="A1297" t="s">
        <v>3124</v>
      </c>
      <c r="B1297"/>
    </row>
    <row r="1298" spans="1:3" x14ac:dyDescent="0.2">
      <c r="A1298" t="s">
        <v>3125</v>
      </c>
      <c r="B1298"/>
    </row>
    <row r="1299" spans="1:3" x14ac:dyDescent="0.2">
      <c r="A1299" t="s">
        <v>3126</v>
      </c>
      <c r="B1299"/>
    </row>
    <row r="1300" spans="1:3" x14ac:dyDescent="0.2">
      <c r="A1300" t="s">
        <v>3127</v>
      </c>
      <c r="B1300"/>
    </row>
    <row r="1301" spans="1:3" x14ac:dyDescent="0.2">
      <c r="A1301" t="s">
        <v>3128</v>
      </c>
      <c r="B1301"/>
    </row>
    <row r="1302" spans="1:3" x14ac:dyDescent="0.2">
      <c r="A1302" t="s">
        <v>3129</v>
      </c>
      <c r="B1302"/>
    </row>
    <row r="1303" spans="1:3" x14ac:dyDescent="0.2">
      <c r="A1303" t="s">
        <v>3130</v>
      </c>
      <c r="B1303"/>
    </row>
    <row r="1304" spans="1:3" x14ac:dyDescent="0.2">
      <c r="A1304" s="1452" t="s">
        <v>3131</v>
      </c>
      <c r="B1304" s="1511" t="s">
        <v>1969</v>
      </c>
      <c r="C1304" s="290">
        <v>2520</v>
      </c>
    </row>
    <row r="1305" spans="1:3" x14ac:dyDescent="0.2">
      <c r="A1305" s="1465" t="s">
        <v>3132</v>
      </c>
      <c r="B1305" s="272" t="s">
        <v>3133</v>
      </c>
    </row>
    <row r="1306" spans="1:3" x14ac:dyDescent="0.2">
      <c r="A1306" t="s">
        <v>3134</v>
      </c>
      <c r="B1306"/>
    </row>
    <row r="1307" spans="1:3" x14ac:dyDescent="0.2">
      <c r="A1307" t="s">
        <v>3135</v>
      </c>
      <c r="B1307"/>
    </row>
    <row r="1308" spans="1:3" x14ac:dyDescent="0.2">
      <c r="A1308" t="s">
        <v>3136</v>
      </c>
      <c r="B1308"/>
    </row>
    <row r="1309" spans="1:3" x14ac:dyDescent="0.2">
      <c r="A1309" t="s">
        <v>3137</v>
      </c>
      <c r="B1309"/>
    </row>
    <row r="1310" spans="1:3" x14ac:dyDescent="0.2">
      <c r="A1310" t="s">
        <v>3138</v>
      </c>
      <c r="B1310"/>
    </row>
    <row r="1311" spans="1:3" x14ac:dyDescent="0.2">
      <c r="A1311" t="s">
        <v>3139</v>
      </c>
      <c r="B1311" t="s">
        <v>3046</v>
      </c>
    </row>
    <row r="1312" spans="1:3" x14ac:dyDescent="0.2">
      <c r="A1312" t="s">
        <v>3140</v>
      </c>
      <c r="B1312" t="s">
        <v>3046</v>
      </c>
    </row>
    <row r="1313" spans="1:3" x14ac:dyDescent="0.2">
      <c r="A1313" t="s">
        <v>3141</v>
      </c>
      <c r="B1313" t="s">
        <v>3048</v>
      </c>
    </row>
    <row r="1314" spans="1:3" x14ac:dyDescent="0.2">
      <c r="A1314" t="s">
        <v>3142</v>
      </c>
      <c r="B1314" t="s">
        <v>3048</v>
      </c>
    </row>
    <row r="1315" spans="1:3" x14ac:dyDescent="0.2">
      <c r="B1315"/>
    </row>
    <row r="1316" spans="1:3" x14ac:dyDescent="0.2">
      <c r="A1316" s="1452" t="s">
        <v>3143</v>
      </c>
      <c r="B1316" s="1511" t="s">
        <v>1969</v>
      </c>
      <c r="C1316" s="290">
        <v>2520</v>
      </c>
    </row>
    <row r="1317" spans="1:3" x14ac:dyDescent="0.2">
      <c r="A1317" t="s">
        <v>3144</v>
      </c>
      <c r="B1317"/>
    </row>
    <row r="1318" spans="1:3" x14ac:dyDescent="0.2">
      <c r="A1318" t="s">
        <v>3145</v>
      </c>
      <c r="B1318" s="272" t="s">
        <v>3048</v>
      </c>
    </row>
    <row r="1319" spans="1:3" x14ac:dyDescent="0.2">
      <c r="A1319" s="272" t="s">
        <v>3784</v>
      </c>
      <c r="B1319" s="272" t="s">
        <v>3776</v>
      </c>
    </row>
    <row r="1320" spans="1:3" x14ac:dyDescent="0.2">
      <c r="A1320" s="272" t="s">
        <v>3785</v>
      </c>
      <c r="B1320" s="272" t="s">
        <v>3776</v>
      </c>
    </row>
    <row r="1321" spans="1:3" x14ac:dyDescent="0.2">
      <c r="A1321" s="272" t="s">
        <v>3786</v>
      </c>
      <c r="B1321" s="272" t="s">
        <v>3776</v>
      </c>
    </row>
    <row r="1322" spans="1:3" x14ac:dyDescent="0.2">
      <c r="A1322" s="272" t="s">
        <v>3787</v>
      </c>
      <c r="B1322" s="272" t="s">
        <v>3776</v>
      </c>
    </row>
    <row r="1323" spans="1:3" x14ac:dyDescent="0.2">
      <c r="A1323" s="272" t="s">
        <v>3788</v>
      </c>
      <c r="B1323" s="272" t="s">
        <v>3776</v>
      </c>
    </row>
    <row r="1324" spans="1:3" x14ac:dyDescent="0.2">
      <c r="A1324" s="272" t="s">
        <v>3789</v>
      </c>
      <c r="B1324" s="272" t="s">
        <v>3776</v>
      </c>
    </row>
    <row r="1325" spans="1:3" x14ac:dyDescent="0.2">
      <c r="A1325" s="1452" t="s">
        <v>3146</v>
      </c>
      <c r="B1325" s="1511" t="s">
        <v>1969</v>
      </c>
      <c r="C1325" s="290">
        <v>2520</v>
      </c>
    </row>
    <row r="1326" spans="1:3" x14ac:dyDescent="0.2">
      <c r="A1326" t="s">
        <v>3147</v>
      </c>
      <c r="B1326"/>
    </row>
    <row r="1327" spans="1:3" x14ac:dyDescent="0.2">
      <c r="A1327" t="s">
        <v>3148</v>
      </c>
      <c r="B1327"/>
    </row>
    <row r="1328" spans="1:3" x14ac:dyDescent="0.2">
      <c r="A1328" t="s">
        <v>3149</v>
      </c>
      <c r="B1328"/>
    </row>
    <row r="1329" spans="1:2" x14ac:dyDescent="0.2">
      <c r="A1329" t="s">
        <v>3150</v>
      </c>
      <c r="B1329"/>
    </row>
    <row r="1330" spans="1:2" x14ac:dyDescent="0.2">
      <c r="A1330" t="s">
        <v>3151</v>
      </c>
      <c r="B1330"/>
    </row>
    <row r="1331" spans="1:2" x14ac:dyDescent="0.2">
      <c r="A1331" t="s">
        <v>3152</v>
      </c>
      <c r="B1331"/>
    </row>
    <row r="1332" spans="1:2" x14ac:dyDescent="0.2">
      <c r="A1332" t="s">
        <v>3153</v>
      </c>
      <c r="B1332" t="s">
        <v>3048</v>
      </c>
    </row>
    <row r="1333" spans="1:2" x14ac:dyDescent="0.2">
      <c r="A1333" t="s">
        <v>3154</v>
      </c>
      <c r="B1333" t="s">
        <v>3048</v>
      </c>
    </row>
    <row r="1334" spans="1:2" x14ac:dyDescent="0.2">
      <c r="A1334" t="s">
        <v>3155</v>
      </c>
      <c r="B1334" t="s">
        <v>3048</v>
      </c>
    </row>
    <row r="1335" spans="1:2" x14ac:dyDescent="0.2">
      <c r="A1335" t="s">
        <v>3156</v>
      </c>
      <c r="B1335" t="s">
        <v>3048</v>
      </c>
    </row>
    <row r="1336" spans="1:2" x14ac:dyDescent="0.2">
      <c r="A1336" t="s">
        <v>3157</v>
      </c>
      <c r="B1336" t="s">
        <v>3048</v>
      </c>
    </row>
    <row r="1337" spans="1:2" x14ac:dyDescent="0.2">
      <c r="A1337" t="s">
        <v>3158</v>
      </c>
      <c r="B1337"/>
    </row>
    <row r="1338" spans="1:2" x14ac:dyDescent="0.2">
      <c r="A1338" t="s">
        <v>3159</v>
      </c>
      <c r="B1338"/>
    </row>
    <row r="1339" spans="1:2" x14ac:dyDescent="0.2">
      <c r="A1339" t="s">
        <v>3160</v>
      </c>
      <c r="B1339"/>
    </row>
    <row r="1340" spans="1:2" x14ac:dyDescent="0.2">
      <c r="A1340" t="s">
        <v>3161</v>
      </c>
      <c r="B1340"/>
    </row>
    <row r="1341" spans="1:2" x14ac:dyDescent="0.2">
      <c r="A1341" t="s">
        <v>3162</v>
      </c>
      <c r="B1341"/>
    </row>
    <row r="1342" spans="1:2" x14ac:dyDescent="0.2">
      <c r="A1342" t="s">
        <v>3163</v>
      </c>
      <c r="B1342" s="272" t="s">
        <v>3164</v>
      </c>
    </row>
    <row r="1343" spans="1:2" x14ac:dyDescent="0.2">
      <c r="A1343" t="s">
        <v>3165</v>
      </c>
      <c r="B1343" s="272" t="s">
        <v>2765</v>
      </c>
    </row>
    <row r="1344" spans="1:2" x14ac:dyDescent="0.2">
      <c r="A1344" t="s">
        <v>3166</v>
      </c>
      <c r="B1344"/>
    </row>
    <row r="1345" spans="1:3" x14ac:dyDescent="0.2">
      <c r="A1345" t="s">
        <v>3167</v>
      </c>
      <c r="B1345"/>
    </row>
    <row r="1346" spans="1:3" x14ac:dyDescent="0.2">
      <c r="A1346" t="s">
        <v>3168</v>
      </c>
      <c r="B1346"/>
    </row>
    <row r="1347" spans="1:3" x14ac:dyDescent="0.2">
      <c r="A1347" t="s">
        <v>3169</v>
      </c>
      <c r="B1347"/>
    </row>
    <row r="1348" spans="1:3" x14ac:dyDescent="0.2">
      <c r="A1348" t="s">
        <v>3170</v>
      </c>
      <c r="B1348"/>
    </row>
    <row r="1349" spans="1:3" x14ac:dyDescent="0.2">
      <c r="A1349" t="s">
        <v>3171</v>
      </c>
      <c r="B1349"/>
    </row>
    <row r="1350" spans="1:3" x14ac:dyDescent="0.2">
      <c r="A1350" t="s">
        <v>3172</v>
      </c>
      <c r="B1350"/>
    </row>
    <row r="1351" spans="1:3" x14ac:dyDescent="0.2">
      <c r="A1351" t="s">
        <v>3173</v>
      </c>
      <c r="B1351"/>
    </row>
    <row r="1352" spans="1:3" x14ac:dyDescent="0.2">
      <c r="A1352" t="s">
        <v>3174</v>
      </c>
      <c r="B1352"/>
    </row>
    <row r="1353" spans="1:3" x14ac:dyDescent="0.2">
      <c r="A1353" s="1452" t="s">
        <v>3175</v>
      </c>
      <c r="B1353" s="1511" t="s">
        <v>3176</v>
      </c>
      <c r="C1353" s="357" t="s">
        <v>775</v>
      </c>
    </row>
    <row r="1354" spans="1:3" x14ac:dyDescent="0.2">
      <c r="A1354" s="272" t="s">
        <v>3177</v>
      </c>
      <c r="B1354" t="s">
        <v>2054</v>
      </c>
    </row>
    <row r="1355" spans="1:3" x14ac:dyDescent="0.2">
      <c r="A1355" s="1452" t="s">
        <v>3178</v>
      </c>
      <c r="B1355" s="1511" t="s">
        <v>1969</v>
      </c>
      <c r="C1355" s="290">
        <v>2540</v>
      </c>
    </row>
    <row r="1356" spans="1:3" x14ac:dyDescent="0.2">
      <c r="A1356" t="s">
        <v>3179</v>
      </c>
      <c r="B1356"/>
    </row>
    <row r="1357" spans="1:3" x14ac:dyDescent="0.2">
      <c r="A1357" t="s">
        <v>3180</v>
      </c>
      <c r="B1357"/>
    </row>
    <row r="1358" spans="1:3" x14ac:dyDescent="0.2">
      <c r="A1358" t="s">
        <v>3181</v>
      </c>
      <c r="B1358"/>
    </row>
    <row r="1359" spans="1:3" x14ac:dyDescent="0.2">
      <c r="A1359" t="s">
        <v>3182</v>
      </c>
      <c r="B1359"/>
    </row>
    <row r="1360" spans="1:3" x14ac:dyDescent="0.2">
      <c r="A1360" t="s">
        <v>3183</v>
      </c>
      <c r="B1360"/>
    </row>
    <row r="1361" spans="1:3" x14ac:dyDescent="0.2">
      <c r="A1361" t="s">
        <v>3184</v>
      </c>
      <c r="B1361"/>
    </row>
    <row r="1362" spans="1:3" x14ac:dyDescent="0.2">
      <c r="A1362" t="s">
        <v>3185</v>
      </c>
      <c r="B1362"/>
    </row>
    <row r="1363" spans="1:3" x14ac:dyDescent="0.2">
      <c r="A1363" t="s">
        <v>3186</v>
      </c>
      <c r="B1363"/>
    </row>
    <row r="1364" spans="1:3" x14ac:dyDescent="0.2">
      <c r="A1364" t="s">
        <v>3187</v>
      </c>
      <c r="B1364" t="s">
        <v>2041</v>
      </c>
    </row>
    <row r="1365" spans="1:3" x14ac:dyDescent="0.2">
      <c r="A1365" t="s">
        <v>3188</v>
      </c>
      <c r="B1365"/>
    </row>
    <row r="1366" spans="1:3" x14ac:dyDescent="0.2">
      <c r="A1366" t="s">
        <v>3189</v>
      </c>
      <c r="B1366"/>
    </row>
    <row r="1367" spans="1:3" x14ac:dyDescent="0.2">
      <c r="A1367" t="s">
        <v>3190</v>
      </c>
      <c r="B1367"/>
    </row>
    <row r="1368" spans="1:3" x14ac:dyDescent="0.2">
      <c r="A1368" t="s">
        <v>3191</v>
      </c>
      <c r="B1368"/>
    </row>
    <row r="1369" spans="1:3" x14ac:dyDescent="0.2">
      <c r="A1369" s="1452" t="s">
        <v>397</v>
      </c>
      <c r="B1369" s="1511" t="s">
        <v>1969</v>
      </c>
      <c r="C1369" s="290">
        <v>2550</v>
      </c>
    </row>
    <row r="1370" spans="1:3" x14ac:dyDescent="0.2">
      <c r="A1370" t="s">
        <v>3192</v>
      </c>
      <c r="B1370"/>
    </row>
    <row r="1371" spans="1:3" x14ac:dyDescent="0.2">
      <c r="A1371" s="1452" t="s">
        <v>379</v>
      </c>
      <c r="B1371" s="1511" t="s">
        <v>1969</v>
      </c>
      <c r="C1371" s="290">
        <v>2560</v>
      </c>
    </row>
    <row r="1372" spans="1:3" x14ac:dyDescent="0.2">
      <c r="A1372" t="s">
        <v>3193</v>
      </c>
      <c r="B1372"/>
    </row>
    <row r="1373" spans="1:3" x14ac:dyDescent="0.2">
      <c r="A1373" s="1452" t="s">
        <v>1183</v>
      </c>
      <c r="B1373" s="1511" t="s">
        <v>1969</v>
      </c>
      <c r="C1373" s="290">
        <v>2570</v>
      </c>
    </row>
    <row r="1374" spans="1:3" x14ac:dyDescent="0.2">
      <c r="A1374" t="s">
        <v>3194</v>
      </c>
      <c r="B1374"/>
    </row>
    <row r="1375" spans="1:3" x14ac:dyDescent="0.2">
      <c r="A1375" t="s">
        <v>3195</v>
      </c>
      <c r="B1375"/>
    </row>
    <row r="1376" spans="1:3" x14ac:dyDescent="0.2">
      <c r="A1376" t="s">
        <v>3196</v>
      </c>
      <c r="B1376"/>
    </row>
    <row r="1377" spans="1:3" x14ac:dyDescent="0.2">
      <c r="A1377" t="s">
        <v>3197</v>
      </c>
      <c r="B1377"/>
    </row>
    <row r="1378" spans="1:3" x14ac:dyDescent="0.2">
      <c r="A1378" t="s">
        <v>3198</v>
      </c>
      <c r="B1378"/>
    </row>
    <row r="1379" spans="1:3" x14ac:dyDescent="0.2">
      <c r="A1379" s="1452" t="s">
        <v>468</v>
      </c>
      <c r="B1379" s="1511" t="s">
        <v>1969</v>
      </c>
      <c r="C1379" s="357" t="s">
        <v>775</v>
      </c>
    </row>
    <row r="1380" spans="1:3" x14ac:dyDescent="0.2">
      <c r="A1380" t="s">
        <v>3199</v>
      </c>
      <c r="B1380"/>
    </row>
    <row r="1381" spans="1:3" x14ac:dyDescent="0.2">
      <c r="A1381" s="1452" t="s">
        <v>1428</v>
      </c>
      <c r="B1381" s="1511" t="s">
        <v>1969</v>
      </c>
      <c r="C1381" s="290">
        <v>2590</v>
      </c>
    </row>
    <row r="1382" spans="1:3" x14ac:dyDescent="0.2">
      <c r="A1382" t="s">
        <v>3200</v>
      </c>
      <c r="B1382"/>
    </row>
    <row r="1383" spans="1:3" x14ac:dyDescent="0.2">
      <c r="A1383" t="s">
        <v>3201</v>
      </c>
      <c r="B1383"/>
    </row>
    <row r="1384" spans="1:3" x14ac:dyDescent="0.2">
      <c r="A1384" t="s">
        <v>3202</v>
      </c>
      <c r="B1384"/>
    </row>
    <row r="1385" spans="1:3" x14ac:dyDescent="0.2">
      <c r="A1385" t="s">
        <v>3203</v>
      </c>
      <c r="B1385"/>
    </row>
    <row r="1386" spans="1:3" x14ac:dyDescent="0.2">
      <c r="A1386" t="s">
        <v>3204</v>
      </c>
      <c r="B1386"/>
    </row>
    <row r="1387" spans="1:3" x14ac:dyDescent="0.2">
      <c r="A1387" t="s">
        <v>3205</v>
      </c>
      <c r="B1387"/>
    </row>
    <row r="1388" spans="1:3" x14ac:dyDescent="0.2">
      <c r="A1388" t="s">
        <v>3206</v>
      </c>
      <c r="B1388"/>
    </row>
    <row r="1389" spans="1:3" x14ac:dyDescent="0.2">
      <c r="A1389" t="s">
        <v>3207</v>
      </c>
      <c r="B1389"/>
    </row>
    <row r="1390" spans="1:3" x14ac:dyDescent="0.2">
      <c r="A1390" t="s">
        <v>3208</v>
      </c>
      <c r="B1390"/>
    </row>
    <row r="1391" spans="1:3" x14ac:dyDescent="0.2">
      <c r="A1391" t="s">
        <v>3209</v>
      </c>
      <c r="B1391"/>
    </row>
    <row r="1392" spans="1:3" x14ac:dyDescent="0.2">
      <c r="A1392" t="s">
        <v>3210</v>
      </c>
      <c r="B1392"/>
    </row>
    <row r="1393" spans="1:3" x14ac:dyDescent="0.2">
      <c r="A1393" s="2" t="s">
        <v>3211</v>
      </c>
      <c r="B1393"/>
    </row>
    <row r="1394" spans="1:3" x14ac:dyDescent="0.2">
      <c r="A1394" s="1452" t="s">
        <v>3212</v>
      </c>
      <c r="B1394" s="1511" t="s">
        <v>1969</v>
      </c>
      <c r="C1394" s="290">
        <v>2610</v>
      </c>
    </row>
    <row r="1395" spans="1:3" x14ac:dyDescent="0.2">
      <c r="A1395" t="s">
        <v>3213</v>
      </c>
      <c r="B1395"/>
    </row>
    <row r="1396" spans="1:3" x14ac:dyDescent="0.2">
      <c r="A1396" t="s">
        <v>3214</v>
      </c>
      <c r="B1396"/>
    </row>
    <row r="1397" spans="1:3" x14ac:dyDescent="0.2">
      <c r="A1397" t="s">
        <v>3215</v>
      </c>
      <c r="B1397"/>
    </row>
    <row r="1398" spans="1:3" x14ac:dyDescent="0.2">
      <c r="A1398" t="s">
        <v>3216</v>
      </c>
      <c r="B1398"/>
    </row>
    <row r="1399" spans="1:3" x14ac:dyDescent="0.2">
      <c r="A1399" t="s">
        <v>3217</v>
      </c>
      <c r="B1399" t="s">
        <v>3218</v>
      </c>
    </row>
    <row r="1400" spans="1:3" x14ac:dyDescent="0.2">
      <c r="A1400" t="s">
        <v>3219</v>
      </c>
      <c r="B1400" t="s">
        <v>3218</v>
      </c>
    </row>
    <row r="1401" spans="1:3" x14ac:dyDescent="0.2">
      <c r="A1401" t="s">
        <v>3220</v>
      </c>
      <c r="B1401" t="s">
        <v>3218</v>
      </c>
    </row>
    <row r="1402" spans="1:3" x14ac:dyDescent="0.2">
      <c r="A1402" t="s">
        <v>3221</v>
      </c>
      <c r="B1402" t="s">
        <v>3218</v>
      </c>
    </row>
    <row r="1403" spans="1:3" x14ac:dyDescent="0.2">
      <c r="A1403" t="s">
        <v>3222</v>
      </c>
      <c r="B1403" t="s">
        <v>3223</v>
      </c>
    </row>
    <row r="1404" spans="1:3" x14ac:dyDescent="0.2">
      <c r="A1404" t="s">
        <v>3224</v>
      </c>
      <c r="B1404" t="s">
        <v>3223</v>
      </c>
    </row>
    <row r="1405" spans="1:3" x14ac:dyDescent="0.2">
      <c r="A1405" t="s">
        <v>3225</v>
      </c>
      <c r="B1405" t="s">
        <v>3223</v>
      </c>
    </row>
    <row r="1406" spans="1:3" x14ac:dyDescent="0.2">
      <c r="A1406" t="s">
        <v>3226</v>
      </c>
      <c r="B1406" t="s">
        <v>3223</v>
      </c>
    </row>
    <row r="1407" spans="1:3" x14ac:dyDescent="0.2">
      <c r="A1407" t="s">
        <v>3227</v>
      </c>
      <c r="B1407" t="s">
        <v>3223</v>
      </c>
    </row>
    <row r="1408" spans="1:3" x14ac:dyDescent="0.2">
      <c r="A1408" t="s">
        <v>3228</v>
      </c>
      <c r="B1408" t="s">
        <v>3223</v>
      </c>
    </row>
    <row r="1409" spans="1:3" x14ac:dyDescent="0.2">
      <c r="A1409" t="s">
        <v>3229</v>
      </c>
      <c r="B1409" t="s">
        <v>3223</v>
      </c>
    </row>
    <row r="1410" spans="1:3" x14ac:dyDescent="0.2">
      <c r="A1410" t="s">
        <v>3230</v>
      </c>
      <c r="B1410"/>
    </row>
    <row r="1411" spans="1:3" x14ac:dyDescent="0.2">
      <c r="A1411" t="s">
        <v>3231</v>
      </c>
      <c r="B1411"/>
    </row>
    <row r="1412" spans="1:3" x14ac:dyDescent="0.2">
      <c r="A1412" t="s">
        <v>3232</v>
      </c>
      <c r="B1412"/>
    </row>
    <row r="1413" spans="1:3" x14ac:dyDescent="0.2">
      <c r="A1413" t="s">
        <v>3233</v>
      </c>
      <c r="B1413"/>
    </row>
    <row r="1414" spans="1:3" x14ac:dyDescent="0.2">
      <c r="A1414" t="s">
        <v>3234</v>
      </c>
      <c r="B1414"/>
    </row>
    <row r="1415" spans="1:3" x14ac:dyDescent="0.2">
      <c r="A1415" t="s">
        <v>3235</v>
      </c>
      <c r="B1415"/>
    </row>
    <row r="1416" spans="1:3" x14ac:dyDescent="0.2">
      <c r="A1416" t="s">
        <v>3236</v>
      </c>
      <c r="B1416"/>
    </row>
    <row r="1417" spans="1:3" x14ac:dyDescent="0.2">
      <c r="A1417" t="s">
        <v>3237</v>
      </c>
      <c r="B1417"/>
    </row>
    <row r="1418" spans="1:3" x14ac:dyDescent="0.2">
      <c r="A1418" s="1452" t="s">
        <v>3238</v>
      </c>
      <c r="B1418" s="1511" t="s">
        <v>1969</v>
      </c>
      <c r="C1418" s="290">
        <v>2625</v>
      </c>
    </row>
    <row r="1419" spans="1:3" x14ac:dyDescent="0.2">
      <c r="A1419" s="1465" t="s">
        <v>3239</v>
      </c>
      <c r="B1419" s="272" t="s">
        <v>3240</v>
      </c>
    </row>
    <row r="1420" spans="1:3" x14ac:dyDescent="0.2">
      <c r="A1420" t="s">
        <v>3241</v>
      </c>
      <c r="B1420"/>
    </row>
    <row r="1421" spans="1:3" x14ac:dyDescent="0.2">
      <c r="A1421" t="s">
        <v>3242</v>
      </c>
      <c r="B1421"/>
    </row>
    <row r="1422" spans="1:3" x14ac:dyDescent="0.2">
      <c r="A1422" s="1452" t="s">
        <v>3243</v>
      </c>
      <c r="B1422" s="1511" t="s">
        <v>1969</v>
      </c>
      <c r="C1422" s="290">
        <v>2630</v>
      </c>
    </row>
    <row r="1423" spans="1:3" x14ac:dyDescent="0.2">
      <c r="A1423" t="s">
        <v>3244</v>
      </c>
      <c r="B1423"/>
    </row>
    <row r="1424" spans="1:3" x14ac:dyDescent="0.2">
      <c r="A1424" t="s">
        <v>3245</v>
      </c>
      <c r="B1424"/>
    </row>
    <row r="1425" spans="1:2" x14ac:dyDescent="0.2">
      <c r="A1425" t="s">
        <v>3246</v>
      </c>
      <c r="B1425"/>
    </row>
    <row r="1426" spans="1:2" x14ac:dyDescent="0.2">
      <c r="A1426" t="s">
        <v>3247</v>
      </c>
      <c r="B1426"/>
    </row>
    <row r="1427" spans="1:2" x14ac:dyDescent="0.2">
      <c r="A1427" t="s">
        <v>3248</v>
      </c>
      <c r="B1427"/>
    </row>
    <row r="1428" spans="1:2" x14ac:dyDescent="0.2">
      <c r="A1428" t="s">
        <v>3249</v>
      </c>
      <c r="B1428"/>
    </row>
    <row r="1429" spans="1:2" x14ac:dyDescent="0.2">
      <c r="A1429" t="s">
        <v>3250</v>
      </c>
      <c r="B1429"/>
    </row>
    <row r="1430" spans="1:2" x14ac:dyDescent="0.2">
      <c r="A1430" t="s">
        <v>3251</v>
      </c>
      <c r="B1430" t="s">
        <v>3046</v>
      </c>
    </row>
    <row r="1431" spans="1:2" x14ac:dyDescent="0.2">
      <c r="A1431" t="s">
        <v>3252</v>
      </c>
      <c r="B1431" t="s">
        <v>3046</v>
      </c>
    </row>
    <row r="1432" spans="1:2" x14ac:dyDescent="0.2">
      <c r="A1432" t="s">
        <v>3253</v>
      </c>
      <c r="B1432" t="s">
        <v>3046</v>
      </c>
    </row>
    <row r="1433" spans="1:2" x14ac:dyDescent="0.2">
      <c r="A1433" t="s">
        <v>3254</v>
      </c>
      <c r="B1433" t="s">
        <v>3048</v>
      </c>
    </row>
    <row r="1434" spans="1:2" x14ac:dyDescent="0.2">
      <c r="A1434" t="s">
        <v>3255</v>
      </c>
      <c r="B1434" t="s">
        <v>3048</v>
      </c>
    </row>
    <row r="1435" spans="1:2" x14ac:dyDescent="0.2">
      <c r="A1435" t="s">
        <v>3256</v>
      </c>
      <c r="B1435" t="s">
        <v>3048</v>
      </c>
    </row>
    <row r="1436" spans="1:2" x14ac:dyDescent="0.2">
      <c r="A1436" t="s">
        <v>3257</v>
      </c>
      <c r="B1436" t="s">
        <v>3048</v>
      </c>
    </row>
    <row r="1437" spans="1:2" x14ac:dyDescent="0.2">
      <c r="A1437" t="s">
        <v>3258</v>
      </c>
      <c r="B1437" t="s">
        <v>3048</v>
      </c>
    </row>
    <row r="1438" spans="1:2" x14ac:dyDescent="0.2">
      <c r="A1438" t="s">
        <v>3259</v>
      </c>
      <c r="B1438" t="s">
        <v>3048</v>
      </c>
    </row>
    <row r="1439" spans="1:2" x14ac:dyDescent="0.2">
      <c r="A1439" t="s">
        <v>3260</v>
      </c>
      <c r="B1439" t="s">
        <v>3048</v>
      </c>
    </row>
    <row r="1440" spans="1:2" x14ac:dyDescent="0.2">
      <c r="A1440" t="s">
        <v>3261</v>
      </c>
      <c r="B1440"/>
    </row>
    <row r="1441" spans="1:3" x14ac:dyDescent="0.2">
      <c r="A1441" s="272" t="s">
        <v>3262</v>
      </c>
      <c r="B1441" t="s">
        <v>3263</v>
      </c>
    </row>
    <row r="1442" spans="1:3" x14ac:dyDescent="0.2">
      <c r="A1442" t="s">
        <v>3264</v>
      </c>
      <c r="B1442"/>
    </row>
    <row r="1443" spans="1:3" x14ac:dyDescent="0.2">
      <c r="A1443" t="s">
        <v>3265</v>
      </c>
      <c r="B1443"/>
    </row>
    <row r="1444" spans="1:3" x14ac:dyDescent="0.2">
      <c r="A1444" t="s">
        <v>3266</v>
      </c>
      <c r="B1444"/>
    </row>
    <row r="1445" spans="1:3" x14ac:dyDescent="0.2">
      <c r="A1445" t="s">
        <v>3267</v>
      </c>
      <c r="B1445"/>
    </row>
    <row r="1446" spans="1:3" x14ac:dyDescent="0.2">
      <c r="A1446" t="s">
        <v>3268</v>
      </c>
      <c r="B1446"/>
    </row>
    <row r="1447" spans="1:3" x14ac:dyDescent="0.2">
      <c r="A1447" t="s">
        <v>4249</v>
      </c>
      <c r="B1447" s="272" t="s">
        <v>4250</v>
      </c>
    </row>
    <row r="1448" spans="1:3" x14ac:dyDescent="0.2">
      <c r="A1448" t="s">
        <v>3269</v>
      </c>
      <c r="B1448"/>
    </row>
    <row r="1449" spans="1:3" x14ac:dyDescent="0.2">
      <c r="A1449" t="s">
        <v>3270</v>
      </c>
      <c r="B1449"/>
    </row>
    <row r="1450" spans="1:3" x14ac:dyDescent="0.2">
      <c r="A1450" s="1311" t="s">
        <v>3271</v>
      </c>
      <c r="B1450" s="1511" t="s">
        <v>1969</v>
      </c>
      <c r="C1450" s="357" t="s">
        <v>775</v>
      </c>
    </row>
    <row r="1451" spans="1:3" x14ac:dyDescent="0.2">
      <c r="B1451"/>
    </row>
    <row r="1452" spans="1:3" x14ac:dyDescent="0.2">
      <c r="A1452" s="1311" t="s">
        <v>3272</v>
      </c>
      <c r="B1452" s="1613" t="s">
        <v>1969</v>
      </c>
      <c r="C1452" s="357" t="s">
        <v>775</v>
      </c>
    </row>
    <row r="1453" spans="1:3" x14ac:dyDescent="0.2">
      <c r="A1453" s="272" t="s">
        <v>3273</v>
      </c>
      <c r="B1453" s="1094" t="s">
        <v>3274</v>
      </c>
    </row>
    <row r="1454" spans="1:3" x14ac:dyDescent="0.2">
      <c r="A1454" t="s">
        <v>3275</v>
      </c>
      <c r="B1454" t="s">
        <v>3276</v>
      </c>
    </row>
    <row r="1455" spans="1:3" x14ac:dyDescent="0.2">
      <c r="A1455" s="272" t="s">
        <v>5731</v>
      </c>
      <c r="B1455" s="1610" t="s">
        <v>5708</v>
      </c>
    </row>
    <row r="1456" spans="1:3" x14ac:dyDescent="0.2">
      <c r="A1456" s="272" t="s">
        <v>5732</v>
      </c>
      <c r="B1456" s="1610" t="s">
        <v>5708</v>
      </c>
    </row>
    <row r="1457" spans="1:2" x14ac:dyDescent="0.2">
      <c r="A1457" s="272" t="s">
        <v>5733</v>
      </c>
      <c r="B1457" s="1610" t="s">
        <v>5708</v>
      </c>
    </row>
    <row r="1458" spans="1:2" x14ac:dyDescent="0.2">
      <c r="A1458" t="s">
        <v>5734</v>
      </c>
      <c r="B1458" s="1610" t="s">
        <v>5708</v>
      </c>
    </row>
    <row r="1459" spans="1:2" x14ac:dyDescent="0.2">
      <c r="A1459" t="s">
        <v>3277</v>
      </c>
      <c r="B1459" t="s">
        <v>2302</v>
      </c>
    </row>
    <row r="1460" spans="1:2" x14ac:dyDescent="0.2">
      <c r="A1460" t="s">
        <v>3278</v>
      </c>
      <c r="B1460" t="s">
        <v>2302</v>
      </c>
    </row>
    <row r="1461" spans="1:2" x14ac:dyDescent="0.2">
      <c r="A1461" t="s">
        <v>3279</v>
      </c>
      <c r="B1461" t="s">
        <v>2302</v>
      </c>
    </row>
    <row r="1462" spans="1:2" x14ac:dyDescent="0.2">
      <c r="A1462" s="272" t="s">
        <v>5730</v>
      </c>
      <c r="B1462" s="272" t="s">
        <v>5735</v>
      </c>
    </row>
    <row r="1463" spans="1:2" x14ac:dyDescent="0.2">
      <c r="A1463" t="s">
        <v>3280</v>
      </c>
      <c r="B1463" t="s">
        <v>2302</v>
      </c>
    </row>
    <row r="1464" spans="1:2" x14ac:dyDescent="0.2">
      <c r="A1464" t="s">
        <v>3281</v>
      </c>
      <c r="B1464" t="s">
        <v>2302</v>
      </c>
    </row>
    <row r="1465" spans="1:2" x14ac:dyDescent="0.2">
      <c r="A1465" s="272" t="s">
        <v>3282</v>
      </c>
      <c r="B1465"/>
    </row>
    <row r="1466" spans="1:2" x14ac:dyDescent="0.2">
      <c r="A1466" s="1465" t="s">
        <v>3283</v>
      </c>
      <c r="B1466" t="s">
        <v>2302</v>
      </c>
    </row>
    <row r="1467" spans="1:2" x14ac:dyDescent="0.2">
      <c r="A1467" t="s">
        <v>3284</v>
      </c>
      <c r="B1467" t="s">
        <v>3285</v>
      </c>
    </row>
    <row r="1468" spans="1:2" x14ac:dyDescent="0.2">
      <c r="A1468" s="1465" t="s">
        <v>3286</v>
      </c>
      <c r="B1468" t="s">
        <v>2302</v>
      </c>
    </row>
    <row r="1469" spans="1:2" x14ac:dyDescent="0.2">
      <c r="A1469" t="s">
        <v>3287</v>
      </c>
      <c r="B1469" t="s">
        <v>3288</v>
      </c>
    </row>
    <row r="1470" spans="1:2" x14ac:dyDescent="0.2">
      <c r="A1470" s="1465" t="s">
        <v>3289</v>
      </c>
      <c r="B1470" t="s">
        <v>2808</v>
      </c>
    </row>
    <row r="1471" spans="1:2" ht="12" customHeight="1" x14ac:dyDescent="0.2">
      <c r="A1471" t="s">
        <v>3290</v>
      </c>
      <c r="B1471" t="s">
        <v>2808</v>
      </c>
    </row>
    <row r="1472" spans="1:2" x14ac:dyDescent="0.2">
      <c r="A1472" t="s">
        <v>3291</v>
      </c>
      <c r="B1472" t="s">
        <v>2302</v>
      </c>
    </row>
    <row r="1473" spans="1:3" x14ac:dyDescent="0.2">
      <c r="A1473" t="s">
        <v>3292</v>
      </c>
      <c r="B1473" t="s">
        <v>2302</v>
      </c>
    </row>
    <row r="1474" spans="1:3" x14ac:dyDescent="0.2">
      <c r="A1474" t="s">
        <v>3293</v>
      </c>
      <c r="B1474" t="s">
        <v>2302</v>
      </c>
    </row>
    <row r="1475" spans="1:3" x14ac:dyDescent="0.2">
      <c r="A1475" t="s">
        <v>3294</v>
      </c>
      <c r="B1475" t="s">
        <v>3295</v>
      </c>
    </row>
    <row r="1476" spans="1:3" x14ac:dyDescent="0.2">
      <c r="A1476" s="272" t="s">
        <v>3296</v>
      </c>
      <c r="B1476" s="272" t="s">
        <v>2813</v>
      </c>
    </row>
    <row r="1477" spans="1:3" x14ac:dyDescent="0.2">
      <c r="A1477" s="1311" t="s">
        <v>3297</v>
      </c>
      <c r="B1477" s="1511" t="s">
        <v>3298</v>
      </c>
      <c r="C1477" s="357" t="s">
        <v>775</v>
      </c>
    </row>
    <row r="1478" spans="1:3" x14ac:dyDescent="0.2">
      <c r="A1478" t="s">
        <v>3001</v>
      </c>
      <c r="B1478"/>
    </row>
    <row r="1479" spans="1:3" x14ac:dyDescent="0.2">
      <c r="A1479" t="s">
        <v>3910</v>
      </c>
      <c r="B1479" t="s">
        <v>3911</v>
      </c>
    </row>
    <row r="1480" spans="1:3" x14ac:dyDescent="0.2">
      <c r="A1480" t="s">
        <v>3300</v>
      </c>
      <c r="B1480" s="272" t="s">
        <v>3301</v>
      </c>
    </row>
    <row r="1481" spans="1:3" x14ac:dyDescent="0.2">
      <c r="A1481" t="s">
        <v>3302</v>
      </c>
      <c r="B1481" t="s">
        <v>3303</v>
      </c>
    </row>
    <row r="1482" spans="1:3" x14ac:dyDescent="0.2">
      <c r="A1482" t="s">
        <v>3304</v>
      </c>
      <c r="B1482" t="s">
        <v>3303</v>
      </c>
    </row>
    <row r="1483" spans="1:3" x14ac:dyDescent="0.2">
      <c r="A1483" s="272" t="s">
        <v>3305</v>
      </c>
      <c r="B1483" s="1544"/>
    </row>
    <row r="1484" spans="1:3" x14ac:dyDescent="0.2">
      <c r="A1484" s="272" t="s">
        <v>3306</v>
      </c>
      <c r="B1484" s="1544"/>
    </row>
    <row r="1485" spans="1:3" x14ac:dyDescent="0.2">
      <c r="A1485" t="s">
        <v>3307</v>
      </c>
      <c r="B1485" t="s">
        <v>3303</v>
      </c>
    </row>
    <row r="1486" spans="1:3" x14ac:dyDescent="0.2">
      <c r="A1486" t="s">
        <v>3308</v>
      </c>
      <c r="B1486" t="s">
        <v>3303</v>
      </c>
    </row>
    <row r="1487" spans="1:3" x14ac:dyDescent="0.2">
      <c r="A1487" t="s">
        <v>3309</v>
      </c>
      <c r="B1487" t="s">
        <v>3310</v>
      </c>
    </row>
    <row r="1488" spans="1:3" x14ac:dyDescent="0.2">
      <c r="A1488" t="s">
        <v>3311</v>
      </c>
      <c r="B1488"/>
    </row>
    <row r="1489" spans="1:2" x14ac:dyDescent="0.2">
      <c r="A1489" t="s">
        <v>3312</v>
      </c>
      <c r="B1489" s="272" t="s">
        <v>3313</v>
      </c>
    </row>
    <row r="1490" spans="1:2" x14ac:dyDescent="0.2">
      <c r="A1490" t="s">
        <v>3314</v>
      </c>
      <c r="B1490" t="s">
        <v>3315</v>
      </c>
    </row>
    <row r="1491" spans="1:2" x14ac:dyDescent="0.2">
      <c r="A1491" t="s">
        <v>3316</v>
      </c>
      <c r="B1491" t="s">
        <v>3315</v>
      </c>
    </row>
    <row r="1492" spans="1:2" x14ac:dyDescent="0.2">
      <c r="A1492" t="s">
        <v>3317</v>
      </c>
      <c r="B1492"/>
    </row>
    <row r="1493" spans="1:2" x14ac:dyDescent="0.2">
      <c r="A1493" t="s">
        <v>3318</v>
      </c>
      <c r="B1493" t="s">
        <v>3319</v>
      </c>
    </row>
    <row r="1494" spans="1:2" x14ac:dyDescent="0.2">
      <c r="A1494" t="s">
        <v>3320</v>
      </c>
      <c r="B1494"/>
    </row>
    <row r="1495" spans="1:2" x14ac:dyDescent="0.2">
      <c r="A1495" t="s">
        <v>3321</v>
      </c>
      <c r="B1495"/>
    </row>
    <row r="1496" spans="1:2" x14ac:dyDescent="0.2">
      <c r="A1496" t="s">
        <v>3322</v>
      </c>
      <c r="B1496"/>
    </row>
    <row r="1497" spans="1:2" x14ac:dyDescent="0.2">
      <c r="A1497" t="s">
        <v>3323</v>
      </c>
      <c r="B1497"/>
    </row>
    <row r="1498" spans="1:2" x14ac:dyDescent="0.2">
      <c r="A1498" t="s">
        <v>3324</v>
      </c>
      <c r="B1498"/>
    </row>
    <row r="1499" spans="1:2" x14ac:dyDescent="0.2">
      <c r="A1499" t="s">
        <v>3325</v>
      </c>
      <c r="B1499"/>
    </row>
    <row r="1500" spans="1:2" x14ac:dyDescent="0.2">
      <c r="A1500" s="272" t="s">
        <v>4659</v>
      </c>
      <c r="B1500"/>
    </row>
    <row r="1501" spans="1:2" x14ac:dyDescent="0.2">
      <c r="A1501" t="s">
        <v>3326</v>
      </c>
      <c r="B1501"/>
    </row>
    <row r="1502" spans="1:2" x14ac:dyDescent="0.2">
      <c r="A1502" t="s">
        <v>3327</v>
      </c>
      <c r="B1502"/>
    </row>
    <row r="1503" spans="1:2" x14ac:dyDescent="0.2">
      <c r="A1503" s="272" t="s">
        <v>3328</v>
      </c>
      <c r="B1503" s="272" t="s">
        <v>4941</v>
      </c>
    </row>
    <row r="1504" spans="1:2" x14ac:dyDescent="0.2">
      <c r="A1504" s="272" t="s">
        <v>3329</v>
      </c>
      <c r="B1504" s="1544"/>
    </row>
    <row r="1505" spans="1:3" x14ac:dyDescent="0.2">
      <c r="A1505" s="1311" t="s">
        <v>3330</v>
      </c>
      <c r="B1505"/>
    </row>
    <row r="1506" spans="1:3" x14ac:dyDescent="0.2">
      <c r="A1506" s="1311" t="s">
        <v>898</v>
      </c>
      <c r="B1506" s="1511" t="s">
        <v>2620</v>
      </c>
      <c r="C1506" s="290">
        <v>2690</v>
      </c>
    </row>
    <row r="1507" spans="1:3" x14ac:dyDescent="0.2">
      <c r="A1507" s="272" t="s">
        <v>3331</v>
      </c>
      <c r="B1507" s="1545"/>
    </row>
    <row r="1508" spans="1:3" x14ac:dyDescent="0.2">
      <c r="A1508" s="272" t="s">
        <v>3332</v>
      </c>
      <c r="B1508" s="1546"/>
    </row>
    <row r="1509" spans="1:3" x14ac:dyDescent="0.2">
      <c r="A1509" s="1311" t="s">
        <v>3333</v>
      </c>
      <c r="B1509" s="1511" t="s">
        <v>2620</v>
      </c>
      <c r="C1509" s="290">
        <v>2691</v>
      </c>
    </row>
    <row r="1510" spans="1:3" x14ac:dyDescent="0.2">
      <c r="A1510" s="272" t="s">
        <v>3334</v>
      </c>
      <c r="B1510" s="1547"/>
    </row>
    <row r="1511" spans="1:3" x14ac:dyDescent="0.2">
      <c r="A1511" s="1311" t="s">
        <v>3335</v>
      </c>
      <c r="B1511" s="1511" t="s">
        <v>2620</v>
      </c>
      <c r="C1511" s="290">
        <v>2692</v>
      </c>
    </row>
    <row r="1512" spans="1:3" x14ac:dyDescent="0.2">
      <c r="A1512" s="272" t="s">
        <v>3336</v>
      </c>
      <c r="B1512" s="1547"/>
    </row>
    <row r="1513" spans="1:3" x14ac:dyDescent="0.2">
      <c r="A1513" s="272" t="s">
        <v>3337</v>
      </c>
      <c r="B1513" s="1547"/>
    </row>
    <row r="1514" spans="1:3" x14ac:dyDescent="0.2">
      <c r="A1514" s="1311" t="s">
        <v>5314</v>
      </c>
      <c r="B1514" s="2349" t="s">
        <v>5739</v>
      </c>
    </row>
    <row r="1515" spans="1:3" x14ac:dyDescent="0.2">
      <c r="A1515" s="272" t="s">
        <v>5315</v>
      </c>
      <c r="B1515" s="1547"/>
    </row>
    <row r="1516" spans="1:3" x14ac:dyDescent="0.2">
      <c r="A1516" s="1311" t="s">
        <v>3338</v>
      </c>
      <c r="B1516" s="1511" t="s">
        <v>2620</v>
      </c>
      <c r="C1516" s="290">
        <v>2700</v>
      </c>
    </row>
    <row r="1517" spans="1:3" x14ac:dyDescent="0.2">
      <c r="A1517" s="1461" t="s">
        <v>3339</v>
      </c>
      <c r="B1517" s="2"/>
    </row>
    <row r="1518" spans="1:3" x14ac:dyDescent="0.2">
      <c r="A1518" s="1397" t="s">
        <v>3340</v>
      </c>
      <c r="B1518" s="1548" t="s">
        <v>3341</v>
      </c>
      <c r="C1518" s="290">
        <v>2700</v>
      </c>
    </row>
    <row r="1519" spans="1:3" x14ac:dyDescent="0.2">
      <c r="A1519" s="1514"/>
      <c r="B1519" s="1541" t="s">
        <v>3342</v>
      </c>
    </row>
    <row r="1520" spans="1:3" x14ac:dyDescent="0.2">
      <c r="A1520" s="1311" t="s">
        <v>1187</v>
      </c>
      <c r="B1520" s="1549" t="s">
        <v>2620</v>
      </c>
      <c r="C1520" s="290">
        <v>2710</v>
      </c>
    </row>
    <row r="1521" spans="1:3" x14ac:dyDescent="0.2">
      <c r="A1521" t="s">
        <v>3343</v>
      </c>
      <c r="B1521"/>
    </row>
    <row r="1522" spans="1:3" x14ac:dyDescent="0.2">
      <c r="A1522" t="s">
        <v>3344</v>
      </c>
      <c r="B1522"/>
    </row>
    <row r="1523" spans="1:3" x14ac:dyDescent="0.2">
      <c r="A1523" s="1311" t="s">
        <v>5313</v>
      </c>
      <c r="B1523" s="2348" t="s">
        <v>5738</v>
      </c>
      <c r="C1523" s="290">
        <v>2711</v>
      </c>
    </row>
    <row r="1524" spans="1:3" x14ac:dyDescent="0.2">
      <c r="A1524" s="2226" t="s">
        <v>5317</v>
      </c>
      <c r="B1524" s="2"/>
    </row>
    <row r="1525" spans="1:3" x14ac:dyDescent="0.2">
      <c r="A1525" s="1517" t="s">
        <v>5513</v>
      </c>
      <c r="B1525" s="1610"/>
    </row>
    <row r="1526" spans="1:3" x14ac:dyDescent="0.2">
      <c r="A1526" s="272" t="s">
        <v>5736</v>
      </c>
      <c r="B1526" s="1610" t="s">
        <v>5708</v>
      </c>
    </row>
    <row r="1527" spans="1:3" x14ac:dyDescent="0.2">
      <c r="A1527" s="1311" t="s">
        <v>3345</v>
      </c>
      <c r="B1527"/>
      <c r="C1527" s="290">
        <v>2720</v>
      </c>
    </row>
    <row r="1528" spans="1:3" x14ac:dyDescent="0.2">
      <c r="A1528" s="1452" t="s">
        <v>3346</v>
      </c>
      <c r="B1528" s="1549" t="s">
        <v>2620</v>
      </c>
      <c r="C1528" s="290">
        <v>2720</v>
      </c>
    </row>
    <row r="1529" spans="1:3" x14ac:dyDescent="0.2">
      <c r="A1529" t="s">
        <v>3347</v>
      </c>
      <c r="B1529"/>
    </row>
    <row r="1530" spans="1:3" x14ac:dyDescent="0.2">
      <c r="A1530" t="s">
        <v>3348</v>
      </c>
      <c r="B1530"/>
    </row>
    <row r="1531" spans="1:3" x14ac:dyDescent="0.2">
      <c r="A1531" s="272" t="s">
        <v>5737</v>
      </c>
      <c r="B1531" s="1610" t="s">
        <v>5708</v>
      </c>
    </row>
    <row r="1532" spans="1:3" x14ac:dyDescent="0.2">
      <c r="A1532" t="s">
        <v>3349</v>
      </c>
      <c r="B1532"/>
    </row>
    <row r="1533" spans="1:3" x14ac:dyDescent="0.2">
      <c r="A1533" t="s">
        <v>3350</v>
      </c>
      <c r="B1533"/>
    </row>
    <row r="1534" spans="1:3" x14ac:dyDescent="0.2">
      <c r="A1534" s="272" t="s">
        <v>3351</v>
      </c>
      <c r="B1534" s="272" t="s">
        <v>3352</v>
      </c>
    </row>
    <row r="1535" spans="1:3" x14ac:dyDescent="0.2">
      <c r="A1535" s="1452" t="s">
        <v>3353</v>
      </c>
      <c r="B1535" s="1511" t="s">
        <v>1969</v>
      </c>
      <c r="C1535" s="290">
        <v>2720</v>
      </c>
    </row>
    <row r="1536" spans="1:3" x14ac:dyDescent="0.2">
      <c r="A1536" t="s">
        <v>3354</v>
      </c>
      <c r="B1536"/>
    </row>
    <row r="1537" spans="1:3" x14ac:dyDescent="0.2">
      <c r="A1537" t="s">
        <v>3355</v>
      </c>
      <c r="B1537"/>
    </row>
    <row r="1538" spans="1:3" x14ac:dyDescent="0.2">
      <c r="A1538" s="1452" t="s">
        <v>3356</v>
      </c>
      <c r="B1538" s="1511" t="s">
        <v>3357</v>
      </c>
      <c r="C1538" s="290" t="s">
        <v>4156</v>
      </c>
    </row>
    <row r="1539" spans="1:3" x14ac:dyDescent="0.2">
      <c r="A1539" s="1452" t="s">
        <v>3358</v>
      </c>
      <c r="B1539" s="1511" t="s">
        <v>1969</v>
      </c>
      <c r="C1539" s="290" t="s">
        <v>4156</v>
      </c>
    </row>
    <row r="1540" spans="1:3" x14ac:dyDescent="0.2">
      <c r="A1540" s="1462" t="s">
        <v>3359</v>
      </c>
      <c r="B1540" s="272" t="s">
        <v>3352</v>
      </c>
    </row>
    <row r="1541" spans="1:3" x14ac:dyDescent="0.2">
      <c r="A1541" s="1847" t="s">
        <v>4434</v>
      </c>
      <c r="B1541" s="1511" t="s">
        <v>1969</v>
      </c>
      <c r="C1541" s="1870">
        <v>2755</v>
      </c>
    </row>
    <row r="1542" spans="1:3" x14ac:dyDescent="0.2">
      <c r="A1542" s="1462" t="s">
        <v>4435</v>
      </c>
      <c r="B1542" s="272" t="s">
        <v>4418</v>
      </c>
    </row>
    <row r="1543" spans="1:3" x14ac:dyDescent="0.2">
      <c r="A1543" s="1452" t="s">
        <v>3360</v>
      </c>
      <c r="B1543" s="1511" t="s">
        <v>1969</v>
      </c>
      <c r="C1543" s="290">
        <v>2760</v>
      </c>
    </row>
    <row r="1544" spans="1:3" x14ac:dyDescent="0.2">
      <c r="A1544" t="s">
        <v>3361</v>
      </c>
      <c r="B1544"/>
    </row>
    <row r="1545" spans="1:3" x14ac:dyDescent="0.2">
      <c r="A1545" t="s">
        <v>3362</v>
      </c>
      <c r="B1545"/>
    </row>
    <row r="1546" spans="1:3" x14ac:dyDescent="0.2">
      <c r="A1546" s="272" t="s">
        <v>4660</v>
      </c>
      <c r="B1546"/>
    </row>
    <row r="1547" spans="1:3" x14ac:dyDescent="0.2">
      <c r="A1547" t="s">
        <v>3363</v>
      </c>
      <c r="B1547"/>
    </row>
    <row r="1548" spans="1:3" x14ac:dyDescent="0.2">
      <c r="A1548" s="272" t="s">
        <v>4410</v>
      </c>
      <c r="B1548" s="272" t="s">
        <v>4409</v>
      </c>
    </row>
    <row r="1549" spans="1:3" x14ac:dyDescent="0.2">
      <c r="A1549" t="s">
        <v>3364</v>
      </c>
      <c r="B1549"/>
    </row>
    <row r="1550" spans="1:3" x14ac:dyDescent="0.2">
      <c r="A1550" t="s">
        <v>3365</v>
      </c>
      <c r="B1550"/>
    </row>
    <row r="1551" spans="1:3" x14ac:dyDescent="0.2">
      <c r="A1551" t="s">
        <v>3366</v>
      </c>
      <c r="B1551"/>
    </row>
    <row r="1552" spans="1:3" x14ac:dyDescent="0.2">
      <c r="A1552" t="s">
        <v>3367</v>
      </c>
      <c r="B1552"/>
    </row>
    <row r="1553" spans="1:3" ht="13.5" customHeight="1" x14ac:dyDescent="0.2">
      <c r="A1553" t="s">
        <v>3368</v>
      </c>
      <c r="B1553"/>
    </row>
    <row r="1554" spans="1:3" x14ac:dyDescent="0.2">
      <c r="A1554" t="s">
        <v>3369</v>
      </c>
      <c r="B1554"/>
    </row>
    <row r="1555" spans="1:3" x14ac:dyDescent="0.2">
      <c r="A1555" t="s">
        <v>3370</v>
      </c>
      <c r="B1555"/>
    </row>
    <row r="1556" spans="1:3" x14ac:dyDescent="0.2">
      <c r="A1556" t="s">
        <v>3371</v>
      </c>
      <c r="B1556"/>
    </row>
    <row r="1557" spans="1:3" x14ac:dyDescent="0.2">
      <c r="A1557" s="1452" t="s">
        <v>1076</v>
      </c>
      <c r="B1557" s="1511" t="s">
        <v>1969</v>
      </c>
      <c r="C1557" s="290">
        <v>2770</v>
      </c>
    </row>
    <row r="1558" spans="1:3" x14ac:dyDescent="0.2">
      <c r="A1558" t="s">
        <v>3372</v>
      </c>
      <c r="B1558"/>
    </row>
    <row r="1559" spans="1:3" x14ac:dyDescent="0.2">
      <c r="A1559" s="1311" t="s">
        <v>3373</v>
      </c>
      <c r="B1559" s="1511" t="s">
        <v>1969</v>
      </c>
      <c r="C1559" s="290">
        <v>2780</v>
      </c>
    </row>
    <row r="1560" spans="1:3" x14ac:dyDescent="0.2">
      <c r="A1560" s="1465" t="s">
        <v>3374</v>
      </c>
      <c r="B1560" s="272" t="s">
        <v>3240</v>
      </c>
    </row>
    <row r="1561" spans="1:3" x14ac:dyDescent="0.2">
      <c r="A1561" s="272" t="s">
        <v>3375</v>
      </c>
      <c r="B1561" s="272" t="s">
        <v>2813</v>
      </c>
    </row>
    <row r="1562" spans="1:3" x14ac:dyDescent="0.2">
      <c r="A1562" s="272" t="s">
        <v>3376</v>
      </c>
      <c r="B1562"/>
    </row>
    <row r="1563" spans="1:3" ht="38.25" x14ac:dyDescent="0.2">
      <c r="A1563" s="1466" t="s">
        <v>3377</v>
      </c>
      <c r="B1563" s="267"/>
    </row>
    <row r="1564" spans="1:3" x14ac:dyDescent="0.2">
      <c r="A1564" s="1311" t="s">
        <v>3378</v>
      </c>
      <c r="B1564" s="1511" t="s">
        <v>1969</v>
      </c>
      <c r="C1564" s="290">
        <v>2785</v>
      </c>
    </row>
    <row r="1565" spans="1:3" x14ac:dyDescent="0.2">
      <c r="A1565" s="1457" t="s">
        <v>3379</v>
      </c>
      <c r="B1565" s="272" t="s">
        <v>2813</v>
      </c>
    </row>
    <row r="1566" spans="1:3" x14ac:dyDescent="0.2">
      <c r="A1566" s="1517" t="s">
        <v>4439</v>
      </c>
      <c r="B1566" s="1511" t="s">
        <v>1969</v>
      </c>
      <c r="C1566" s="1870">
        <v>2755</v>
      </c>
    </row>
    <row r="1567" spans="1:3" x14ac:dyDescent="0.2">
      <c r="A1567" s="1457" t="s">
        <v>4440</v>
      </c>
      <c r="B1567" s="272" t="s">
        <v>4418</v>
      </c>
    </row>
    <row r="1568" spans="1:3" x14ac:dyDescent="0.2">
      <c r="A1568" s="1452" t="s">
        <v>3380</v>
      </c>
      <c r="B1568" s="1511" t="s">
        <v>1969</v>
      </c>
    </row>
    <row r="1569" spans="1:3" x14ac:dyDescent="0.2">
      <c r="A1569" s="1452" t="s">
        <v>3381</v>
      </c>
      <c r="B1569"/>
      <c r="C1569" s="290">
        <v>2800</v>
      </c>
    </row>
    <row r="1570" spans="1:3" x14ac:dyDescent="0.2">
      <c r="A1570" t="s">
        <v>3382</v>
      </c>
      <c r="B1570"/>
    </row>
    <row r="1571" spans="1:3" x14ac:dyDescent="0.2">
      <c r="A1571" s="272" t="s">
        <v>4436</v>
      </c>
      <c r="B1571" s="272" t="s">
        <v>4418</v>
      </c>
    </row>
    <row r="1572" spans="1:3" x14ac:dyDescent="0.2">
      <c r="A1572" t="s">
        <v>3383</v>
      </c>
      <c r="B1572"/>
    </row>
    <row r="1573" spans="1:3" x14ac:dyDescent="0.2">
      <c r="A1573" s="272" t="s">
        <v>3384</v>
      </c>
      <c r="B1573" s="272" t="s">
        <v>3385</v>
      </c>
    </row>
    <row r="1574" spans="1:3" x14ac:dyDescent="0.2">
      <c r="A1574" s="272" t="s">
        <v>3912</v>
      </c>
      <c r="B1574" s="272" t="s">
        <v>3913</v>
      </c>
    </row>
    <row r="1575" spans="1:3" x14ac:dyDescent="0.2">
      <c r="A1575" s="272" t="s">
        <v>3386</v>
      </c>
      <c r="B1575" s="272" t="s">
        <v>3387</v>
      </c>
    </row>
    <row r="1576" spans="1:3" x14ac:dyDescent="0.2">
      <c r="A1576" s="1452" t="s">
        <v>3388</v>
      </c>
      <c r="B1576" s="1511" t="s">
        <v>1969</v>
      </c>
      <c r="C1576" s="290">
        <v>2810</v>
      </c>
    </row>
    <row r="1577" spans="1:3" x14ac:dyDescent="0.2">
      <c r="A1577" t="s">
        <v>3389</v>
      </c>
      <c r="B1577" s="272" t="s">
        <v>3390</v>
      </c>
    </row>
    <row r="1578" spans="1:3" x14ac:dyDescent="0.2">
      <c r="A1578" t="s">
        <v>3391</v>
      </c>
      <c r="B1578" s="272" t="s">
        <v>3392</v>
      </c>
    </row>
    <row r="1579" spans="1:3" x14ac:dyDescent="0.2">
      <c r="A1579" t="s">
        <v>3393</v>
      </c>
      <c r="B1579" s="272"/>
    </row>
    <row r="1580" spans="1:3" x14ac:dyDescent="0.2">
      <c r="A1580" s="272" t="s">
        <v>3394</v>
      </c>
      <c r="B1580" s="272" t="s">
        <v>3395</v>
      </c>
    </row>
    <row r="1581" spans="1:3" x14ac:dyDescent="0.2">
      <c r="A1581" t="s">
        <v>3396</v>
      </c>
      <c r="B1581"/>
    </row>
    <row r="1582" spans="1:3" x14ac:dyDescent="0.2">
      <c r="A1582" t="s">
        <v>3397</v>
      </c>
      <c r="B1582"/>
    </row>
    <row r="1583" spans="1:3" x14ac:dyDescent="0.2">
      <c r="A1583" t="s">
        <v>3398</v>
      </c>
      <c r="B1583" s="272" t="s">
        <v>3395</v>
      </c>
    </row>
    <row r="1584" spans="1:3" x14ac:dyDescent="0.2">
      <c r="A1584" s="1311" t="s">
        <v>3399</v>
      </c>
      <c r="B1584" s="1511" t="s">
        <v>1969</v>
      </c>
    </row>
    <row r="1585" spans="1:3" x14ac:dyDescent="0.2">
      <c r="A1585" s="1311" t="s">
        <v>3400</v>
      </c>
      <c r="B1585"/>
    </row>
    <row r="1586" spans="1:3" ht="25.5" x14ac:dyDescent="0.2">
      <c r="A1586" s="1456" t="s">
        <v>3401</v>
      </c>
      <c r="B1586" s="1550" t="s">
        <v>4253</v>
      </c>
      <c r="C1586" s="290">
        <v>2870</v>
      </c>
    </row>
    <row r="1587" spans="1:3" x14ac:dyDescent="0.2">
      <c r="A1587" s="1397" t="s">
        <v>3402</v>
      </c>
      <c r="B1587" s="1548" t="s">
        <v>3403</v>
      </c>
      <c r="C1587" s="290">
        <v>2880</v>
      </c>
    </row>
    <row r="1588" spans="1:3" x14ac:dyDescent="0.2">
      <c r="A1588" s="1467"/>
      <c r="B1588" s="1541" t="s">
        <v>5741</v>
      </c>
    </row>
    <row r="1589" spans="1:3" x14ac:dyDescent="0.2">
      <c r="A1589" s="1463" t="s">
        <v>3404</v>
      </c>
      <c r="B1589" s="1511" t="s">
        <v>3405</v>
      </c>
      <c r="C1589" s="290">
        <v>2890</v>
      </c>
    </row>
    <row r="1590" spans="1:3" x14ac:dyDescent="0.2">
      <c r="A1590" s="1452" t="s">
        <v>1432</v>
      </c>
      <c r="B1590" s="1511" t="s">
        <v>1969</v>
      </c>
      <c r="C1590" s="290">
        <v>2900</v>
      </c>
    </row>
    <row r="1591" spans="1:3" x14ac:dyDescent="0.2">
      <c r="A1591" s="1464" t="s">
        <v>3406</v>
      </c>
      <c r="B1591" s="1516"/>
    </row>
    <row r="1592" spans="1:3" x14ac:dyDescent="0.2">
      <c r="A1592" s="1337" t="s">
        <v>3407</v>
      </c>
      <c r="B1592" s="1515"/>
    </row>
    <row r="1593" spans="1:3" x14ac:dyDescent="0.2">
      <c r="A1593" s="1452" t="s">
        <v>1112</v>
      </c>
      <c r="B1593" s="1511" t="s">
        <v>1969</v>
      </c>
      <c r="C1593" s="357" t="s">
        <v>775</v>
      </c>
    </row>
    <row r="1594" spans="1:3" ht="25.5" x14ac:dyDescent="0.2">
      <c r="A1594" s="270" t="s">
        <v>3408</v>
      </c>
      <c r="B1594" s="1551" t="s">
        <v>3409</v>
      </c>
    </row>
    <row r="1595" spans="1:3" x14ac:dyDescent="0.2">
      <c r="A1595" t="s">
        <v>3410</v>
      </c>
      <c r="B1595"/>
    </row>
    <row r="1596" spans="1:3" x14ac:dyDescent="0.2">
      <c r="A1596" t="s">
        <v>3411</v>
      </c>
      <c r="B1596"/>
    </row>
    <row r="1597" spans="1:3" x14ac:dyDescent="0.2">
      <c r="A1597" s="1452" t="s">
        <v>1113</v>
      </c>
      <c r="B1597" s="1511" t="s">
        <v>1969</v>
      </c>
      <c r="C1597" s="357" t="s">
        <v>775</v>
      </c>
    </row>
    <row r="1598" spans="1:3" ht="51" x14ac:dyDescent="0.2">
      <c r="A1598" s="270" t="s">
        <v>3412</v>
      </c>
      <c r="B1598" s="1466" t="s">
        <v>3413</v>
      </c>
    </row>
    <row r="1599" spans="1:3" x14ac:dyDescent="0.2">
      <c r="A1599" s="272" t="s">
        <v>3414</v>
      </c>
      <c r="B1599"/>
    </row>
    <row r="1600" spans="1:3" x14ac:dyDescent="0.2">
      <c r="A1600" s="272" t="s">
        <v>3415</v>
      </c>
      <c r="B1600"/>
    </row>
    <row r="1601" spans="1:3" x14ac:dyDescent="0.2">
      <c r="A1601" s="1452" t="s">
        <v>1433</v>
      </c>
      <c r="B1601" s="1511" t="s">
        <v>1969</v>
      </c>
      <c r="C1601" s="290">
        <v>2940</v>
      </c>
    </row>
    <row r="1602" spans="1:3" x14ac:dyDescent="0.2">
      <c r="A1602" s="356" t="s">
        <v>3416</v>
      </c>
      <c r="B1602"/>
    </row>
    <row r="1603" spans="1:3" x14ac:dyDescent="0.2">
      <c r="A1603" s="356" t="s">
        <v>3417</v>
      </c>
      <c r="B1603"/>
    </row>
    <row r="1604" spans="1:3" x14ac:dyDescent="0.2">
      <c r="A1604" s="356" t="s">
        <v>3418</v>
      </c>
      <c r="B1604"/>
    </row>
    <row r="1605" spans="1:3" x14ac:dyDescent="0.2">
      <c r="A1605" s="356" t="s">
        <v>3419</v>
      </c>
      <c r="B1605"/>
    </row>
    <row r="1606" spans="1:3" x14ac:dyDescent="0.2">
      <c r="A1606" s="356" t="s">
        <v>3420</v>
      </c>
      <c r="B1606"/>
    </row>
    <row r="1607" spans="1:3" x14ac:dyDescent="0.2">
      <c r="A1607" s="356" t="s">
        <v>3421</v>
      </c>
      <c r="B1607"/>
    </row>
    <row r="1608" spans="1:3" x14ac:dyDescent="0.2">
      <c r="A1608" s="1452" t="s">
        <v>243</v>
      </c>
      <c r="B1608" s="1511" t="s">
        <v>3422</v>
      </c>
      <c r="C1608" s="290">
        <v>2950</v>
      </c>
    </row>
    <row r="1609" spans="1:3" x14ac:dyDescent="0.2">
      <c r="A1609" s="2" t="s">
        <v>3423</v>
      </c>
      <c r="B1609"/>
      <c r="C1609" s="290">
        <v>2960</v>
      </c>
    </row>
    <row r="1610" spans="1:3" x14ac:dyDescent="0.2">
      <c r="A1610" s="1452" t="s">
        <v>3424</v>
      </c>
      <c r="B1610" s="1511" t="s">
        <v>1969</v>
      </c>
      <c r="C1610" s="290">
        <v>2960</v>
      </c>
    </row>
    <row r="1611" spans="1:3" x14ac:dyDescent="0.2">
      <c r="A1611" t="s">
        <v>3425</v>
      </c>
      <c r="B1611"/>
    </row>
    <row r="1612" spans="1:3" x14ac:dyDescent="0.2">
      <c r="A1612" s="1452" t="s">
        <v>3426</v>
      </c>
      <c r="B1612" s="1511" t="s">
        <v>1969</v>
      </c>
      <c r="C1612" s="290">
        <v>2960</v>
      </c>
    </row>
    <row r="1613" spans="1:3" x14ac:dyDescent="0.2">
      <c r="A1613" t="s">
        <v>3427</v>
      </c>
      <c r="B1613"/>
    </row>
    <row r="1614" spans="1:3" x14ac:dyDescent="0.2">
      <c r="A1614" s="1452" t="s">
        <v>1054</v>
      </c>
      <c r="B1614" s="1511" t="s">
        <v>3428</v>
      </c>
      <c r="C1614" s="290">
        <v>2990</v>
      </c>
    </row>
    <row r="1615" spans="1:3" x14ac:dyDescent="0.2">
      <c r="B1615"/>
    </row>
    <row r="1616" spans="1:3" x14ac:dyDescent="0.2">
      <c r="A1616" s="272" t="s">
        <v>2712</v>
      </c>
      <c r="B1616"/>
    </row>
    <row r="1617" spans="1:2" x14ac:dyDescent="0.2">
      <c r="A1617" s="1532" t="s">
        <v>2713</v>
      </c>
      <c r="B1617"/>
    </row>
    <row r="1618" spans="1:2" x14ac:dyDescent="0.2">
      <c r="A1618" s="272" t="s">
        <v>2714</v>
      </c>
      <c r="B1618"/>
    </row>
  </sheetData>
  <sheetProtection algorithmName="SHA-512" hashValue="lsMYSazk9sZ8bbz6Mm8oneCValKjNBKybncUm0zZpZsjF0YaQGsN7XYKNaiusB+v1cSEL2ejJIRP6Rfzfvj86g==" saltValue="wzE8memULyIgOgsMdxg7zg==" spinCount="100000" sheet="1" objects="1" scenarios="1" autoFilter="0"/>
  <customSheetViews>
    <customSheetView guid="{B08879A4-635B-4C39-9937-AC7883D562FC}">
      <pane ySplit="1" topLeftCell="A242" activePane="bottomLeft" state="frozen"/>
      <selection pane="bottomLeft" activeCell="B12" sqref="B12"/>
      <pageMargins left="0.5" right="0.5" top="0.25" bottom="0.5" header="0" footer="0.25"/>
      <pageSetup scale="80" orientation="portrait" r:id="rId1"/>
      <headerFooter alignWithMargins="0">
        <oddFooter>&amp;L&amp;D &amp;T&amp;C&amp;F&amp;Rpg.&amp;P of &amp;N</oddFooter>
      </headerFooter>
    </customSheetView>
    <customSheetView guid="{9FCFC836-1CA5-48BF-958D-24D2EA94B219}">
      <pane ySplit="1" topLeftCell="A242" activePane="bottomLeft" state="frozen"/>
      <selection pane="bottomLeft" activeCell="B12" sqref="B12"/>
      <pageMargins left="0.5" right="0.5" top="0.25" bottom="0.5" header="0" footer="0.25"/>
      <pageSetup scale="80" orientation="portrait" r:id="rId2"/>
      <headerFooter alignWithMargins="0">
        <oddFooter>&amp;L&amp;D &amp;T&amp;C&amp;F&amp;Rpg.&amp;P of &amp;N</oddFooter>
      </headerFooter>
    </customSheetView>
  </customSheetViews>
  <hyperlinks>
    <hyperlink ref="A873" r:id="rId3" xr:uid="{00000000-0004-0000-4B00-000000000000}"/>
    <hyperlink ref="A1617" r:id="rId4" xr:uid="{00000000-0004-0000-4B00-000001000000}"/>
  </hyperlinks>
  <pageMargins left="0.5" right="0.5" top="0.5" bottom="0.5" header="0.5" footer="0.25"/>
  <pageSetup scale="70" orientation="portrait" r:id="rId5"/>
  <headerFooter alignWithMargins="0">
    <oddFooter xml:space="preserve">&amp;L&amp;D &amp;T&amp;CPage &amp;P of &amp;N&amp;R&amp;A </oddFoot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3">
    <tabColor theme="6" tint="0.39997558519241921"/>
  </sheetPr>
  <dimension ref="A1:Z273"/>
  <sheetViews>
    <sheetView zoomScaleNormal="100" zoomScaleSheetLayoutView="100" workbookViewId="0">
      <pane xSplit="6" ySplit="9" topLeftCell="S10" activePane="bottomRight" state="frozen"/>
      <selection sqref="A1:E1"/>
      <selection pane="topRight" sqref="A1:E1"/>
      <selection pane="bottomLeft" sqref="A1:E1"/>
      <selection pane="bottomRight" activeCell="U8" sqref="U8"/>
    </sheetView>
  </sheetViews>
  <sheetFormatPr defaultRowHeight="12.75" x14ac:dyDescent="0.2"/>
  <cols>
    <col min="1" max="1" width="5.5703125" customWidth="1"/>
    <col min="2" max="2" width="11" customWidth="1"/>
    <col min="3" max="3" width="7.5703125" customWidth="1"/>
    <col min="4" max="4" width="23" customWidth="1"/>
    <col min="5" max="5" width="14.42578125" customWidth="1"/>
    <col min="6" max="6" width="22.42578125" style="649" customWidth="1"/>
    <col min="7" max="7" width="3.42578125" customWidth="1"/>
    <col min="8" max="8" width="16.5703125" customWidth="1"/>
    <col min="9" max="9" width="17" bestFit="1" customWidth="1"/>
    <col min="10" max="10" width="16.5703125" customWidth="1"/>
    <col min="11" max="11" width="15.42578125" customWidth="1"/>
    <col min="12" max="12" width="15.42578125" bestFit="1" customWidth="1"/>
    <col min="13" max="16" width="16.42578125" customWidth="1"/>
    <col min="17" max="17" width="16.42578125" hidden="1" customWidth="1"/>
    <col min="18" max="19" width="16.42578125" customWidth="1"/>
    <col min="21" max="21" width="24" style="2182" bestFit="1" customWidth="1"/>
    <col min="24" max="24" width="11" customWidth="1"/>
  </cols>
  <sheetData>
    <row r="1" spans="1:26" ht="15.75" x14ac:dyDescent="0.25">
      <c r="A1" s="2449" t="str">
        <f>+Index!$A$1</f>
        <v xml:space="preserve">                                                               Office of the State Controller                                                                </v>
      </c>
      <c r="B1" s="2449"/>
      <c r="C1" s="2449"/>
      <c r="D1" s="2449"/>
      <c r="E1" s="2449"/>
      <c r="F1" s="2449"/>
      <c r="G1" s="2449"/>
      <c r="H1" s="1075" t="str">
        <f>IF(Index!$B$103="na", "NA", "")</f>
        <v/>
      </c>
      <c r="I1" s="622"/>
      <c r="J1" s="622"/>
      <c r="K1" s="622"/>
      <c r="L1" s="622"/>
      <c r="M1" s="622"/>
      <c r="N1" s="622"/>
      <c r="O1" s="622"/>
      <c r="P1" s="622"/>
      <c r="Q1" s="622"/>
      <c r="R1" s="622"/>
      <c r="S1" s="622"/>
      <c r="T1" s="622"/>
      <c r="U1" s="2173"/>
      <c r="V1" s="622"/>
      <c r="W1" s="622"/>
      <c r="X1" s="622"/>
    </row>
    <row r="2" spans="1:26" ht="16.5" x14ac:dyDescent="0.3">
      <c r="A2" s="2431" t="str">
        <f>+Index!$A$2</f>
        <v>2022 ACFR Worksheets</v>
      </c>
      <c r="B2" s="2431"/>
      <c r="C2" s="2431"/>
      <c r="D2" s="2431"/>
      <c r="E2" s="2431"/>
      <c r="F2" s="2431"/>
      <c r="G2" s="2431"/>
      <c r="H2" s="623"/>
      <c r="I2" s="623"/>
      <c r="J2" s="623"/>
      <c r="K2" s="632"/>
      <c r="L2" s="632"/>
      <c r="M2" s="632"/>
      <c r="N2" s="632"/>
      <c r="O2" s="632"/>
      <c r="P2" s="632"/>
      <c r="Q2" s="632"/>
      <c r="R2" s="632"/>
      <c r="S2" s="632"/>
      <c r="T2" s="632"/>
      <c r="U2" s="2181"/>
      <c r="V2" s="632"/>
      <c r="W2" s="632"/>
      <c r="X2" s="632"/>
    </row>
    <row r="3" spans="1:26" ht="54" customHeight="1" x14ac:dyDescent="0.3">
      <c r="A3" s="2983" t="s">
        <v>3584</v>
      </c>
      <c r="B3" s="2983"/>
      <c r="C3" s="2983"/>
      <c r="D3" s="2983"/>
      <c r="E3" s="2983"/>
      <c r="F3" s="2983"/>
      <c r="G3" s="2983"/>
      <c r="H3" s="1074"/>
      <c r="I3" s="1074"/>
      <c r="J3" s="1074"/>
      <c r="K3" s="1074"/>
      <c r="L3" s="632"/>
      <c r="M3" s="632"/>
      <c r="N3" s="632"/>
      <c r="O3" s="632"/>
      <c r="P3" s="632"/>
      <c r="Q3" s="632"/>
      <c r="R3" s="632"/>
      <c r="S3" s="632"/>
      <c r="T3" s="632"/>
      <c r="U3" s="2181"/>
      <c r="V3" s="632"/>
      <c r="W3" s="632"/>
      <c r="X3" s="632"/>
    </row>
    <row r="4" spans="1:26" ht="17.25" customHeight="1" x14ac:dyDescent="0.2">
      <c r="A4" s="2932"/>
      <c r="B4" s="2932"/>
      <c r="C4" s="2932"/>
      <c r="D4" s="2932"/>
      <c r="E4" s="2932"/>
      <c r="F4" s="2932"/>
      <c r="G4" s="2932"/>
    </row>
    <row r="5" spans="1:26" s="200" customFormat="1" ht="21.75" customHeight="1" x14ac:dyDescent="0.25">
      <c r="A5" s="200" t="s">
        <v>327</v>
      </c>
      <c r="C5" s="636" t="str">
        <f>+Index!$E$10</f>
        <v>01</v>
      </c>
      <c r="D5" s="1488"/>
      <c r="E5" s="1076" t="s">
        <v>972</v>
      </c>
      <c r="F5" s="2977" t="str">
        <f>+CONCATENATE(Index!$E$12," ",Index!$E$14)</f>
        <v xml:space="preserve"> </v>
      </c>
      <c r="G5" s="2977"/>
      <c r="K5" s="633"/>
      <c r="T5" s="1852"/>
      <c r="U5" s="2183"/>
      <c r="Y5" s="199"/>
    </row>
    <row r="6" spans="1:26" s="200" customFormat="1" ht="15" customHeight="1" x14ac:dyDescent="0.2">
      <c r="A6" s="200" t="s">
        <v>1154</v>
      </c>
      <c r="C6" s="2973" t="str">
        <f>+Index!$E$11</f>
        <v>North Carolina General Assembly</v>
      </c>
      <c r="D6" s="2973"/>
      <c r="E6" s="800" t="s">
        <v>348</v>
      </c>
      <c r="F6" s="2978">
        <f>+Index!$E$13</f>
        <v>0</v>
      </c>
      <c r="G6" s="2978"/>
      <c r="K6" s="634"/>
      <c r="L6" s="634"/>
      <c r="M6" s="634"/>
      <c r="N6" s="634"/>
      <c r="O6" s="634"/>
      <c r="P6" s="634"/>
      <c r="Q6" s="634"/>
      <c r="R6" s="634"/>
      <c r="S6" s="634"/>
      <c r="T6" s="634"/>
      <c r="U6" s="2184"/>
      <c r="V6" s="634"/>
      <c r="W6" s="634"/>
      <c r="X6" s="201"/>
      <c r="Y6" s="199"/>
    </row>
    <row r="7" spans="1:26" s="200" customFormat="1" ht="15" customHeight="1" x14ac:dyDescent="0.2">
      <c r="A7" s="200" t="s">
        <v>477</v>
      </c>
      <c r="C7" s="1069" t="e">
        <f>INDEX(NetAssetsData,MATCH('905Hosp'!$C$5,NetAssetsDataRow,0),4)</f>
        <v>#N/A</v>
      </c>
      <c r="F7" s="801"/>
      <c r="T7" s="803" t="s">
        <v>1517</v>
      </c>
      <c r="U7" s="2183"/>
      <c r="Y7" s="199"/>
    </row>
    <row r="8" spans="1:26" s="200" customFormat="1" ht="81" customHeight="1" x14ac:dyDescent="0.2">
      <c r="A8" s="2979" t="s">
        <v>4945</v>
      </c>
      <c r="B8" s="2984"/>
      <c r="C8" s="2984"/>
      <c r="D8" s="2984"/>
      <c r="E8" s="2984"/>
      <c r="F8" s="2985"/>
      <c r="G8" s="1605"/>
      <c r="H8" s="1605"/>
      <c r="I8" s="1605"/>
      <c r="Q8" s="2029" t="s">
        <v>4700</v>
      </c>
      <c r="T8" s="803"/>
      <c r="U8" s="2183"/>
      <c r="Y8" s="199"/>
    </row>
    <row r="9" spans="1:26" s="124" customFormat="1" ht="12" customHeight="1" thickBot="1" x14ac:dyDescent="0.3">
      <c r="A9" s="2876" t="s">
        <v>1481</v>
      </c>
      <c r="B9" s="2876"/>
      <c r="C9" s="2876"/>
      <c r="D9" s="2876"/>
      <c r="E9" s="129"/>
      <c r="F9" s="1067" t="s">
        <v>1461</v>
      </c>
      <c r="G9" s="1068"/>
      <c r="H9" s="1073" t="s">
        <v>4492</v>
      </c>
      <c r="I9" s="1073" t="s">
        <v>1473</v>
      </c>
      <c r="J9" s="1068" t="s">
        <v>896</v>
      </c>
      <c r="K9" s="1068" t="s">
        <v>169</v>
      </c>
      <c r="L9" s="1068" t="s">
        <v>168</v>
      </c>
      <c r="M9" s="1068" t="s">
        <v>1304</v>
      </c>
      <c r="N9" s="1067" t="s">
        <v>1399</v>
      </c>
      <c r="O9" s="1067" t="s">
        <v>4581</v>
      </c>
      <c r="P9" s="1067" t="s">
        <v>3525</v>
      </c>
      <c r="Q9" s="1067" t="s">
        <v>3524</v>
      </c>
      <c r="R9" s="1067"/>
      <c r="S9" s="1067"/>
      <c r="T9" s="983" t="s">
        <v>1518</v>
      </c>
      <c r="U9" s="2185"/>
      <c r="V9" s="38"/>
      <c r="W9" s="38"/>
      <c r="X9" s="2174" t="s">
        <v>5104</v>
      </c>
      <c r="Y9" s="2174" t="s">
        <v>1461</v>
      </c>
      <c r="Z9" s="38"/>
    </row>
    <row r="10" spans="1:26" ht="15" x14ac:dyDescent="0.25">
      <c r="A10" s="2876" t="s">
        <v>3583</v>
      </c>
      <c r="B10" s="2876"/>
      <c r="C10" s="2876"/>
      <c r="D10" s="2876"/>
      <c r="F10" s="803" t="s">
        <v>1462</v>
      </c>
      <c r="H10" s="1898" t="s">
        <v>1462</v>
      </c>
      <c r="I10" s="803" t="s">
        <v>1474</v>
      </c>
      <c r="J10" s="803">
        <v>2635</v>
      </c>
      <c r="K10" s="803">
        <v>2632</v>
      </c>
      <c r="L10" s="803">
        <v>2637</v>
      </c>
      <c r="M10" s="803">
        <v>2638</v>
      </c>
      <c r="N10" s="803">
        <v>2639</v>
      </c>
      <c r="O10" s="803" t="s">
        <v>1462</v>
      </c>
      <c r="P10" s="803" t="s">
        <v>1462</v>
      </c>
      <c r="Q10" s="803" t="s">
        <v>1917</v>
      </c>
      <c r="R10" s="803" t="s">
        <v>1917</v>
      </c>
      <c r="S10" s="803" t="s">
        <v>1917</v>
      </c>
      <c r="X10" s="2174" t="s">
        <v>5106</v>
      </c>
      <c r="Y10" s="2186">
        <v>4800</v>
      </c>
    </row>
    <row r="11" spans="1:26" x14ac:dyDescent="0.2">
      <c r="B11" s="2972" t="s">
        <v>1891</v>
      </c>
      <c r="C11" s="2972"/>
      <c r="D11" s="2972"/>
      <c r="E11" s="2972"/>
      <c r="F11" s="803" t="s">
        <v>1480</v>
      </c>
      <c r="G11" s="803"/>
      <c r="H11" s="1899" t="s">
        <v>4493</v>
      </c>
      <c r="I11" s="649"/>
      <c r="J11" s="803" t="s">
        <v>1434</v>
      </c>
      <c r="K11" s="803" t="s">
        <v>1435</v>
      </c>
      <c r="L11" s="803" t="s">
        <v>1477</v>
      </c>
      <c r="M11" s="803" t="s">
        <v>3795</v>
      </c>
      <c r="N11" s="803" t="s">
        <v>1143</v>
      </c>
      <c r="O11" s="803" t="s">
        <v>4582</v>
      </c>
      <c r="P11" s="803" t="s">
        <v>3693</v>
      </c>
      <c r="Q11" s="803" t="s">
        <v>3691</v>
      </c>
      <c r="R11" s="803"/>
      <c r="S11" s="803"/>
    </row>
    <row r="12" spans="1:26" x14ac:dyDescent="0.2">
      <c r="B12" s="783"/>
      <c r="C12" s="783"/>
      <c r="F12" s="983" t="s">
        <v>1482</v>
      </c>
      <c r="G12" s="802"/>
      <c r="H12" s="1900" t="s">
        <v>4492</v>
      </c>
      <c r="I12" s="983" t="s">
        <v>678</v>
      </c>
      <c r="J12" s="983" t="s">
        <v>1476</v>
      </c>
      <c r="K12" s="983" t="s">
        <v>1436</v>
      </c>
      <c r="L12" s="983" t="s">
        <v>1478</v>
      </c>
      <c r="M12" s="983" t="s">
        <v>1479</v>
      </c>
      <c r="N12" s="983" t="s">
        <v>3796</v>
      </c>
      <c r="O12" s="983" t="s">
        <v>4583</v>
      </c>
      <c r="P12" s="983" t="s">
        <v>3694</v>
      </c>
      <c r="Q12" s="983" t="s">
        <v>1479</v>
      </c>
      <c r="R12" s="983"/>
      <c r="S12" s="983"/>
    </row>
    <row r="13" spans="1:26" x14ac:dyDescent="0.2">
      <c r="A13" s="2" t="s">
        <v>3585</v>
      </c>
      <c r="B13" s="784" t="s">
        <v>629</v>
      </c>
      <c r="C13" s="784"/>
      <c r="G13" s="820"/>
    </row>
    <row r="14" spans="1:26" x14ac:dyDescent="0.2">
      <c r="A14" s="335">
        <v>1000</v>
      </c>
      <c r="B14" s="2876" t="s">
        <v>630</v>
      </c>
      <c r="C14" s="2876"/>
      <c r="D14" s="2876"/>
      <c r="E14" s="2876"/>
      <c r="F14" s="650">
        <f>SUM(H14:S14)</f>
        <v>0</v>
      </c>
      <c r="G14" s="14"/>
      <c r="H14" s="659">
        <v>0</v>
      </c>
      <c r="I14" s="659">
        <v>0</v>
      </c>
      <c r="J14" s="659">
        <v>0</v>
      </c>
      <c r="K14" s="659">
        <v>0</v>
      </c>
      <c r="L14" s="659">
        <v>0</v>
      </c>
      <c r="M14" s="659">
        <v>0</v>
      </c>
      <c r="N14" s="659">
        <v>0</v>
      </c>
      <c r="O14" s="659">
        <v>0</v>
      </c>
      <c r="P14" s="659">
        <v>0</v>
      </c>
      <c r="Q14" s="659">
        <v>0</v>
      </c>
      <c r="R14" s="659">
        <v>0</v>
      </c>
      <c r="S14" s="659">
        <v>0</v>
      </c>
      <c r="U14" s="2187">
        <v>11111000</v>
      </c>
    </row>
    <row r="15" spans="1:26" x14ac:dyDescent="0.2">
      <c r="A15" s="335">
        <v>1010</v>
      </c>
      <c r="B15" s="2876" t="s">
        <v>1419</v>
      </c>
      <c r="C15" s="2876"/>
      <c r="D15" s="2876"/>
      <c r="E15" s="2876"/>
      <c r="F15" s="649">
        <f>SUM(H15:S15)</f>
        <v>0</v>
      </c>
      <c r="H15" s="659">
        <v>0</v>
      </c>
      <c r="I15" s="659">
        <v>0</v>
      </c>
      <c r="J15" s="659">
        <v>0</v>
      </c>
      <c r="K15" s="659">
        <v>0</v>
      </c>
      <c r="L15" s="659">
        <v>0</v>
      </c>
      <c r="M15" s="659">
        <v>0</v>
      </c>
      <c r="N15" s="659">
        <v>0</v>
      </c>
      <c r="O15" s="659">
        <v>0</v>
      </c>
      <c r="P15" s="659">
        <v>0</v>
      </c>
      <c r="Q15" s="659">
        <v>0</v>
      </c>
      <c r="R15" s="659">
        <v>0</v>
      </c>
      <c r="S15" s="659">
        <v>0</v>
      </c>
      <c r="U15" s="2188">
        <v>11121000</v>
      </c>
    </row>
    <row r="16" spans="1:26" x14ac:dyDescent="0.2">
      <c r="A16" s="335">
        <v>1050</v>
      </c>
      <c r="B16" s="2876" t="s">
        <v>425</v>
      </c>
      <c r="C16" s="2876"/>
      <c r="D16" s="2876"/>
      <c r="E16" s="2876"/>
      <c r="F16" s="649">
        <f t="shared" ref="F16:F24" si="0">SUM(H16:S16)</f>
        <v>0</v>
      </c>
      <c r="G16" s="14"/>
      <c r="H16" s="659">
        <v>0</v>
      </c>
      <c r="I16" s="659">
        <v>0</v>
      </c>
      <c r="J16" s="659">
        <v>0</v>
      </c>
      <c r="K16" s="659">
        <v>0</v>
      </c>
      <c r="L16" s="659">
        <v>0</v>
      </c>
      <c r="M16" s="659">
        <v>0</v>
      </c>
      <c r="N16" s="659">
        <v>0</v>
      </c>
      <c r="O16" s="659">
        <v>0</v>
      </c>
      <c r="P16" s="659">
        <v>0</v>
      </c>
      <c r="Q16" s="659">
        <v>0</v>
      </c>
      <c r="R16" s="659">
        <v>0</v>
      </c>
      <c r="S16" s="659">
        <v>0</v>
      </c>
      <c r="U16" s="2188">
        <v>11210100</v>
      </c>
    </row>
    <row r="17" spans="1:21" x14ac:dyDescent="0.2">
      <c r="A17" s="335">
        <v>1060</v>
      </c>
      <c r="B17" s="2876" t="s">
        <v>1223</v>
      </c>
      <c r="C17" s="2876"/>
      <c r="D17" s="2876"/>
      <c r="E17" s="2876"/>
      <c r="F17" s="649">
        <f t="shared" si="0"/>
        <v>0</v>
      </c>
      <c r="G17" s="821"/>
      <c r="H17" s="659">
        <v>0</v>
      </c>
      <c r="I17" s="659">
        <v>0</v>
      </c>
      <c r="J17" s="659">
        <v>0</v>
      </c>
      <c r="K17" s="659">
        <v>0</v>
      </c>
      <c r="L17" s="659">
        <v>0</v>
      </c>
      <c r="M17" s="659">
        <v>0</v>
      </c>
      <c r="N17" s="659">
        <v>0</v>
      </c>
      <c r="O17" s="659">
        <v>0</v>
      </c>
      <c r="P17" s="659">
        <v>0</v>
      </c>
      <c r="Q17" s="659">
        <v>0</v>
      </c>
      <c r="R17" s="659">
        <v>0</v>
      </c>
      <c r="S17" s="659">
        <v>0</v>
      </c>
      <c r="U17" s="2188">
        <v>11221000</v>
      </c>
    </row>
    <row r="18" spans="1:21" x14ac:dyDescent="0.2">
      <c r="A18" s="335">
        <v>1090</v>
      </c>
      <c r="B18" s="2876" t="s">
        <v>1421</v>
      </c>
      <c r="C18" s="2876"/>
      <c r="D18" s="2876"/>
      <c r="E18" s="2876"/>
      <c r="F18" s="649">
        <f t="shared" si="0"/>
        <v>0</v>
      </c>
      <c r="G18" s="864"/>
      <c r="H18" s="659">
        <v>0</v>
      </c>
      <c r="I18" s="659">
        <v>0</v>
      </c>
      <c r="J18" s="659">
        <v>0</v>
      </c>
      <c r="K18" s="659">
        <v>0</v>
      </c>
      <c r="L18" s="659">
        <v>0</v>
      </c>
      <c r="M18" s="659">
        <v>0</v>
      </c>
      <c r="N18" s="659">
        <v>0</v>
      </c>
      <c r="O18" s="659">
        <v>0</v>
      </c>
      <c r="P18" s="659">
        <v>0</v>
      </c>
      <c r="Q18" s="659">
        <v>0</v>
      </c>
      <c r="R18" s="659">
        <v>0</v>
      </c>
      <c r="S18" s="659">
        <v>0</v>
      </c>
      <c r="U18" s="2188">
        <v>11230000</v>
      </c>
    </row>
    <row r="19" spans="1:21" x14ac:dyDescent="0.2">
      <c r="A19" s="335"/>
      <c r="B19" s="335" t="s">
        <v>198</v>
      </c>
      <c r="C19" s="335"/>
      <c r="H19" s="393"/>
      <c r="I19" s="649"/>
      <c r="J19" s="649"/>
      <c r="K19" s="649"/>
      <c r="L19" s="649"/>
      <c r="M19" s="649"/>
      <c r="N19" s="649"/>
      <c r="O19" s="649"/>
      <c r="P19" s="649"/>
      <c r="Q19" s="649"/>
      <c r="R19" s="649"/>
      <c r="S19" s="649"/>
      <c r="U19" s="2188"/>
    </row>
    <row r="20" spans="1:21" x14ac:dyDescent="0.2">
      <c r="A20" s="335">
        <v>1110</v>
      </c>
      <c r="B20" s="2969" t="s">
        <v>199</v>
      </c>
      <c r="C20" s="2969"/>
      <c r="D20" s="2969"/>
      <c r="E20" s="2969"/>
      <c r="F20" s="649">
        <f t="shared" si="0"/>
        <v>0</v>
      </c>
      <c r="H20" s="659">
        <v>0</v>
      </c>
      <c r="I20" s="659">
        <v>0</v>
      </c>
      <c r="J20" s="659">
        <v>0</v>
      </c>
      <c r="K20" s="659">
        <v>0</v>
      </c>
      <c r="L20" s="659">
        <v>0</v>
      </c>
      <c r="M20" s="659">
        <v>0</v>
      </c>
      <c r="N20" s="659">
        <v>0</v>
      </c>
      <c r="O20" s="659">
        <v>0</v>
      </c>
      <c r="P20" s="659">
        <v>0</v>
      </c>
      <c r="Q20" s="659">
        <v>0</v>
      </c>
      <c r="R20" s="659">
        <v>0</v>
      </c>
      <c r="S20" s="659">
        <v>0</v>
      </c>
      <c r="U20" s="2188">
        <v>11320000</v>
      </c>
    </row>
    <row r="21" spans="1:21" x14ac:dyDescent="0.2">
      <c r="A21" s="335">
        <v>1120</v>
      </c>
      <c r="B21" s="2969" t="s">
        <v>312</v>
      </c>
      <c r="C21" s="2969"/>
      <c r="D21" s="2969"/>
      <c r="E21" s="2969"/>
      <c r="F21" s="649">
        <f t="shared" si="0"/>
        <v>0</v>
      </c>
      <c r="H21" s="659">
        <v>0</v>
      </c>
      <c r="I21" s="659">
        <v>0</v>
      </c>
      <c r="J21" s="659">
        <v>0</v>
      </c>
      <c r="K21" s="659">
        <v>0</v>
      </c>
      <c r="L21" s="659">
        <v>0</v>
      </c>
      <c r="M21" s="659">
        <v>0</v>
      </c>
      <c r="N21" s="659">
        <v>0</v>
      </c>
      <c r="O21" s="659">
        <v>0</v>
      </c>
      <c r="P21" s="659">
        <v>0</v>
      </c>
      <c r="Q21" s="659">
        <v>0</v>
      </c>
      <c r="R21" s="659">
        <v>0</v>
      </c>
      <c r="S21" s="659">
        <v>0</v>
      </c>
      <c r="U21" s="2188">
        <v>11341000</v>
      </c>
    </row>
    <row r="22" spans="1:21" x14ac:dyDescent="0.2">
      <c r="A22" s="335">
        <v>1130</v>
      </c>
      <c r="B22" s="2969" t="s">
        <v>200</v>
      </c>
      <c r="C22" s="2969"/>
      <c r="D22" s="2969"/>
      <c r="E22" s="2969"/>
      <c r="F22" s="649">
        <f t="shared" si="0"/>
        <v>0</v>
      </c>
      <c r="H22" s="659">
        <v>0</v>
      </c>
      <c r="I22" s="659">
        <v>0</v>
      </c>
      <c r="J22" s="659">
        <v>0</v>
      </c>
      <c r="K22" s="659">
        <v>0</v>
      </c>
      <c r="L22" s="659">
        <v>0</v>
      </c>
      <c r="M22" s="659">
        <v>0</v>
      </c>
      <c r="N22" s="659">
        <v>0</v>
      </c>
      <c r="O22" s="659">
        <v>0</v>
      </c>
      <c r="P22" s="659">
        <v>0</v>
      </c>
      <c r="Q22" s="659">
        <v>0</v>
      </c>
      <c r="R22" s="659">
        <v>0</v>
      </c>
      <c r="S22" s="659">
        <v>0</v>
      </c>
      <c r="U22" s="2188">
        <v>11351000</v>
      </c>
    </row>
    <row r="23" spans="1:21" x14ac:dyDescent="0.2">
      <c r="A23" s="335">
        <v>1160</v>
      </c>
      <c r="B23" s="2969" t="s">
        <v>637</v>
      </c>
      <c r="C23" s="2969"/>
      <c r="D23" s="2969"/>
      <c r="E23" s="2969"/>
      <c r="F23" s="649">
        <f t="shared" si="0"/>
        <v>0</v>
      </c>
      <c r="H23" s="659">
        <v>0</v>
      </c>
      <c r="I23" s="659">
        <v>0</v>
      </c>
      <c r="J23" s="659">
        <v>0</v>
      </c>
      <c r="K23" s="659">
        <v>0</v>
      </c>
      <c r="L23" s="659">
        <v>0</v>
      </c>
      <c r="M23" s="659">
        <v>0</v>
      </c>
      <c r="N23" s="659">
        <v>0</v>
      </c>
      <c r="O23" s="659">
        <v>0</v>
      </c>
      <c r="P23" s="659">
        <v>0</v>
      </c>
      <c r="Q23" s="659">
        <v>0</v>
      </c>
      <c r="R23" s="659">
        <v>0</v>
      </c>
      <c r="S23" s="659">
        <v>0</v>
      </c>
      <c r="U23" s="2188">
        <v>11336000</v>
      </c>
    </row>
    <row r="24" spans="1:21" x14ac:dyDescent="0.2">
      <c r="A24" s="335">
        <v>1175</v>
      </c>
      <c r="B24" s="2876" t="s">
        <v>4965</v>
      </c>
      <c r="C24" s="2876"/>
      <c r="D24" s="2876"/>
      <c r="E24" s="2876"/>
      <c r="F24" s="1036">
        <f t="shared" si="0"/>
        <v>0</v>
      </c>
      <c r="H24" s="1079">
        <v>0</v>
      </c>
      <c r="I24" s="1079">
        <v>0</v>
      </c>
      <c r="J24" s="1079">
        <v>0</v>
      </c>
      <c r="K24" s="1079">
        <v>0</v>
      </c>
      <c r="L24" s="1079">
        <v>0</v>
      </c>
      <c r="M24" s="1079">
        <v>0</v>
      </c>
      <c r="N24" s="1079">
        <v>0</v>
      </c>
      <c r="O24" s="1079">
        <v>0</v>
      </c>
      <c r="P24" s="1079">
        <v>0</v>
      </c>
      <c r="Q24" s="1079"/>
      <c r="R24" s="1079">
        <v>0</v>
      </c>
      <c r="S24" s="1079">
        <v>0</v>
      </c>
      <c r="U24" s="2188">
        <v>11450100</v>
      </c>
    </row>
    <row r="25" spans="1:21" x14ac:dyDescent="0.2">
      <c r="A25" s="1129">
        <v>1190</v>
      </c>
      <c r="B25" s="2964" t="s">
        <v>1484</v>
      </c>
      <c r="C25" s="2964"/>
      <c r="D25" s="2964"/>
      <c r="E25" s="2964"/>
      <c r="F25" s="1036">
        <f>'525'!H24</f>
        <v>0</v>
      </c>
      <c r="H25" s="1079">
        <v>0</v>
      </c>
      <c r="I25" s="1079">
        <v>0</v>
      </c>
      <c r="J25" s="1079">
        <v>0</v>
      </c>
      <c r="K25" s="1079">
        <v>0</v>
      </c>
      <c r="L25" s="1079">
        <v>0</v>
      </c>
      <c r="M25" s="1079">
        <v>0</v>
      </c>
      <c r="N25" s="1079">
        <v>0</v>
      </c>
      <c r="O25" s="1079">
        <v>0</v>
      </c>
      <c r="P25" s="1079">
        <v>0</v>
      </c>
      <c r="Q25" s="1079">
        <v>0</v>
      </c>
      <c r="R25" s="1079">
        <v>0</v>
      </c>
      <c r="S25" s="1079">
        <v>0</v>
      </c>
      <c r="T25" t="str">
        <f>IF(SUM(H25:S25)=F25,"OK ","Problem: sum of amts keyed for each agency in col H through S must tie to total on combined worksheet")</f>
        <v xml:space="preserve">OK </v>
      </c>
      <c r="U25" s="2189">
        <v>11470000</v>
      </c>
    </row>
    <row r="26" spans="1:21" x14ac:dyDescent="0.2">
      <c r="A26" s="1129">
        <v>1195</v>
      </c>
      <c r="B26" s="2964" t="s">
        <v>4261</v>
      </c>
      <c r="C26" s="2964"/>
      <c r="D26" s="2964"/>
      <c r="E26" s="2964"/>
      <c r="F26" s="1036">
        <f>'616'!D30</f>
        <v>0</v>
      </c>
      <c r="H26" s="1079">
        <v>0</v>
      </c>
      <c r="I26" s="1079">
        <v>0</v>
      </c>
      <c r="J26" s="1079">
        <v>0</v>
      </c>
      <c r="K26" s="1079">
        <v>0</v>
      </c>
      <c r="L26" s="1079">
        <v>0</v>
      </c>
      <c r="M26" s="1079">
        <v>0</v>
      </c>
      <c r="N26" s="1079">
        <v>0</v>
      </c>
      <c r="O26" s="1079">
        <v>0</v>
      </c>
      <c r="P26" s="1079">
        <v>0</v>
      </c>
      <c r="Q26" s="1079">
        <v>0</v>
      </c>
      <c r="R26" s="1079">
        <v>0</v>
      </c>
      <c r="S26" s="1079">
        <v>0</v>
      </c>
      <c r="T26" t="str">
        <f>IF(SUM(H26:S26)=F26,"OK ","Problem: sum of amts keyed for each agency in col H through S must tie to total on combined worksheet")</f>
        <v xml:space="preserve">OK </v>
      </c>
      <c r="U26" s="2188">
        <v>11480000</v>
      </c>
    </row>
    <row r="27" spans="1:21" x14ac:dyDescent="0.2">
      <c r="A27" s="1129">
        <v>1200</v>
      </c>
      <c r="B27" s="2964" t="s">
        <v>1485</v>
      </c>
      <c r="C27" s="2964"/>
      <c r="D27" s="2964"/>
      <c r="E27" s="2964"/>
      <c r="F27" s="1036">
        <f>'515'!H25</f>
        <v>0</v>
      </c>
      <c r="H27" s="1079">
        <v>0</v>
      </c>
      <c r="I27" s="1079">
        <v>0</v>
      </c>
      <c r="J27" s="1079">
        <v>0</v>
      </c>
      <c r="K27" s="1079">
        <v>0</v>
      </c>
      <c r="L27" s="1079">
        <v>0</v>
      </c>
      <c r="M27" s="1079">
        <v>0</v>
      </c>
      <c r="N27" s="1079">
        <v>0</v>
      </c>
      <c r="O27" s="1079">
        <v>0</v>
      </c>
      <c r="P27" s="1079">
        <v>0</v>
      </c>
      <c r="Q27" s="1079">
        <v>0</v>
      </c>
      <c r="R27" s="1079">
        <v>0</v>
      </c>
      <c r="S27" s="1079">
        <v>0</v>
      </c>
      <c r="T27" t="str">
        <f>IF(SUM(H27:S27)=F27,"OK ","Problem: sum of amts keyed for each agency in col H through S must tie to total on combined worksheet")</f>
        <v xml:space="preserve">OK </v>
      </c>
      <c r="U27" s="2189">
        <v>11460000</v>
      </c>
    </row>
    <row r="28" spans="1:21" x14ac:dyDescent="0.2">
      <c r="A28" s="335">
        <v>1220</v>
      </c>
      <c r="B28" s="2968" t="s">
        <v>931</v>
      </c>
      <c r="C28" s="2968"/>
      <c r="D28" s="2968"/>
      <c r="E28" s="2968"/>
      <c r="F28" s="649">
        <f>SUM(H28:S28)</f>
        <v>0</v>
      </c>
      <c r="H28" s="659">
        <v>0</v>
      </c>
      <c r="I28" s="659">
        <v>0</v>
      </c>
      <c r="J28" s="659">
        <v>0</v>
      </c>
      <c r="K28" s="659">
        <v>0</v>
      </c>
      <c r="L28" s="659">
        <v>0</v>
      </c>
      <c r="M28" s="659">
        <v>0</v>
      </c>
      <c r="N28" s="659">
        <v>0</v>
      </c>
      <c r="O28" s="659">
        <v>0</v>
      </c>
      <c r="P28" s="659">
        <v>0</v>
      </c>
      <c r="Q28" s="659">
        <v>0</v>
      </c>
      <c r="R28" s="659">
        <v>0</v>
      </c>
      <c r="S28" s="659">
        <v>0</v>
      </c>
      <c r="U28" s="2188">
        <v>11611000</v>
      </c>
    </row>
    <row r="29" spans="1:21" x14ac:dyDescent="0.2">
      <c r="A29" s="335">
        <v>1230</v>
      </c>
      <c r="B29" s="2876" t="s">
        <v>631</v>
      </c>
      <c r="C29" s="2876"/>
      <c r="D29" s="2876"/>
      <c r="E29" s="2876"/>
      <c r="F29" s="649">
        <f t="shared" ref="F29:F37" si="1">SUM(H29:S29)</f>
        <v>0</v>
      </c>
      <c r="H29" s="659">
        <v>0</v>
      </c>
      <c r="I29" s="659">
        <v>0</v>
      </c>
      <c r="J29" s="659">
        <v>0</v>
      </c>
      <c r="K29" s="659">
        <v>0</v>
      </c>
      <c r="L29" s="659">
        <v>0</v>
      </c>
      <c r="M29" s="659">
        <v>0</v>
      </c>
      <c r="N29" s="659">
        <v>0</v>
      </c>
      <c r="O29" s="659">
        <v>0</v>
      </c>
      <c r="P29" s="659">
        <v>0</v>
      </c>
      <c r="Q29" s="659">
        <v>0</v>
      </c>
      <c r="R29" s="659">
        <v>0</v>
      </c>
      <c r="S29" s="659">
        <v>0</v>
      </c>
      <c r="U29" s="2188">
        <v>11910000</v>
      </c>
    </row>
    <row r="30" spans="1:21" x14ac:dyDescent="0.2">
      <c r="A30" s="335">
        <v>1210</v>
      </c>
      <c r="B30" s="2876" t="s">
        <v>549</v>
      </c>
      <c r="C30" s="2876"/>
      <c r="D30" s="2876"/>
      <c r="E30" s="2876"/>
      <c r="F30" s="649">
        <f t="shared" si="1"/>
        <v>0</v>
      </c>
      <c r="H30" s="659">
        <v>0</v>
      </c>
      <c r="I30" s="659">
        <v>0</v>
      </c>
      <c r="J30" s="659">
        <v>0</v>
      </c>
      <c r="K30" s="659">
        <v>0</v>
      </c>
      <c r="L30" s="659">
        <v>0</v>
      </c>
      <c r="M30" s="659">
        <v>0</v>
      </c>
      <c r="N30" s="659">
        <v>0</v>
      </c>
      <c r="O30" s="659">
        <v>0</v>
      </c>
      <c r="P30" s="659">
        <v>0</v>
      </c>
      <c r="Q30" s="659">
        <v>0</v>
      </c>
      <c r="R30" s="659">
        <v>0</v>
      </c>
      <c r="S30" s="659">
        <v>0</v>
      </c>
      <c r="U30" s="2188">
        <v>11510000</v>
      </c>
    </row>
    <row r="31" spans="1:21" x14ac:dyDescent="0.2">
      <c r="A31" s="335">
        <v>1211</v>
      </c>
      <c r="B31" s="2974" t="s">
        <v>5517</v>
      </c>
      <c r="C31" s="2974"/>
      <c r="D31" s="2974"/>
      <c r="E31" s="2974"/>
      <c r="F31" s="649">
        <f t="shared" si="1"/>
        <v>0</v>
      </c>
      <c r="H31" s="659">
        <v>0</v>
      </c>
      <c r="I31" s="659">
        <v>0</v>
      </c>
      <c r="J31" s="659">
        <v>0</v>
      </c>
      <c r="K31" s="659">
        <v>0</v>
      </c>
      <c r="L31" s="659">
        <v>0</v>
      </c>
      <c r="M31" s="659">
        <v>0</v>
      </c>
      <c r="N31" s="659">
        <v>0</v>
      </c>
      <c r="O31" s="659">
        <v>0</v>
      </c>
      <c r="P31" s="659">
        <v>0</v>
      </c>
      <c r="Q31" s="659"/>
      <c r="R31" s="659"/>
      <c r="S31" s="659"/>
      <c r="U31" s="2328">
        <v>11530000</v>
      </c>
    </row>
    <row r="32" spans="1:21" x14ac:dyDescent="0.2">
      <c r="A32" s="335">
        <v>1020</v>
      </c>
      <c r="B32" s="2876" t="s">
        <v>641</v>
      </c>
      <c r="C32" s="2876"/>
      <c r="D32" s="2876"/>
      <c r="E32" s="2876"/>
      <c r="F32" s="649">
        <f t="shared" si="1"/>
        <v>0</v>
      </c>
      <c r="H32" s="659">
        <v>0</v>
      </c>
      <c r="I32" s="659">
        <v>0</v>
      </c>
      <c r="J32" s="659">
        <v>0</v>
      </c>
      <c r="K32" s="659">
        <v>0</v>
      </c>
      <c r="L32" s="659">
        <v>0</v>
      </c>
      <c r="M32" s="659">
        <v>0</v>
      </c>
      <c r="N32" s="659">
        <v>0</v>
      </c>
      <c r="O32" s="659">
        <v>0</v>
      </c>
      <c r="P32" s="659">
        <v>0</v>
      </c>
      <c r="Q32" s="659">
        <v>0</v>
      </c>
      <c r="R32" s="659">
        <v>0</v>
      </c>
      <c r="S32" s="659">
        <v>0</v>
      </c>
      <c r="U32" s="2188" t="s">
        <v>5108</v>
      </c>
    </row>
    <row r="33" spans="1:21" x14ac:dyDescent="0.2">
      <c r="A33" s="335">
        <v>1030</v>
      </c>
      <c r="B33" s="2876" t="s">
        <v>1420</v>
      </c>
      <c r="C33" s="2876"/>
      <c r="D33" s="2876"/>
      <c r="E33" s="2876"/>
      <c r="F33" s="649">
        <f t="shared" si="1"/>
        <v>0</v>
      </c>
      <c r="H33" s="659">
        <v>0</v>
      </c>
      <c r="I33" s="659">
        <v>0</v>
      </c>
      <c r="J33" s="659">
        <v>0</v>
      </c>
      <c r="K33" s="659">
        <v>0</v>
      </c>
      <c r="L33" s="659">
        <v>0</v>
      </c>
      <c r="M33" s="659">
        <v>0</v>
      </c>
      <c r="N33" s="659">
        <v>0</v>
      </c>
      <c r="O33" s="659">
        <v>0</v>
      </c>
      <c r="P33" s="659">
        <v>0</v>
      </c>
      <c r="Q33" s="659">
        <v>0</v>
      </c>
      <c r="R33" s="659">
        <v>0</v>
      </c>
      <c r="S33" s="659">
        <v>0</v>
      </c>
      <c r="U33" s="2188" t="s">
        <v>5109</v>
      </c>
    </row>
    <row r="34" spans="1:21" x14ac:dyDescent="0.2">
      <c r="A34" s="335">
        <v>1070</v>
      </c>
      <c r="B34" s="2876" t="s">
        <v>426</v>
      </c>
      <c r="C34" s="2876"/>
      <c r="D34" s="2876"/>
      <c r="E34" s="2876"/>
      <c r="F34" s="649">
        <f t="shared" si="1"/>
        <v>0</v>
      </c>
      <c r="H34" s="659">
        <v>0</v>
      </c>
      <c r="I34" s="659">
        <v>0</v>
      </c>
      <c r="J34" s="659">
        <v>0</v>
      </c>
      <c r="K34" s="659">
        <v>0</v>
      </c>
      <c r="L34" s="659">
        <v>0</v>
      </c>
      <c r="M34" s="659">
        <v>0</v>
      </c>
      <c r="N34" s="659">
        <v>0</v>
      </c>
      <c r="O34" s="659">
        <v>0</v>
      </c>
      <c r="P34" s="659">
        <v>0</v>
      </c>
      <c r="Q34" s="659">
        <v>0</v>
      </c>
      <c r="R34" s="659">
        <v>0</v>
      </c>
      <c r="S34" s="659">
        <v>0</v>
      </c>
      <c r="U34" s="2188">
        <v>11212500</v>
      </c>
    </row>
    <row r="35" spans="1:21" x14ac:dyDescent="0.2">
      <c r="A35" s="335">
        <v>1232</v>
      </c>
      <c r="B35" s="2876" t="s">
        <v>1346</v>
      </c>
      <c r="C35" s="2876"/>
      <c r="D35" s="2876"/>
      <c r="E35" s="2876"/>
      <c r="F35" s="649">
        <f>SUM(H35:S35)</f>
        <v>0</v>
      </c>
      <c r="H35" s="659">
        <v>0</v>
      </c>
      <c r="I35" s="659">
        <v>0</v>
      </c>
      <c r="J35" s="659">
        <v>0</v>
      </c>
      <c r="K35" s="659">
        <v>0</v>
      </c>
      <c r="L35" s="659">
        <v>0</v>
      </c>
      <c r="M35" s="659">
        <v>0</v>
      </c>
      <c r="N35" s="659">
        <v>0</v>
      </c>
      <c r="O35" s="659">
        <v>0</v>
      </c>
      <c r="P35" s="659">
        <v>0</v>
      </c>
      <c r="Q35" s="659">
        <v>0</v>
      </c>
      <c r="R35" s="659">
        <v>0</v>
      </c>
      <c r="S35" s="659">
        <v>0</v>
      </c>
      <c r="U35" s="2188">
        <v>11970000</v>
      </c>
    </row>
    <row r="36" spans="1:21" x14ac:dyDescent="0.2">
      <c r="A36" s="1871">
        <v>1235</v>
      </c>
      <c r="B36" s="2876" t="s">
        <v>4445</v>
      </c>
      <c r="C36" s="2876"/>
      <c r="D36" s="2876"/>
      <c r="E36" s="2876"/>
      <c r="F36" s="649">
        <f>SUM(H36:S36)</f>
        <v>0</v>
      </c>
      <c r="H36" s="659">
        <v>0</v>
      </c>
      <c r="I36" s="659">
        <v>0</v>
      </c>
      <c r="J36" s="659">
        <v>0</v>
      </c>
      <c r="K36" s="659">
        <v>0</v>
      </c>
      <c r="L36" s="659">
        <v>0</v>
      </c>
      <c r="M36" s="659">
        <v>0</v>
      </c>
      <c r="N36" s="659">
        <v>0</v>
      </c>
      <c r="O36" s="659">
        <v>0</v>
      </c>
      <c r="P36" s="659">
        <v>0</v>
      </c>
      <c r="Q36" s="659">
        <v>0</v>
      </c>
      <c r="R36" s="659">
        <v>0</v>
      </c>
      <c r="S36" s="659">
        <v>0</v>
      </c>
      <c r="U36" s="2188">
        <v>11491000</v>
      </c>
    </row>
    <row r="37" spans="1:21" x14ac:dyDescent="0.2">
      <c r="A37" s="1871">
        <v>1233</v>
      </c>
      <c r="B37" s="2876" t="s">
        <v>4441</v>
      </c>
      <c r="C37" s="2876"/>
      <c r="D37" s="2876"/>
      <c r="E37" s="2876"/>
      <c r="F37" s="649">
        <f t="shared" si="1"/>
        <v>0</v>
      </c>
      <c r="H37" s="659">
        <v>0</v>
      </c>
      <c r="I37" s="659">
        <v>0</v>
      </c>
      <c r="J37" s="659">
        <v>0</v>
      </c>
      <c r="K37" s="659">
        <v>0</v>
      </c>
      <c r="L37" s="659">
        <v>0</v>
      </c>
      <c r="M37" s="659">
        <v>0</v>
      </c>
      <c r="N37" s="659">
        <v>0</v>
      </c>
      <c r="O37" s="659">
        <v>0</v>
      </c>
      <c r="P37" s="659">
        <v>0</v>
      </c>
      <c r="Q37" s="659">
        <v>0</v>
      </c>
      <c r="R37" s="659">
        <v>0</v>
      </c>
      <c r="S37" s="659">
        <v>0</v>
      </c>
      <c r="U37" s="2188">
        <v>11978000</v>
      </c>
    </row>
    <row r="38" spans="1:21" x14ac:dyDescent="0.2">
      <c r="B38" s="2876" t="s">
        <v>424</v>
      </c>
      <c r="C38" s="2876"/>
      <c r="D38" s="2876"/>
      <c r="E38" s="2876"/>
      <c r="F38" s="661">
        <f>SUM(F13:F37)</f>
        <v>0</v>
      </c>
      <c r="H38" s="661">
        <f t="shared" ref="H38:S38" si="2">SUM(H13:H37)</f>
        <v>0</v>
      </c>
      <c r="I38" s="661">
        <f t="shared" si="2"/>
        <v>0</v>
      </c>
      <c r="J38" s="661">
        <f t="shared" si="2"/>
        <v>0</v>
      </c>
      <c r="K38" s="661">
        <f t="shared" si="2"/>
        <v>0</v>
      </c>
      <c r="L38" s="661">
        <f t="shared" si="2"/>
        <v>0</v>
      </c>
      <c r="M38" s="661">
        <f t="shared" si="2"/>
        <v>0</v>
      </c>
      <c r="N38" s="661">
        <f t="shared" si="2"/>
        <v>0</v>
      </c>
      <c r="O38" s="661">
        <f t="shared" si="2"/>
        <v>0</v>
      </c>
      <c r="P38" s="661">
        <f t="shared" si="2"/>
        <v>0</v>
      </c>
      <c r="Q38" s="661">
        <f t="shared" si="2"/>
        <v>0</v>
      </c>
      <c r="R38" s="661">
        <f t="shared" si="2"/>
        <v>0</v>
      </c>
      <c r="S38" s="661">
        <f t="shared" si="2"/>
        <v>0</v>
      </c>
      <c r="T38" t="str">
        <f>IF(SUM(H38:S38)=F38,"OK ","Crossfoot error: sum of Col H thru s must equal total in Col F")</f>
        <v xml:space="preserve">OK </v>
      </c>
      <c r="U38" s="2188"/>
    </row>
    <row r="39" spans="1:21" x14ac:dyDescent="0.2">
      <c r="U39" s="2188"/>
    </row>
    <row r="40" spans="1:21" x14ac:dyDescent="0.2">
      <c r="B40" s="784" t="s">
        <v>640</v>
      </c>
      <c r="U40" s="2188"/>
    </row>
    <row r="41" spans="1:21" x14ac:dyDescent="0.2">
      <c r="A41" s="335">
        <v>1300</v>
      </c>
      <c r="B41" s="2876" t="s">
        <v>425</v>
      </c>
      <c r="C41" s="2876"/>
      <c r="D41" s="2876"/>
      <c r="E41" s="2876"/>
      <c r="F41" s="649">
        <f>SUM(H41:S41)</f>
        <v>0</v>
      </c>
      <c r="H41" s="659">
        <v>0</v>
      </c>
      <c r="I41" s="659">
        <v>0</v>
      </c>
      <c r="J41" s="659">
        <v>0</v>
      </c>
      <c r="K41" s="659">
        <v>0</v>
      </c>
      <c r="L41" s="659">
        <v>0</v>
      </c>
      <c r="M41" s="659">
        <v>0</v>
      </c>
      <c r="N41" s="659">
        <v>0</v>
      </c>
      <c r="O41" s="659">
        <v>0</v>
      </c>
      <c r="P41" s="659">
        <v>0</v>
      </c>
      <c r="Q41" s="659">
        <v>0</v>
      </c>
      <c r="R41" s="659">
        <v>0</v>
      </c>
      <c r="S41" s="659">
        <v>0</v>
      </c>
      <c r="U41" s="2188">
        <v>12210100</v>
      </c>
    </row>
    <row r="42" spans="1:21" x14ac:dyDescent="0.2">
      <c r="A42" s="335">
        <v>1310</v>
      </c>
      <c r="B42" s="2876" t="s">
        <v>1223</v>
      </c>
      <c r="C42" s="2876"/>
      <c r="D42" s="2876"/>
      <c r="E42" s="2876"/>
      <c r="F42" s="649">
        <f>SUM(H42:S42)</f>
        <v>0</v>
      </c>
      <c r="G42" s="335"/>
      <c r="H42" s="659">
        <v>0</v>
      </c>
      <c r="I42" s="659">
        <v>0</v>
      </c>
      <c r="J42" s="659">
        <v>0</v>
      </c>
      <c r="K42" s="659">
        <v>0</v>
      </c>
      <c r="L42" s="659">
        <v>0</v>
      </c>
      <c r="M42" s="659">
        <v>0</v>
      </c>
      <c r="N42" s="659">
        <v>0</v>
      </c>
      <c r="O42" s="659">
        <v>0</v>
      </c>
      <c r="P42" s="659">
        <v>0</v>
      </c>
      <c r="Q42" s="659">
        <v>0</v>
      </c>
      <c r="R42" s="659">
        <v>0</v>
      </c>
      <c r="S42" s="659">
        <v>0</v>
      </c>
      <c r="U42" s="2188">
        <v>12212200</v>
      </c>
    </row>
    <row r="43" spans="1:21" x14ac:dyDescent="0.2">
      <c r="A43" s="335"/>
      <c r="B43" s="335" t="s">
        <v>198</v>
      </c>
      <c r="C43" s="335"/>
      <c r="H43" s="649"/>
      <c r="I43" s="649"/>
      <c r="J43" s="649"/>
      <c r="K43" s="649"/>
      <c r="L43" s="649"/>
      <c r="M43" s="649"/>
      <c r="N43" s="649"/>
      <c r="O43" s="649"/>
      <c r="P43" s="649"/>
      <c r="Q43" s="649"/>
      <c r="R43" s="649"/>
      <c r="S43" s="649"/>
      <c r="U43" s="2188"/>
    </row>
    <row r="44" spans="1:21" x14ac:dyDescent="0.2">
      <c r="A44" s="335">
        <v>1340</v>
      </c>
      <c r="B44" s="2969" t="s">
        <v>199</v>
      </c>
      <c r="C44" s="2969"/>
      <c r="D44" s="2969"/>
      <c r="E44" s="2969"/>
      <c r="F44" s="649">
        <f t="shared" ref="F44:F55" si="3">SUM(H44:S44)</f>
        <v>0</v>
      </c>
      <c r="H44" s="659">
        <v>0</v>
      </c>
      <c r="I44" s="659">
        <v>0</v>
      </c>
      <c r="J44" s="659">
        <v>0</v>
      </c>
      <c r="K44" s="659">
        <v>0</v>
      </c>
      <c r="L44" s="659">
        <v>0</v>
      </c>
      <c r="M44" s="659">
        <v>0</v>
      </c>
      <c r="N44" s="659">
        <v>0</v>
      </c>
      <c r="O44" s="659">
        <v>0</v>
      </c>
      <c r="P44" s="659">
        <v>0</v>
      </c>
      <c r="Q44" s="659">
        <v>0</v>
      </c>
      <c r="R44" s="659">
        <v>0</v>
      </c>
      <c r="S44" s="659">
        <v>0</v>
      </c>
      <c r="U44" s="2188">
        <v>12320000</v>
      </c>
    </row>
    <row r="45" spans="1:21" hidden="1" x14ac:dyDescent="0.2">
      <c r="A45" s="335">
        <v>1345</v>
      </c>
      <c r="B45" s="2969" t="s">
        <v>312</v>
      </c>
      <c r="C45" s="2969"/>
      <c r="D45" s="2969"/>
      <c r="E45" s="2969"/>
      <c r="F45" s="649">
        <f t="shared" si="3"/>
        <v>0</v>
      </c>
      <c r="G45" s="821"/>
      <c r="H45" s="659">
        <v>0</v>
      </c>
      <c r="I45" s="659">
        <v>0</v>
      </c>
      <c r="J45" s="659">
        <v>0</v>
      </c>
      <c r="K45" s="659">
        <v>0</v>
      </c>
      <c r="L45" s="659">
        <v>0</v>
      </c>
      <c r="M45" s="659">
        <v>0</v>
      </c>
      <c r="N45" s="659">
        <v>0</v>
      </c>
      <c r="O45" s="659">
        <v>0</v>
      </c>
      <c r="P45" s="659">
        <v>0</v>
      </c>
      <c r="Q45" s="659">
        <v>0</v>
      </c>
      <c r="R45" s="659">
        <v>0</v>
      </c>
      <c r="S45" s="659">
        <v>0</v>
      </c>
      <c r="U45" s="2190"/>
    </row>
    <row r="46" spans="1:21" x14ac:dyDescent="0.2">
      <c r="A46" s="335">
        <v>1350</v>
      </c>
      <c r="B46" s="2969" t="s">
        <v>200</v>
      </c>
      <c r="C46" s="2969"/>
      <c r="D46" s="2969"/>
      <c r="E46" s="2969"/>
      <c r="F46" s="649">
        <f t="shared" si="3"/>
        <v>0</v>
      </c>
      <c r="H46" s="659">
        <v>0</v>
      </c>
      <c r="I46" s="659">
        <v>0</v>
      </c>
      <c r="J46" s="659">
        <v>0</v>
      </c>
      <c r="K46" s="659">
        <v>0</v>
      </c>
      <c r="L46" s="659">
        <v>0</v>
      </c>
      <c r="M46" s="659">
        <v>0</v>
      </c>
      <c r="N46" s="659">
        <v>0</v>
      </c>
      <c r="O46" s="659">
        <v>0</v>
      </c>
      <c r="P46" s="659">
        <v>0</v>
      </c>
      <c r="Q46" s="659">
        <v>0</v>
      </c>
      <c r="R46" s="659">
        <v>0</v>
      </c>
      <c r="S46" s="659">
        <v>0</v>
      </c>
      <c r="U46" s="2188">
        <v>12351000</v>
      </c>
    </row>
    <row r="47" spans="1:21" x14ac:dyDescent="0.2">
      <c r="A47" s="335">
        <v>1370</v>
      </c>
      <c r="B47" s="2969" t="s">
        <v>637</v>
      </c>
      <c r="C47" s="2969"/>
      <c r="D47" s="2969"/>
      <c r="E47" s="2969"/>
      <c r="F47" s="649">
        <f t="shared" si="3"/>
        <v>0</v>
      </c>
      <c r="H47" s="659">
        <v>0</v>
      </c>
      <c r="I47" s="659">
        <v>0</v>
      </c>
      <c r="J47" s="659">
        <v>0</v>
      </c>
      <c r="K47" s="659">
        <v>0</v>
      </c>
      <c r="L47" s="659">
        <v>0</v>
      </c>
      <c r="M47" s="659">
        <v>0</v>
      </c>
      <c r="N47" s="659">
        <v>0</v>
      </c>
      <c r="O47" s="659">
        <v>0</v>
      </c>
      <c r="P47" s="659">
        <v>0</v>
      </c>
      <c r="Q47" s="659">
        <v>0</v>
      </c>
      <c r="R47" s="659">
        <v>0</v>
      </c>
      <c r="S47" s="659">
        <v>0</v>
      </c>
      <c r="U47" s="2188">
        <v>12336000</v>
      </c>
    </row>
    <row r="48" spans="1:21" x14ac:dyDescent="0.2">
      <c r="A48" s="335">
        <v>1400</v>
      </c>
      <c r="B48" s="2876" t="s">
        <v>549</v>
      </c>
      <c r="C48" s="2876"/>
      <c r="D48" s="2876"/>
      <c r="E48" s="2876"/>
      <c r="F48" s="649">
        <f t="shared" si="3"/>
        <v>0</v>
      </c>
      <c r="H48" s="659">
        <v>0</v>
      </c>
      <c r="I48" s="659">
        <v>0</v>
      </c>
      <c r="J48" s="659">
        <v>0</v>
      </c>
      <c r="K48" s="659">
        <v>0</v>
      </c>
      <c r="L48" s="659">
        <v>0</v>
      </c>
      <c r="M48" s="659">
        <v>0</v>
      </c>
      <c r="N48" s="659">
        <v>0</v>
      </c>
      <c r="O48" s="659">
        <v>0</v>
      </c>
      <c r="P48" s="659">
        <v>0</v>
      </c>
      <c r="Q48" s="659">
        <v>0</v>
      </c>
      <c r="R48" s="659">
        <v>0</v>
      </c>
      <c r="S48" s="659">
        <v>0</v>
      </c>
      <c r="U48" s="2188">
        <v>12510000</v>
      </c>
    </row>
    <row r="49" spans="1:22" x14ac:dyDescent="0.2">
      <c r="A49" s="335">
        <v>1401</v>
      </c>
      <c r="B49" s="2974" t="s">
        <v>5517</v>
      </c>
      <c r="C49" s="2974"/>
      <c r="D49" s="2974"/>
      <c r="E49" s="2974"/>
      <c r="F49" s="649">
        <f t="shared" si="3"/>
        <v>0</v>
      </c>
      <c r="H49" s="659">
        <v>0</v>
      </c>
      <c r="I49" s="659">
        <v>0</v>
      </c>
      <c r="J49" s="659">
        <v>0</v>
      </c>
      <c r="K49" s="659">
        <v>0</v>
      </c>
      <c r="L49" s="659">
        <v>0</v>
      </c>
      <c r="M49" s="659">
        <v>0</v>
      </c>
      <c r="N49" s="659">
        <v>0</v>
      </c>
      <c r="O49" s="659">
        <v>0</v>
      </c>
      <c r="P49" s="659">
        <v>0</v>
      </c>
      <c r="Q49" s="659">
        <v>0</v>
      </c>
      <c r="R49" s="659"/>
      <c r="S49" s="659"/>
      <c r="U49" s="2262">
        <v>12530000</v>
      </c>
    </row>
    <row r="50" spans="1:22" x14ac:dyDescent="0.2">
      <c r="A50" s="335">
        <v>1415</v>
      </c>
      <c r="B50" s="2876" t="s">
        <v>1417</v>
      </c>
      <c r="C50" s="2876"/>
      <c r="D50" s="2876"/>
      <c r="E50" s="2876"/>
      <c r="F50" s="649">
        <f t="shared" si="3"/>
        <v>0</v>
      </c>
      <c r="G50" s="1033"/>
      <c r="H50" s="659">
        <v>0</v>
      </c>
      <c r="I50" s="659">
        <v>0</v>
      </c>
      <c r="J50" s="659">
        <v>0</v>
      </c>
      <c r="K50" s="659">
        <v>0</v>
      </c>
      <c r="L50" s="659">
        <v>0</v>
      </c>
      <c r="M50" s="659">
        <v>0</v>
      </c>
      <c r="N50" s="659">
        <v>0</v>
      </c>
      <c r="O50" s="659">
        <v>0</v>
      </c>
      <c r="P50" s="659">
        <v>0</v>
      </c>
      <c r="Q50" s="659">
        <v>0</v>
      </c>
      <c r="R50" s="659">
        <v>0</v>
      </c>
      <c r="S50" s="659">
        <v>0</v>
      </c>
      <c r="U50" s="2188">
        <v>12950000</v>
      </c>
    </row>
    <row r="51" spans="1:22" x14ac:dyDescent="0.2">
      <c r="A51" s="335">
        <v>1420</v>
      </c>
      <c r="B51" s="2876" t="s">
        <v>631</v>
      </c>
      <c r="C51" s="2876"/>
      <c r="D51" s="2876"/>
      <c r="E51" s="2876"/>
      <c r="F51" s="649">
        <f t="shared" si="3"/>
        <v>0</v>
      </c>
      <c r="H51" s="659">
        <v>0</v>
      </c>
      <c r="I51" s="659">
        <v>0</v>
      </c>
      <c r="J51" s="659">
        <v>0</v>
      </c>
      <c r="K51" s="659">
        <v>0</v>
      </c>
      <c r="L51" s="659">
        <v>0</v>
      </c>
      <c r="M51" s="659">
        <v>0</v>
      </c>
      <c r="N51" s="659">
        <v>0</v>
      </c>
      <c r="O51" s="659">
        <v>0</v>
      </c>
      <c r="P51" s="659">
        <v>0</v>
      </c>
      <c r="Q51" s="659">
        <v>0</v>
      </c>
      <c r="R51" s="659">
        <v>0</v>
      </c>
      <c r="S51" s="659">
        <v>0</v>
      </c>
      <c r="U51" s="2188">
        <v>12910000</v>
      </c>
    </row>
    <row r="52" spans="1:22" x14ac:dyDescent="0.2">
      <c r="A52" s="335">
        <v>1270</v>
      </c>
      <c r="B52" s="2876" t="s">
        <v>641</v>
      </c>
      <c r="C52" s="2876"/>
      <c r="D52" s="2876"/>
      <c r="E52" s="2876"/>
      <c r="F52" s="649">
        <f t="shared" si="3"/>
        <v>0</v>
      </c>
      <c r="H52" s="659">
        <v>0</v>
      </c>
      <c r="I52" s="659">
        <v>0</v>
      </c>
      <c r="J52" s="659">
        <v>0</v>
      </c>
      <c r="K52" s="659">
        <v>0</v>
      </c>
      <c r="L52" s="659">
        <v>0</v>
      </c>
      <c r="M52" s="659">
        <v>0</v>
      </c>
      <c r="N52" s="659">
        <v>0</v>
      </c>
      <c r="O52" s="659">
        <v>0</v>
      </c>
      <c r="P52" s="659">
        <v>0</v>
      </c>
      <c r="Q52" s="659">
        <v>0</v>
      </c>
      <c r="R52" s="659">
        <v>0</v>
      </c>
      <c r="S52" s="659">
        <v>0</v>
      </c>
      <c r="U52" s="2188">
        <v>12111000</v>
      </c>
    </row>
    <row r="53" spans="1:22" x14ac:dyDescent="0.2">
      <c r="A53" s="335">
        <v>1280</v>
      </c>
      <c r="B53" s="2876" t="s">
        <v>1422</v>
      </c>
      <c r="C53" s="2876"/>
      <c r="D53" s="2876"/>
      <c r="E53" s="2876"/>
      <c r="F53" s="649">
        <f t="shared" si="3"/>
        <v>0</v>
      </c>
      <c r="G53" s="1032"/>
      <c r="H53" s="659">
        <v>0</v>
      </c>
      <c r="I53" s="659">
        <v>0</v>
      </c>
      <c r="J53" s="659">
        <v>0</v>
      </c>
      <c r="K53" s="659">
        <v>0</v>
      </c>
      <c r="L53" s="659">
        <v>0</v>
      </c>
      <c r="M53" s="659">
        <v>0</v>
      </c>
      <c r="N53" s="659">
        <v>0</v>
      </c>
      <c r="O53" s="659">
        <v>0</v>
      </c>
      <c r="P53" s="659">
        <v>0</v>
      </c>
      <c r="Q53" s="659">
        <v>0</v>
      </c>
      <c r="R53" s="659">
        <v>0</v>
      </c>
      <c r="S53" s="659">
        <v>0</v>
      </c>
      <c r="U53" s="2188">
        <v>12122000</v>
      </c>
    </row>
    <row r="54" spans="1:22" x14ac:dyDescent="0.2">
      <c r="A54" s="335">
        <v>1410</v>
      </c>
      <c r="B54" s="2876" t="s">
        <v>426</v>
      </c>
      <c r="C54" s="2876"/>
      <c r="D54" s="2876"/>
      <c r="E54" s="2876"/>
      <c r="F54" s="649">
        <f t="shared" si="3"/>
        <v>0</v>
      </c>
      <c r="H54" s="659">
        <v>0</v>
      </c>
      <c r="I54" s="659">
        <v>0</v>
      </c>
      <c r="J54" s="659">
        <v>0</v>
      </c>
      <c r="K54" s="659">
        <v>0</v>
      </c>
      <c r="L54" s="659">
        <v>0</v>
      </c>
      <c r="M54" s="659">
        <v>0</v>
      </c>
      <c r="N54" s="659">
        <v>0</v>
      </c>
      <c r="O54" s="659">
        <v>0</v>
      </c>
      <c r="P54" s="659">
        <v>0</v>
      </c>
      <c r="Q54" s="659">
        <v>0</v>
      </c>
      <c r="R54" s="659">
        <v>0</v>
      </c>
      <c r="S54" s="659">
        <v>0</v>
      </c>
      <c r="U54" s="2188">
        <v>12212500</v>
      </c>
    </row>
    <row r="55" spans="1:22" hidden="1" x14ac:dyDescent="0.2">
      <c r="A55" s="335"/>
      <c r="B55" s="2876" t="s">
        <v>1296</v>
      </c>
      <c r="C55" s="2876"/>
      <c r="D55" s="2876"/>
      <c r="E55" s="2876"/>
      <c r="F55" s="649">
        <f t="shared" si="3"/>
        <v>0</v>
      </c>
      <c r="G55" s="821"/>
      <c r="H55" s="659">
        <v>0</v>
      </c>
      <c r="I55" s="659">
        <v>0</v>
      </c>
      <c r="J55" s="659">
        <v>0</v>
      </c>
      <c r="K55" s="659">
        <v>0</v>
      </c>
      <c r="L55" s="659">
        <v>0</v>
      </c>
      <c r="M55" s="659">
        <v>0</v>
      </c>
      <c r="N55" s="659">
        <v>0</v>
      </c>
      <c r="O55" s="659">
        <v>0</v>
      </c>
      <c r="P55" s="659">
        <v>0</v>
      </c>
      <c r="Q55" s="659">
        <v>0</v>
      </c>
      <c r="R55" s="659">
        <v>0</v>
      </c>
      <c r="S55" s="659">
        <v>0</v>
      </c>
      <c r="U55" s="2190"/>
    </row>
    <row r="56" spans="1:22" x14ac:dyDescent="0.2">
      <c r="A56" s="1129">
        <v>1395</v>
      </c>
      <c r="B56" s="2876" t="s">
        <v>1486</v>
      </c>
      <c r="C56" s="2876"/>
      <c r="D56" s="2876"/>
      <c r="E56" s="2876"/>
      <c r="F56" s="1036">
        <f>'525'!H33</f>
        <v>0</v>
      </c>
      <c r="H56" s="1079">
        <v>0</v>
      </c>
      <c r="I56" s="1079">
        <v>0</v>
      </c>
      <c r="J56" s="1079">
        <v>0</v>
      </c>
      <c r="K56" s="1079">
        <v>0</v>
      </c>
      <c r="L56" s="1079">
        <v>0</v>
      </c>
      <c r="M56" s="1079">
        <v>0</v>
      </c>
      <c r="N56" s="1079">
        <v>0</v>
      </c>
      <c r="O56" s="1079">
        <v>0</v>
      </c>
      <c r="P56" s="1079">
        <v>0</v>
      </c>
      <c r="Q56" s="1079">
        <v>0</v>
      </c>
      <c r="R56" s="1079">
        <v>0</v>
      </c>
      <c r="S56" s="1079">
        <v>0</v>
      </c>
      <c r="T56" t="str">
        <f>IF(SUM(H56:S56)=F56,"OK ","Problem: sum of amts keyed for each agency in col H through S must tie to total on combined worksheet")</f>
        <v xml:space="preserve">OK </v>
      </c>
      <c r="U56" s="2189">
        <v>12420000</v>
      </c>
    </row>
    <row r="57" spans="1:22" x14ac:dyDescent="0.2">
      <c r="A57" s="1129">
        <v>1390</v>
      </c>
      <c r="B57" s="2876" t="s">
        <v>1487</v>
      </c>
      <c r="C57" s="2876"/>
      <c r="D57" s="2876"/>
      <c r="E57" s="2876"/>
      <c r="F57" s="1036">
        <f>'515'!H31</f>
        <v>0</v>
      </c>
      <c r="H57" s="1079">
        <v>0</v>
      </c>
      <c r="I57" s="1079">
        <v>0</v>
      </c>
      <c r="J57" s="1079">
        <v>0</v>
      </c>
      <c r="K57" s="1079">
        <v>0</v>
      </c>
      <c r="L57" s="1079">
        <v>0</v>
      </c>
      <c r="M57" s="1079">
        <v>0</v>
      </c>
      <c r="N57" s="1079">
        <v>0</v>
      </c>
      <c r="O57" s="1079">
        <v>0</v>
      </c>
      <c r="P57" s="1079">
        <v>0</v>
      </c>
      <c r="Q57" s="1079">
        <v>0</v>
      </c>
      <c r="R57" s="1079">
        <v>0</v>
      </c>
      <c r="S57" s="1079">
        <v>0</v>
      </c>
      <c r="T57" t="str">
        <f>IF(SUM(H57:S57)=F57,"OK ","Problem: sum of amts keyed for each agency in col H throughS must tie to total on combined worksheet")</f>
        <v xml:space="preserve">OK </v>
      </c>
      <c r="U57" s="2189">
        <v>12410000</v>
      </c>
    </row>
    <row r="58" spans="1:22" x14ac:dyDescent="0.2">
      <c r="A58" s="335">
        <v>1432</v>
      </c>
      <c r="B58" s="2876" t="s">
        <v>1346</v>
      </c>
      <c r="C58" s="2876"/>
      <c r="D58" s="2876"/>
      <c r="E58" s="2876"/>
      <c r="F58" s="649">
        <f>SUM(H58:S58)</f>
        <v>0</v>
      </c>
      <c r="H58" s="659">
        <v>0</v>
      </c>
      <c r="I58" s="659">
        <v>0</v>
      </c>
      <c r="J58" s="659">
        <v>0</v>
      </c>
      <c r="K58" s="659">
        <v>0</v>
      </c>
      <c r="L58" s="659">
        <v>0</v>
      </c>
      <c r="M58" s="659">
        <v>0</v>
      </c>
      <c r="N58" s="659">
        <v>0</v>
      </c>
      <c r="O58" s="659">
        <v>0</v>
      </c>
      <c r="P58" s="659">
        <v>0</v>
      </c>
      <c r="Q58" s="659">
        <v>0</v>
      </c>
      <c r="R58" s="659">
        <v>0</v>
      </c>
      <c r="S58" s="659">
        <v>0</v>
      </c>
      <c r="U58" s="2188">
        <v>12970000</v>
      </c>
    </row>
    <row r="59" spans="1:22" x14ac:dyDescent="0.2">
      <c r="A59" s="1871">
        <v>1434</v>
      </c>
      <c r="B59" s="2876" t="s">
        <v>4445</v>
      </c>
      <c r="C59" s="2876"/>
      <c r="D59" s="2876"/>
      <c r="E59" s="2876"/>
      <c r="F59" s="649">
        <f>SUM(H59:S59)</f>
        <v>0</v>
      </c>
      <c r="H59" s="659">
        <v>0</v>
      </c>
      <c r="I59" s="659">
        <v>0</v>
      </c>
      <c r="J59" s="659">
        <v>0</v>
      </c>
      <c r="K59" s="659">
        <v>0</v>
      </c>
      <c r="L59" s="659">
        <v>0</v>
      </c>
      <c r="M59" s="659">
        <v>0</v>
      </c>
      <c r="N59" s="659">
        <v>0</v>
      </c>
      <c r="O59" s="659">
        <v>0</v>
      </c>
      <c r="P59" s="659">
        <v>0</v>
      </c>
      <c r="Q59" s="659">
        <v>0</v>
      </c>
      <c r="R59" s="659">
        <v>0</v>
      </c>
      <c r="S59" s="659">
        <v>0</v>
      </c>
      <c r="U59" s="2188">
        <v>12491000</v>
      </c>
    </row>
    <row r="60" spans="1:22" x14ac:dyDescent="0.2">
      <c r="A60" s="1871">
        <v>1433</v>
      </c>
      <c r="B60" s="2876" t="s">
        <v>4441</v>
      </c>
      <c r="C60" s="2876"/>
      <c r="D60" s="2876"/>
      <c r="E60" s="2876"/>
      <c r="F60" s="649">
        <f>SUM(H60:S60)</f>
        <v>0</v>
      </c>
      <c r="H60" s="659">
        <v>0</v>
      </c>
      <c r="I60" s="659">
        <v>0</v>
      </c>
      <c r="J60" s="659">
        <v>0</v>
      </c>
      <c r="K60" s="659">
        <v>0</v>
      </c>
      <c r="L60" s="659">
        <v>0</v>
      </c>
      <c r="M60" s="659">
        <v>0</v>
      </c>
      <c r="N60" s="659">
        <v>0</v>
      </c>
      <c r="O60" s="659">
        <v>0</v>
      </c>
      <c r="P60" s="659">
        <v>0</v>
      </c>
      <c r="Q60" s="659">
        <v>0</v>
      </c>
      <c r="R60" s="659">
        <v>0</v>
      </c>
      <c r="S60" s="659">
        <v>0</v>
      </c>
      <c r="U60" s="2188">
        <v>12978000</v>
      </c>
    </row>
    <row r="61" spans="1:22" x14ac:dyDescent="0.2">
      <c r="A61" s="335"/>
      <c r="B61" s="2558" t="s">
        <v>1414</v>
      </c>
      <c r="C61" s="2558"/>
      <c r="D61" s="2558"/>
      <c r="E61" s="2558"/>
      <c r="H61" s="659">
        <v>0</v>
      </c>
      <c r="I61" s="659">
        <v>0</v>
      </c>
      <c r="J61" s="659">
        <v>0</v>
      </c>
      <c r="K61" s="659">
        <v>0</v>
      </c>
      <c r="L61" s="659">
        <v>0</v>
      </c>
      <c r="M61" s="659">
        <v>0</v>
      </c>
      <c r="N61" s="659">
        <v>0</v>
      </c>
      <c r="O61" s="659">
        <v>0</v>
      </c>
      <c r="P61" s="659">
        <v>0</v>
      </c>
      <c r="Q61" s="659">
        <v>0</v>
      </c>
      <c r="R61" s="659">
        <v>0</v>
      </c>
      <c r="S61" s="659">
        <v>0</v>
      </c>
      <c r="U61" s="2188"/>
      <c r="V61" s="1610" t="s">
        <v>5121</v>
      </c>
    </row>
    <row r="62" spans="1:22" x14ac:dyDescent="0.2">
      <c r="A62" s="1129">
        <v>1480</v>
      </c>
      <c r="B62" s="2969" t="s">
        <v>1488</v>
      </c>
      <c r="C62" s="2969"/>
      <c r="D62" s="2969"/>
      <c r="E62" s="2969"/>
      <c r="F62" s="1036">
        <f>'201'!T20</f>
        <v>0</v>
      </c>
      <c r="G62" s="14" t="str">
        <f>IF(F62='201'!T20," ","Problem:Must agree to worksheet 201 - complete the 201 worksheet first")</f>
        <v xml:space="preserve"> </v>
      </c>
      <c r="H62" s="1079">
        <v>0</v>
      </c>
      <c r="I62" s="1079">
        <v>0</v>
      </c>
      <c r="J62" s="1079">
        <v>0</v>
      </c>
      <c r="K62" s="1079">
        <v>0</v>
      </c>
      <c r="L62" s="1079">
        <v>0</v>
      </c>
      <c r="M62" s="1079">
        <v>0</v>
      </c>
      <c r="N62" s="1079">
        <v>0</v>
      </c>
      <c r="O62" s="1079">
        <v>0</v>
      </c>
      <c r="P62" s="1079">
        <v>0</v>
      </c>
      <c r="Q62" s="1079">
        <v>0</v>
      </c>
      <c r="R62" s="1079">
        <v>0</v>
      </c>
      <c r="S62" s="1079">
        <v>0</v>
      </c>
      <c r="T62" t="str">
        <f t="shared" ref="T62:T67" si="4">IF(SUM(H62:S62)=F62,"OK ","Problem: sum of amts keyed for each agency in col H through S must tie to total on combined worksheet")</f>
        <v xml:space="preserve">OK </v>
      </c>
      <c r="U62" s="2188"/>
    </row>
    <row r="63" spans="1:22" x14ac:dyDescent="0.2">
      <c r="A63" s="1129">
        <v>1490</v>
      </c>
      <c r="B63" s="2969" t="s">
        <v>1489</v>
      </c>
      <c r="C63" s="2969"/>
      <c r="D63" s="2969"/>
      <c r="E63" s="2969"/>
      <c r="F63" s="1036">
        <f>'201'!T21</f>
        <v>0</v>
      </c>
      <c r="G63" s="14" t="str">
        <f>IF(F63='201'!T21," ","Problem:Must agree to worksheet 201")</f>
        <v xml:space="preserve"> </v>
      </c>
      <c r="H63" s="1079">
        <v>0</v>
      </c>
      <c r="I63" s="1079">
        <v>0</v>
      </c>
      <c r="J63" s="1079">
        <v>0</v>
      </c>
      <c r="K63" s="1079">
        <v>0</v>
      </c>
      <c r="L63" s="1079">
        <v>0</v>
      </c>
      <c r="M63" s="1079">
        <v>0</v>
      </c>
      <c r="N63" s="1079">
        <v>0</v>
      </c>
      <c r="O63" s="1079">
        <v>0</v>
      </c>
      <c r="P63" s="1079">
        <v>0</v>
      </c>
      <c r="Q63" s="1079">
        <v>0</v>
      </c>
      <c r="R63" s="1079">
        <v>0</v>
      </c>
      <c r="S63" s="1079">
        <v>0</v>
      </c>
      <c r="T63" t="str">
        <f t="shared" si="4"/>
        <v xml:space="preserve">OK </v>
      </c>
      <c r="U63" s="2188"/>
    </row>
    <row r="64" spans="1:22" x14ac:dyDescent="0.2">
      <c r="A64" s="1129">
        <v>1500</v>
      </c>
      <c r="B64" s="2969" t="s">
        <v>1490</v>
      </c>
      <c r="C64" s="2969"/>
      <c r="D64" s="2969"/>
      <c r="E64" s="2969"/>
      <c r="F64" s="1036">
        <f>'201'!T22</f>
        <v>0</v>
      </c>
      <c r="G64" s="14" t="str">
        <f>IF(F64='201'!T22," ","Problem:Must agree to worksheet 201")</f>
        <v xml:space="preserve"> </v>
      </c>
      <c r="H64" s="1079">
        <v>0</v>
      </c>
      <c r="I64" s="1079">
        <v>0</v>
      </c>
      <c r="J64" s="1079">
        <v>0</v>
      </c>
      <c r="K64" s="1079">
        <v>0</v>
      </c>
      <c r="L64" s="1079">
        <v>0</v>
      </c>
      <c r="M64" s="1079">
        <v>0</v>
      </c>
      <c r="N64" s="1079">
        <v>0</v>
      </c>
      <c r="O64" s="1079">
        <v>0</v>
      </c>
      <c r="P64" s="1079">
        <v>0</v>
      </c>
      <c r="Q64" s="1079">
        <v>0</v>
      </c>
      <c r="R64" s="1079">
        <v>0</v>
      </c>
      <c r="S64" s="1079">
        <v>0</v>
      </c>
      <c r="T64" t="str">
        <f t="shared" si="4"/>
        <v xml:space="preserve">OK </v>
      </c>
      <c r="U64" s="2188"/>
    </row>
    <row r="65" spans="1:21" x14ac:dyDescent="0.2">
      <c r="A65" s="1129">
        <v>1503</v>
      </c>
      <c r="B65" s="2969" t="s">
        <v>1491</v>
      </c>
      <c r="C65" s="2969"/>
      <c r="D65" s="2969"/>
      <c r="E65" s="2969"/>
      <c r="F65" s="1036">
        <f>'201'!T23</f>
        <v>0</v>
      </c>
      <c r="G65" s="14" t="str">
        <f>IF(F65='201'!T23," ","Problem:Must agree to worksheet 201")</f>
        <v xml:space="preserve"> </v>
      </c>
      <c r="H65" s="1079">
        <v>0</v>
      </c>
      <c r="I65" s="1079">
        <v>0</v>
      </c>
      <c r="J65" s="1079">
        <v>0</v>
      </c>
      <c r="K65" s="1079">
        <v>0</v>
      </c>
      <c r="L65" s="1079">
        <v>0</v>
      </c>
      <c r="M65" s="1079">
        <v>0</v>
      </c>
      <c r="N65" s="1079">
        <v>0</v>
      </c>
      <c r="O65" s="1079">
        <v>0</v>
      </c>
      <c r="P65" s="1079">
        <v>0</v>
      </c>
      <c r="Q65" s="1079">
        <v>0</v>
      </c>
      <c r="R65" s="1079">
        <v>0</v>
      </c>
      <c r="S65" s="1079">
        <v>0</v>
      </c>
      <c r="T65" t="str">
        <f t="shared" si="4"/>
        <v xml:space="preserve">OK </v>
      </c>
      <c r="U65" s="2188"/>
    </row>
    <row r="66" spans="1:21" x14ac:dyDescent="0.2">
      <c r="A66" s="1129">
        <v>1505</v>
      </c>
      <c r="B66" s="2969" t="s">
        <v>1492</v>
      </c>
      <c r="C66" s="2969"/>
      <c r="D66" s="2969"/>
      <c r="E66" s="2969"/>
      <c r="F66" s="1036">
        <f>'201'!T24</f>
        <v>0</v>
      </c>
      <c r="G66" s="14" t="str">
        <f>IF(F66='201'!T24," ","Problem:Must agree to worksheet 201")</f>
        <v xml:space="preserve"> </v>
      </c>
      <c r="H66" s="1079">
        <v>0</v>
      </c>
      <c r="I66" s="1079">
        <v>0</v>
      </c>
      <c r="J66" s="1079">
        <v>0</v>
      </c>
      <c r="K66" s="1079">
        <v>0</v>
      </c>
      <c r="L66" s="1079">
        <v>0</v>
      </c>
      <c r="M66" s="1079">
        <v>0</v>
      </c>
      <c r="N66" s="1079">
        <v>0</v>
      </c>
      <c r="O66" s="1079">
        <v>0</v>
      </c>
      <c r="P66" s="1079">
        <v>0</v>
      </c>
      <c r="Q66" s="1079">
        <v>0</v>
      </c>
      <c r="R66" s="1079">
        <v>0</v>
      </c>
      <c r="S66" s="1079">
        <v>0</v>
      </c>
      <c r="T66" t="str">
        <f t="shared" si="4"/>
        <v xml:space="preserve">OK </v>
      </c>
      <c r="U66" s="2188"/>
    </row>
    <row r="67" spans="1:21" x14ac:dyDescent="0.2">
      <c r="A67" s="1129">
        <v>1506</v>
      </c>
      <c r="B67" s="2969" t="s">
        <v>1808</v>
      </c>
      <c r="C67" s="2969"/>
      <c r="D67" s="2969"/>
      <c r="E67" s="2969"/>
      <c r="F67" s="1036">
        <f>'201'!T25</f>
        <v>0</v>
      </c>
      <c r="G67" s="14" t="str">
        <f>IF(F67='201'!T25," ","Problem:Must agree to worksheet 201")</f>
        <v xml:space="preserve"> </v>
      </c>
      <c r="H67" s="1079">
        <v>0</v>
      </c>
      <c r="I67" s="1079">
        <v>0</v>
      </c>
      <c r="J67" s="1079">
        <v>0</v>
      </c>
      <c r="K67" s="1079">
        <v>0</v>
      </c>
      <c r="L67" s="1079">
        <v>0</v>
      </c>
      <c r="M67" s="1079">
        <v>0</v>
      </c>
      <c r="N67" s="1079">
        <v>0</v>
      </c>
      <c r="O67" s="1079">
        <v>0</v>
      </c>
      <c r="P67" s="1079">
        <v>0</v>
      </c>
      <c r="Q67" s="1079">
        <v>0</v>
      </c>
      <c r="R67" s="1079">
        <v>0</v>
      </c>
      <c r="S67" s="1079">
        <v>0</v>
      </c>
      <c r="T67" t="str">
        <f t="shared" si="4"/>
        <v xml:space="preserve">OK </v>
      </c>
      <c r="U67" s="2188"/>
    </row>
    <row r="68" spans="1:21" x14ac:dyDescent="0.2">
      <c r="A68" s="335"/>
      <c r="B68" s="2876" t="s">
        <v>1415</v>
      </c>
      <c r="C68" s="2876"/>
      <c r="D68" s="2876"/>
      <c r="E68" s="2876"/>
      <c r="F68" s="661">
        <f>SUM(F62:F67)</f>
        <v>0</v>
      </c>
      <c r="G68" s="661"/>
      <c r="H68" s="661">
        <f t="shared" ref="H68:M68" si="5">SUM(H62:H67)</f>
        <v>0</v>
      </c>
      <c r="I68" s="661">
        <f t="shared" si="5"/>
        <v>0</v>
      </c>
      <c r="J68" s="661">
        <f t="shared" si="5"/>
        <v>0</v>
      </c>
      <c r="K68" s="661">
        <f t="shared" si="5"/>
        <v>0</v>
      </c>
      <c r="L68" s="661">
        <f t="shared" si="5"/>
        <v>0</v>
      </c>
      <c r="M68" s="661">
        <f t="shared" si="5"/>
        <v>0</v>
      </c>
      <c r="N68" s="661">
        <f t="shared" ref="N68:S68" si="6">SUM(N62:N67)</f>
        <v>0</v>
      </c>
      <c r="O68" s="661">
        <f t="shared" si="6"/>
        <v>0</v>
      </c>
      <c r="P68" s="661">
        <f t="shared" si="6"/>
        <v>0</v>
      </c>
      <c r="Q68" s="661">
        <f t="shared" si="6"/>
        <v>0</v>
      </c>
      <c r="R68" s="661">
        <f t="shared" si="6"/>
        <v>0</v>
      </c>
      <c r="S68" s="661">
        <f t="shared" si="6"/>
        <v>0</v>
      </c>
      <c r="T68" t="str">
        <f>IF(SUM(H68:S68)=F68,"OK ","Crossfoot error: sum of Col H thru S must equal total in Col F")</f>
        <v xml:space="preserve">OK </v>
      </c>
      <c r="U68" s="2188"/>
    </row>
    <row r="69" spans="1:21" x14ac:dyDescent="0.2">
      <c r="A69" s="335"/>
      <c r="B69" s="2558" t="s">
        <v>419</v>
      </c>
      <c r="C69" s="2558"/>
      <c r="D69" s="2558"/>
      <c r="E69" s="2558"/>
      <c r="U69" s="2188"/>
    </row>
    <row r="70" spans="1:21" x14ac:dyDescent="0.2">
      <c r="A70" s="1129">
        <v>1520</v>
      </c>
      <c r="B70" s="2969" t="s">
        <v>1493</v>
      </c>
      <c r="C70" s="2969"/>
      <c r="D70" s="2969"/>
      <c r="E70" s="2969"/>
      <c r="F70" s="1036">
        <f>'201'!T27</f>
        <v>0</v>
      </c>
      <c r="G70" s="14" t="str">
        <f>IF(F70='201'!T27," ","Problem:Must agree to worksheet 201")</f>
        <v xml:space="preserve"> </v>
      </c>
      <c r="H70" s="1079">
        <v>0</v>
      </c>
      <c r="I70" s="1079">
        <v>0</v>
      </c>
      <c r="J70" s="1079">
        <v>0</v>
      </c>
      <c r="K70" s="1079">
        <v>0</v>
      </c>
      <c r="L70" s="1079">
        <v>0</v>
      </c>
      <c r="M70" s="1079">
        <v>0</v>
      </c>
      <c r="N70" s="1079">
        <v>0</v>
      </c>
      <c r="O70" s="1079">
        <v>0</v>
      </c>
      <c r="P70" s="1079">
        <v>0</v>
      </c>
      <c r="Q70" s="1079">
        <v>0</v>
      </c>
      <c r="R70" s="1079">
        <v>0</v>
      </c>
      <c r="S70" s="1079">
        <v>0</v>
      </c>
      <c r="T70" t="str">
        <f>IF(SUM(H70:S70)=F70,"OK ","Problem: sum of amts keyed for each agency in col H through S must tie to total on combined worksheet")</f>
        <v xml:space="preserve">OK </v>
      </c>
      <c r="U70" s="2188"/>
    </row>
    <row r="71" spans="1:21" x14ac:dyDescent="0.2">
      <c r="A71" s="1129">
        <v>1530</v>
      </c>
      <c r="B71" s="2969" t="s">
        <v>1494</v>
      </c>
      <c r="C71" s="2969"/>
      <c r="D71" s="2969"/>
      <c r="E71" s="2969"/>
      <c r="F71" s="1036">
        <f>'201'!T28</f>
        <v>0</v>
      </c>
      <c r="G71" s="14" t="str">
        <f>IF(F71='201'!T28," ","Problem:Must agree to worksheet 201")</f>
        <v xml:space="preserve"> </v>
      </c>
      <c r="H71" s="1079">
        <v>0</v>
      </c>
      <c r="I71" s="1079">
        <v>0</v>
      </c>
      <c r="J71" s="1079">
        <v>0</v>
      </c>
      <c r="K71" s="1079">
        <v>0</v>
      </c>
      <c r="L71" s="1079">
        <v>0</v>
      </c>
      <c r="M71" s="1079">
        <v>0</v>
      </c>
      <c r="N71" s="1079">
        <v>0</v>
      </c>
      <c r="O71" s="1079">
        <v>0</v>
      </c>
      <c r="P71" s="1079">
        <v>0</v>
      </c>
      <c r="Q71" s="1079">
        <v>0</v>
      </c>
      <c r="R71" s="1079">
        <v>0</v>
      </c>
      <c r="S71" s="1079">
        <v>0</v>
      </c>
      <c r="T71" t="str">
        <f t="shared" ref="T71:T81" si="7">IF(SUM(H71:S71)=F71,"OK ","Problem: sum of amts keyed for each agency in col H through S must tie to total on combined worksheet")</f>
        <v xml:space="preserve">OK </v>
      </c>
      <c r="U71" s="2188"/>
    </row>
    <row r="72" spans="1:21" x14ac:dyDescent="0.2">
      <c r="A72" s="1129">
        <v>1540</v>
      </c>
      <c r="B72" s="2969" t="s">
        <v>1495</v>
      </c>
      <c r="C72" s="2969"/>
      <c r="D72" s="2969"/>
      <c r="E72" s="2969"/>
      <c r="F72" s="1036">
        <f>'201'!T29</f>
        <v>0</v>
      </c>
      <c r="G72" s="14" t="str">
        <f>IF(F72='201'!T29," ","Problem:Must agree to worksheet 201")</f>
        <v xml:space="preserve"> </v>
      </c>
      <c r="H72" s="1079">
        <v>0</v>
      </c>
      <c r="I72" s="1079">
        <v>0</v>
      </c>
      <c r="J72" s="1079">
        <v>0</v>
      </c>
      <c r="K72" s="1079">
        <v>0</v>
      </c>
      <c r="L72" s="1079">
        <v>0</v>
      </c>
      <c r="M72" s="1079">
        <v>0</v>
      </c>
      <c r="N72" s="1079">
        <v>0</v>
      </c>
      <c r="O72" s="1079">
        <v>0</v>
      </c>
      <c r="P72" s="1079">
        <v>0</v>
      </c>
      <c r="Q72" s="1079">
        <v>0</v>
      </c>
      <c r="R72" s="1079">
        <v>0</v>
      </c>
      <c r="S72" s="1079">
        <v>0</v>
      </c>
      <c r="T72" t="str">
        <f t="shared" si="7"/>
        <v xml:space="preserve">OK </v>
      </c>
      <c r="U72" s="2188"/>
    </row>
    <row r="73" spans="1:21" x14ac:dyDescent="0.2">
      <c r="A73" s="1129">
        <v>1550</v>
      </c>
      <c r="B73" s="2969" t="s">
        <v>1496</v>
      </c>
      <c r="C73" s="2969"/>
      <c r="D73" s="2969"/>
      <c r="E73" s="2969"/>
      <c r="F73" s="1036">
        <f>'201'!T30</f>
        <v>0</v>
      </c>
      <c r="G73" s="14" t="str">
        <f>IF(F73='201'!T30," ","Problem:Must agree to worksheet 201")</f>
        <v xml:space="preserve"> </v>
      </c>
      <c r="H73" s="1079">
        <v>0</v>
      </c>
      <c r="I73" s="1079">
        <v>0</v>
      </c>
      <c r="J73" s="1079">
        <v>0</v>
      </c>
      <c r="K73" s="1079">
        <v>0</v>
      </c>
      <c r="L73" s="1079">
        <v>0</v>
      </c>
      <c r="M73" s="1079">
        <v>0</v>
      </c>
      <c r="N73" s="1079">
        <v>0</v>
      </c>
      <c r="O73" s="1079">
        <v>0</v>
      </c>
      <c r="P73" s="1079">
        <v>0</v>
      </c>
      <c r="Q73" s="1079">
        <v>0</v>
      </c>
      <c r="R73" s="1079">
        <v>0</v>
      </c>
      <c r="S73" s="1079">
        <v>0</v>
      </c>
      <c r="T73" t="str">
        <f t="shared" si="7"/>
        <v xml:space="preserve">OK </v>
      </c>
      <c r="U73" s="2188"/>
    </row>
    <row r="74" spans="1:21" x14ac:dyDescent="0.2">
      <c r="A74" s="1129">
        <v>1481</v>
      </c>
      <c r="B74" s="2982" t="s">
        <v>5509</v>
      </c>
      <c r="C74" s="2982"/>
      <c r="D74" s="2982"/>
      <c r="E74" s="2982"/>
      <c r="F74" s="1036">
        <f>'201'!T37</f>
        <v>0</v>
      </c>
      <c r="G74" s="14"/>
      <c r="H74" s="1079">
        <v>0</v>
      </c>
      <c r="I74" s="1079">
        <v>0</v>
      </c>
      <c r="J74" s="1079">
        <v>0</v>
      </c>
      <c r="K74" s="1079">
        <v>0</v>
      </c>
      <c r="L74" s="1079">
        <v>0</v>
      </c>
      <c r="M74" s="1079">
        <v>0</v>
      </c>
      <c r="N74" s="1079">
        <v>0</v>
      </c>
      <c r="O74" s="1079">
        <v>0</v>
      </c>
      <c r="P74" s="1079">
        <v>0</v>
      </c>
      <c r="Q74" s="1079"/>
      <c r="R74" s="1079"/>
      <c r="S74" s="1079"/>
      <c r="T74" t="str">
        <f t="shared" si="7"/>
        <v xml:space="preserve">OK </v>
      </c>
      <c r="U74" s="2188"/>
    </row>
    <row r="75" spans="1:21" x14ac:dyDescent="0.2">
      <c r="A75" s="1129">
        <v>1521</v>
      </c>
      <c r="B75" s="2982" t="s">
        <v>5508</v>
      </c>
      <c r="C75" s="2982"/>
      <c r="D75" s="2982"/>
      <c r="E75" s="2982"/>
      <c r="F75" s="1036">
        <f>'201'!T38</f>
        <v>0</v>
      </c>
      <c r="G75" s="14"/>
      <c r="H75" s="1079">
        <v>0</v>
      </c>
      <c r="I75" s="1079">
        <v>0</v>
      </c>
      <c r="J75" s="1079">
        <v>0</v>
      </c>
      <c r="K75" s="1079">
        <v>0</v>
      </c>
      <c r="L75" s="1079">
        <v>0</v>
      </c>
      <c r="M75" s="1079">
        <v>0</v>
      </c>
      <c r="N75" s="1079">
        <v>0</v>
      </c>
      <c r="O75" s="1079">
        <v>0</v>
      </c>
      <c r="P75" s="1079">
        <v>0</v>
      </c>
      <c r="Q75" s="1079"/>
      <c r="R75" s="1079"/>
      <c r="S75" s="1079"/>
      <c r="T75" t="str">
        <f t="shared" si="7"/>
        <v xml:space="preserve">OK </v>
      </c>
      <c r="U75" s="2188"/>
    </row>
    <row r="76" spans="1:21" x14ac:dyDescent="0.2">
      <c r="A76" s="1129">
        <v>1531</v>
      </c>
      <c r="B76" s="2982" t="s">
        <v>5506</v>
      </c>
      <c r="C76" s="2982"/>
      <c r="D76" s="2982"/>
      <c r="E76" s="2982"/>
      <c r="F76" s="1036">
        <f>'201'!T39</f>
        <v>0</v>
      </c>
      <c r="G76" s="14"/>
      <c r="H76" s="1079">
        <v>0</v>
      </c>
      <c r="I76" s="1079">
        <v>0</v>
      </c>
      <c r="J76" s="1079">
        <v>0</v>
      </c>
      <c r="K76" s="1079">
        <v>0</v>
      </c>
      <c r="L76" s="1079">
        <v>0</v>
      </c>
      <c r="M76" s="1079">
        <v>0</v>
      </c>
      <c r="N76" s="1079">
        <v>0</v>
      </c>
      <c r="O76" s="1079">
        <v>0</v>
      </c>
      <c r="P76" s="1079">
        <v>0</v>
      </c>
      <c r="Q76" s="1079"/>
      <c r="R76" s="1079"/>
      <c r="S76" s="1079"/>
      <c r="T76" t="str">
        <f t="shared" si="7"/>
        <v xml:space="preserve">OK </v>
      </c>
      <c r="U76" s="2188"/>
    </row>
    <row r="77" spans="1:21" x14ac:dyDescent="0.2">
      <c r="A77" s="1129">
        <v>1551</v>
      </c>
      <c r="B77" s="2982" t="s">
        <v>5507</v>
      </c>
      <c r="C77" s="2982"/>
      <c r="D77" s="2982"/>
      <c r="E77" s="2982"/>
      <c r="F77" s="1036">
        <f>'201'!T40</f>
        <v>0</v>
      </c>
      <c r="G77" s="14"/>
      <c r="H77" s="1079">
        <v>0</v>
      </c>
      <c r="I77" s="1079">
        <v>0</v>
      </c>
      <c r="J77" s="1079">
        <v>0</v>
      </c>
      <c r="K77" s="1079">
        <v>0</v>
      </c>
      <c r="L77" s="1079">
        <v>0</v>
      </c>
      <c r="M77" s="1079">
        <v>0</v>
      </c>
      <c r="N77" s="1079">
        <v>0</v>
      </c>
      <c r="O77" s="1079">
        <v>0</v>
      </c>
      <c r="P77" s="1079">
        <v>0</v>
      </c>
      <c r="Q77" s="1079"/>
      <c r="R77" s="1079"/>
      <c r="S77" s="1079"/>
      <c r="T77" t="str">
        <f t="shared" si="7"/>
        <v xml:space="preserve">OK </v>
      </c>
      <c r="U77" s="2188"/>
    </row>
    <row r="78" spans="1:21" x14ac:dyDescent="0.2">
      <c r="A78" s="1129">
        <v>1553</v>
      </c>
      <c r="B78" s="2969" t="s">
        <v>1497</v>
      </c>
      <c r="C78" s="2969"/>
      <c r="D78" s="2969"/>
      <c r="E78" s="2969"/>
      <c r="F78" s="1036">
        <f>'201'!T33</f>
        <v>0</v>
      </c>
      <c r="G78" s="14" t="str">
        <f>IF(F78='201'!T33," ","Problem:Must agree to worksheet 201")</f>
        <v xml:space="preserve"> </v>
      </c>
      <c r="H78" s="1079">
        <v>0</v>
      </c>
      <c r="I78" s="1079">
        <v>0</v>
      </c>
      <c r="J78" s="1079">
        <v>0</v>
      </c>
      <c r="K78" s="1079">
        <v>0</v>
      </c>
      <c r="L78" s="1079">
        <v>0</v>
      </c>
      <c r="M78" s="1079">
        <v>0</v>
      </c>
      <c r="N78" s="1079">
        <v>0</v>
      </c>
      <c r="O78" s="1079">
        <v>0</v>
      </c>
      <c r="P78" s="1079">
        <v>0</v>
      </c>
      <c r="Q78" s="1079">
        <v>0</v>
      </c>
      <c r="R78" s="1079">
        <v>0</v>
      </c>
      <c r="S78" s="1079">
        <v>0</v>
      </c>
      <c r="T78" t="str">
        <f t="shared" si="7"/>
        <v xml:space="preserve">OK </v>
      </c>
      <c r="U78" s="2188"/>
    </row>
    <row r="79" spans="1:21" x14ac:dyDescent="0.2">
      <c r="A79" s="1129">
        <v>1555</v>
      </c>
      <c r="B79" s="2969" t="s">
        <v>1498</v>
      </c>
      <c r="C79" s="2969"/>
      <c r="D79" s="2969"/>
      <c r="E79" s="2969"/>
      <c r="F79" s="1036">
        <f>'201'!T34</f>
        <v>0</v>
      </c>
      <c r="G79" s="14" t="str">
        <f>IF(F79='201'!T34," ","Problem:Must agree to worksheet 201")</f>
        <v xml:space="preserve"> </v>
      </c>
      <c r="H79" s="1079">
        <v>0</v>
      </c>
      <c r="I79" s="1079">
        <v>0</v>
      </c>
      <c r="J79" s="1079">
        <v>0</v>
      </c>
      <c r="K79" s="1079">
        <v>0</v>
      </c>
      <c r="L79" s="1079">
        <v>0</v>
      </c>
      <c r="M79" s="1079">
        <v>0</v>
      </c>
      <c r="N79" s="1079">
        <v>0</v>
      </c>
      <c r="O79" s="1079">
        <v>0</v>
      </c>
      <c r="P79" s="1079">
        <v>0</v>
      </c>
      <c r="Q79" s="1079">
        <v>0</v>
      </c>
      <c r="R79" s="1079">
        <v>0</v>
      </c>
      <c r="S79" s="1079">
        <v>0</v>
      </c>
      <c r="T79" t="str">
        <f t="shared" si="7"/>
        <v xml:space="preserve">OK </v>
      </c>
      <c r="U79" s="2188"/>
    </row>
    <row r="80" spans="1:21" x14ac:dyDescent="0.2">
      <c r="A80" s="1129">
        <v>1560</v>
      </c>
      <c r="B80" s="2969" t="s">
        <v>1809</v>
      </c>
      <c r="C80" s="2969"/>
      <c r="D80" s="2969"/>
      <c r="E80" s="2969"/>
      <c r="F80" s="1036">
        <f>'201'!T35</f>
        <v>0</v>
      </c>
      <c r="G80" s="14" t="str">
        <f>IF(F80='201'!T35," ","Problem:Must agree to worksheet 201")</f>
        <v xml:space="preserve"> </v>
      </c>
      <c r="H80" s="1079">
        <v>0</v>
      </c>
      <c r="I80" s="1079">
        <v>0</v>
      </c>
      <c r="J80" s="1079">
        <v>0</v>
      </c>
      <c r="K80" s="1079">
        <v>0</v>
      </c>
      <c r="L80" s="1079">
        <v>0</v>
      </c>
      <c r="M80" s="1079">
        <v>0</v>
      </c>
      <c r="N80" s="1079">
        <v>0</v>
      </c>
      <c r="O80" s="1079">
        <v>0</v>
      </c>
      <c r="P80" s="1079">
        <v>0</v>
      </c>
      <c r="Q80" s="1079">
        <v>0</v>
      </c>
      <c r="R80" s="1079">
        <v>0</v>
      </c>
      <c r="S80" s="1079">
        <v>0</v>
      </c>
      <c r="T80" t="str">
        <f t="shared" si="7"/>
        <v xml:space="preserve">OK </v>
      </c>
      <c r="U80" s="2188"/>
    </row>
    <row r="81" spans="1:21" x14ac:dyDescent="0.2">
      <c r="A81" s="1129">
        <v>1570</v>
      </c>
      <c r="B81" s="2876" t="s">
        <v>1744</v>
      </c>
      <c r="C81" s="2876"/>
      <c r="D81" s="2876"/>
      <c r="E81" s="2876"/>
      <c r="F81" s="1048">
        <f>-'210'!Q31</f>
        <v>0</v>
      </c>
      <c r="G81" s="14" t="str">
        <f>IF(F81=-'210'!Q31," ","Problem:Must agree to total accumulated depreciation per worksheet 210 cell O25, entered here as a negative number")</f>
        <v xml:space="preserve"> </v>
      </c>
      <c r="H81" s="1079">
        <v>0</v>
      </c>
      <c r="I81" s="1079">
        <v>0</v>
      </c>
      <c r="J81" s="1079">
        <v>0</v>
      </c>
      <c r="K81" s="1079">
        <v>0</v>
      </c>
      <c r="L81" s="1079">
        <v>0</v>
      </c>
      <c r="M81" s="1079">
        <v>0</v>
      </c>
      <c r="N81" s="1079">
        <v>0</v>
      </c>
      <c r="O81" s="1079">
        <v>0</v>
      </c>
      <c r="P81" s="1079">
        <v>0</v>
      </c>
      <c r="Q81" s="1079">
        <v>0</v>
      </c>
      <c r="R81" s="1079">
        <v>0</v>
      </c>
      <c r="S81" s="1079">
        <v>0</v>
      </c>
      <c r="T81" t="str">
        <f t="shared" si="7"/>
        <v xml:space="preserve">OK </v>
      </c>
      <c r="U81" s="2188"/>
    </row>
    <row r="82" spans="1:21" x14ac:dyDescent="0.2">
      <c r="A82" s="785"/>
      <c r="B82" s="2876" t="s">
        <v>1416</v>
      </c>
      <c r="C82" s="2876"/>
      <c r="D82" s="2876"/>
      <c r="E82" s="2876"/>
      <c r="F82" s="651">
        <f>SUM(F70:F81)</f>
        <v>0</v>
      </c>
      <c r="G82" s="1033"/>
      <c r="H82" s="651">
        <f t="shared" ref="H82:M82" si="8">SUM(H70:H81)</f>
        <v>0</v>
      </c>
      <c r="I82" s="651">
        <f t="shared" si="8"/>
        <v>0</v>
      </c>
      <c r="J82" s="651">
        <f t="shared" si="8"/>
        <v>0</v>
      </c>
      <c r="K82" s="651">
        <f t="shared" si="8"/>
        <v>0</v>
      </c>
      <c r="L82" s="651">
        <f t="shared" si="8"/>
        <v>0</v>
      </c>
      <c r="M82" s="651">
        <f t="shared" si="8"/>
        <v>0</v>
      </c>
      <c r="N82" s="651">
        <f t="shared" ref="N82:S82" si="9">SUM(N70:N81)</f>
        <v>0</v>
      </c>
      <c r="O82" s="651">
        <f t="shared" si="9"/>
        <v>0</v>
      </c>
      <c r="P82" s="651">
        <f t="shared" si="9"/>
        <v>0</v>
      </c>
      <c r="Q82" s="651">
        <f t="shared" si="9"/>
        <v>0</v>
      </c>
      <c r="R82" s="651">
        <f t="shared" si="9"/>
        <v>0</v>
      </c>
      <c r="S82" s="651">
        <f t="shared" si="9"/>
        <v>0</v>
      </c>
      <c r="T82" t="str">
        <f>IF(SUM(H82:S82)=F82,"OK ","Crossfoot error: sum of Col H thru S must equal total in Col F")</f>
        <v xml:space="preserve">OK </v>
      </c>
      <c r="U82" s="2188"/>
    </row>
    <row r="83" spans="1:21" x14ac:dyDescent="0.2">
      <c r="A83" s="675"/>
      <c r="B83" s="2965" t="s">
        <v>784</v>
      </c>
      <c r="C83" s="2965"/>
      <c r="D83" s="2965"/>
      <c r="E83" s="2965"/>
      <c r="F83" s="661">
        <f>SUM(F41:F82)-F68-F82</f>
        <v>0</v>
      </c>
      <c r="H83" s="661">
        <f t="shared" ref="H83:S83" si="10">SUM(H41:H82)-H68-H82</f>
        <v>0</v>
      </c>
      <c r="I83" s="661">
        <f t="shared" si="10"/>
        <v>0</v>
      </c>
      <c r="J83" s="661">
        <f t="shared" si="10"/>
        <v>0</v>
      </c>
      <c r="K83" s="661">
        <f t="shared" si="10"/>
        <v>0</v>
      </c>
      <c r="L83" s="661">
        <f t="shared" si="10"/>
        <v>0</v>
      </c>
      <c r="M83" s="661">
        <f t="shared" si="10"/>
        <v>0</v>
      </c>
      <c r="N83" s="661">
        <f t="shared" si="10"/>
        <v>0</v>
      </c>
      <c r="O83" s="661">
        <f t="shared" si="10"/>
        <v>0</v>
      </c>
      <c r="P83" s="661">
        <f t="shared" si="10"/>
        <v>0</v>
      </c>
      <c r="Q83" s="661">
        <f t="shared" si="10"/>
        <v>0</v>
      </c>
      <c r="R83" s="661">
        <f t="shared" si="10"/>
        <v>0</v>
      </c>
      <c r="S83" s="661">
        <f t="shared" si="10"/>
        <v>0</v>
      </c>
      <c r="T83" t="str">
        <f>IF(SUM(H83:S83)=F83,"OK ","Crossfoot error: sum of Col H thru S must equal total in Col F")</f>
        <v xml:space="preserve">OK </v>
      </c>
      <c r="U83" s="2188"/>
    </row>
    <row r="84" spans="1:21" x14ac:dyDescent="0.2">
      <c r="H84" s="649"/>
      <c r="I84" s="649"/>
      <c r="J84" s="649"/>
      <c r="K84" s="649"/>
      <c r="L84" s="649"/>
      <c r="M84" s="649"/>
      <c r="N84" s="649"/>
      <c r="O84" s="649"/>
      <c r="P84" s="649"/>
      <c r="Q84" s="649"/>
      <c r="R84" s="649"/>
      <c r="S84" s="649"/>
      <c r="U84" s="2188"/>
    </row>
    <row r="85" spans="1:21" x14ac:dyDescent="0.2">
      <c r="B85" s="2965" t="s">
        <v>785</v>
      </c>
      <c r="C85" s="2965"/>
      <c r="D85" s="2965"/>
      <c r="E85" s="2965"/>
      <c r="F85" s="651">
        <f>F83+F38</f>
        <v>0</v>
      </c>
      <c r="H85" s="651">
        <f t="shared" ref="H85:S85" si="11">H83+H38</f>
        <v>0</v>
      </c>
      <c r="I85" s="651">
        <f t="shared" si="11"/>
        <v>0</v>
      </c>
      <c r="J85" s="651">
        <f t="shared" si="11"/>
        <v>0</v>
      </c>
      <c r="K85" s="651">
        <f t="shared" si="11"/>
        <v>0</v>
      </c>
      <c r="L85" s="651">
        <f t="shared" si="11"/>
        <v>0</v>
      </c>
      <c r="M85" s="651">
        <f t="shared" si="11"/>
        <v>0</v>
      </c>
      <c r="N85" s="651">
        <f t="shared" si="11"/>
        <v>0</v>
      </c>
      <c r="O85" s="651">
        <f t="shared" si="11"/>
        <v>0</v>
      </c>
      <c r="P85" s="651">
        <f t="shared" si="11"/>
        <v>0</v>
      </c>
      <c r="Q85" s="651">
        <f t="shared" si="11"/>
        <v>0</v>
      </c>
      <c r="R85" s="651">
        <f t="shared" si="11"/>
        <v>0</v>
      </c>
      <c r="S85" s="651">
        <f t="shared" si="11"/>
        <v>0</v>
      </c>
      <c r="T85" t="str">
        <f>IF(SUM(H85:S85)=F85,"OK ","Crossfoot error: sum of Col H thru S must equal total in Col F")</f>
        <v xml:space="preserve">OK </v>
      </c>
      <c r="U85" s="2188"/>
    </row>
    <row r="86" spans="1:21" x14ac:dyDescent="0.2">
      <c r="B86" s="691"/>
      <c r="C86" s="691"/>
      <c r="D86" s="691"/>
      <c r="E86" s="691"/>
      <c r="H86" s="649"/>
      <c r="I86" s="649"/>
      <c r="J86" s="649"/>
      <c r="K86" s="649"/>
      <c r="L86" s="649"/>
      <c r="M86" s="649"/>
      <c r="N86" s="649"/>
      <c r="O86" s="649"/>
      <c r="P86" s="649"/>
      <c r="Q86" s="649"/>
      <c r="R86" s="649"/>
      <c r="S86" s="649"/>
      <c r="U86" s="2188"/>
    </row>
    <row r="87" spans="1:21" x14ac:dyDescent="0.2">
      <c r="B87" s="783" t="s">
        <v>1929</v>
      </c>
      <c r="H87" s="649"/>
      <c r="I87" s="649"/>
      <c r="J87" s="649"/>
      <c r="K87" s="649"/>
      <c r="L87" s="649"/>
      <c r="M87" s="649"/>
      <c r="N87" s="649"/>
      <c r="O87" s="649"/>
      <c r="P87" s="649"/>
      <c r="Q87" s="649"/>
      <c r="R87" s="649"/>
      <c r="S87" s="649"/>
      <c r="U87" s="2188"/>
    </row>
    <row r="88" spans="1:21" x14ac:dyDescent="0.2">
      <c r="A88" s="1401">
        <v>1234</v>
      </c>
      <c r="B88" s="2876" t="s">
        <v>1930</v>
      </c>
      <c r="C88" s="2876"/>
      <c r="D88" s="2876"/>
      <c r="E88" s="2876"/>
      <c r="F88" s="649">
        <f t="shared" ref="F88:F94" si="12">SUM(H88:S88)</f>
        <v>0</v>
      </c>
      <c r="H88" s="659">
        <v>0</v>
      </c>
      <c r="I88" s="659">
        <v>0</v>
      </c>
      <c r="J88" s="659">
        <v>0</v>
      </c>
      <c r="K88" s="659">
        <v>0</v>
      </c>
      <c r="L88" s="659">
        <v>0</v>
      </c>
      <c r="M88" s="659">
        <v>0</v>
      </c>
      <c r="N88" s="659">
        <v>0</v>
      </c>
      <c r="O88" s="659">
        <v>0</v>
      </c>
      <c r="P88" s="659">
        <v>0</v>
      </c>
      <c r="Q88" s="659">
        <v>0</v>
      </c>
      <c r="R88" s="659">
        <v>0</v>
      </c>
      <c r="S88" s="659">
        <v>0</v>
      </c>
      <c r="U88" s="2188">
        <v>61100002</v>
      </c>
    </row>
    <row r="89" spans="1:21" x14ac:dyDescent="0.2">
      <c r="A89" s="1401">
        <v>1236</v>
      </c>
      <c r="B89" s="2876" t="s">
        <v>3582</v>
      </c>
      <c r="C89" s="2876"/>
      <c r="D89" s="2876"/>
      <c r="E89" s="2876"/>
      <c r="F89" s="649">
        <f t="shared" si="12"/>
        <v>0</v>
      </c>
      <c r="H89" s="659">
        <v>0</v>
      </c>
      <c r="I89" s="659">
        <v>0</v>
      </c>
      <c r="J89" s="659">
        <v>0</v>
      </c>
      <c r="K89" s="659">
        <v>0</v>
      </c>
      <c r="L89" s="659">
        <v>0</v>
      </c>
      <c r="M89" s="659">
        <v>0</v>
      </c>
      <c r="N89" s="659">
        <v>0</v>
      </c>
      <c r="O89" s="659">
        <v>0</v>
      </c>
      <c r="P89" s="659">
        <v>0</v>
      </c>
      <c r="Q89" s="659">
        <v>0</v>
      </c>
      <c r="R89" s="659">
        <v>0</v>
      </c>
      <c r="S89" s="659">
        <v>0</v>
      </c>
      <c r="U89" s="2188">
        <v>61100003</v>
      </c>
    </row>
    <row r="90" spans="1:21" x14ac:dyDescent="0.2">
      <c r="A90" s="1401">
        <v>1242</v>
      </c>
      <c r="B90" s="2876" t="s">
        <v>4599</v>
      </c>
      <c r="C90" s="2876"/>
      <c r="D90" s="2876"/>
      <c r="E90" s="2876"/>
      <c r="F90" s="649">
        <f>SUM(H90:S90)</f>
        <v>0</v>
      </c>
      <c r="H90" s="659">
        <v>0</v>
      </c>
      <c r="I90" s="659">
        <v>0</v>
      </c>
      <c r="J90" s="659">
        <v>0</v>
      </c>
      <c r="K90" s="659">
        <v>0</v>
      </c>
      <c r="L90" s="659">
        <v>0</v>
      </c>
      <c r="M90" s="659">
        <v>0</v>
      </c>
      <c r="N90" s="659">
        <v>0</v>
      </c>
      <c r="O90" s="659">
        <v>0</v>
      </c>
      <c r="P90" s="659">
        <v>0</v>
      </c>
      <c r="Q90" s="659">
        <v>0</v>
      </c>
      <c r="R90" s="659">
        <v>0</v>
      </c>
      <c r="S90" s="659">
        <v>0</v>
      </c>
      <c r="U90" s="2188">
        <v>61100007</v>
      </c>
    </row>
    <row r="91" spans="1:21" x14ac:dyDescent="0.2">
      <c r="A91" s="1401">
        <v>1237</v>
      </c>
      <c r="B91" s="2876" t="s">
        <v>3866</v>
      </c>
      <c r="C91" s="2876"/>
      <c r="D91" s="2876"/>
      <c r="E91" s="2876"/>
      <c r="F91" s="649">
        <f t="shared" si="12"/>
        <v>0</v>
      </c>
      <c r="H91" s="659">
        <v>0</v>
      </c>
      <c r="I91" s="659">
        <v>0</v>
      </c>
      <c r="J91" s="659">
        <v>0</v>
      </c>
      <c r="K91" s="659">
        <v>0</v>
      </c>
      <c r="L91" s="659">
        <v>0</v>
      </c>
      <c r="M91" s="659">
        <v>0</v>
      </c>
      <c r="N91" s="659">
        <v>0</v>
      </c>
      <c r="O91" s="659">
        <v>0</v>
      </c>
      <c r="P91" s="659">
        <v>0</v>
      </c>
      <c r="Q91" s="659">
        <v>0</v>
      </c>
      <c r="R91" s="659">
        <v>0</v>
      </c>
      <c r="S91" s="659">
        <v>0</v>
      </c>
      <c r="U91" s="2188">
        <v>61100008</v>
      </c>
    </row>
    <row r="92" spans="1:21" x14ac:dyDescent="0.2">
      <c r="A92" s="1853">
        <v>1241</v>
      </c>
      <c r="B92" s="2876" t="s">
        <v>4443</v>
      </c>
      <c r="C92" s="2876"/>
      <c r="D92" s="2876"/>
      <c r="E92" s="2876"/>
      <c r="F92" s="649">
        <f t="shared" si="12"/>
        <v>0</v>
      </c>
      <c r="H92" s="659">
        <v>0</v>
      </c>
      <c r="I92" s="659">
        <v>0</v>
      </c>
      <c r="J92" s="659">
        <v>0</v>
      </c>
      <c r="K92" s="659">
        <v>0</v>
      </c>
      <c r="L92" s="659">
        <v>0</v>
      </c>
      <c r="M92" s="659">
        <v>0</v>
      </c>
      <c r="N92" s="659">
        <v>0</v>
      </c>
      <c r="O92" s="659">
        <v>0</v>
      </c>
      <c r="P92" s="659">
        <v>0</v>
      </c>
      <c r="Q92" s="659">
        <v>0</v>
      </c>
      <c r="R92" s="659">
        <v>0</v>
      </c>
      <c r="S92" s="659">
        <v>0</v>
      </c>
      <c r="U92" s="2188">
        <v>61100009</v>
      </c>
    </row>
    <row r="93" spans="1:21" x14ac:dyDescent="0.2">
      <c r="A93" s="1401">
        <v>1238</v>
      </c>
      <c r="B93" s="2876" t="s">
        <v>3873</v>
      </c>
      <c r="C93" s="2876"/>
      <c r="D93" s="2876"/>
      <c r="E93" s="2876"/>
      <c r="F93" s="649">
        <f t="shared" si="12"/>
        <v>0</v>
      </c>
      <c r="H93" s="659">
        <v>0</v>
      </c>
      <c r="I93" s="659">
        <v>0</v>
      </c>
      <c r="J93" s="659">
        <v>0</v>
      </c>
      <c r="K93" s="659">
        <v>0</v>
      </c>
      <c r="L93" s="659">
        <v>0</v>
      </c>
      <c r="M93" s="659">
        <v>0</v>
      </c>
      <c r="N93" s="659">
        <v>0</v>
      </c>
      <c r="O93" s="659">
        <v>0</v>
      </c>
      <c r="P93" s="659">
        <v>0</v>
      </c>
      <c r="Q93" s="659">
        <v>0</v>
      </c>
      <c r="R93" s="659">
        <v>0</v>
      </c>
      <c r="S93" s="659">
        <v>0</v>
      </c>
      <c r="U93" s="2188">
        <v>61100006</v>
      </c>
    </row>
    <row r="94" spans="1:21" x14ac:dyDescent="0.2">
      <c r="A94" s="1401">
        <v>1239</v>
      </c>
      <c r="B94" s="2876" t="s">
        <v>3944</v>
      </c>
      <c r="C94" s="2876"/>
      <c r="D94" s="2876"/>
      <c r="E94" s="2876"/>
      <c r="F94" s="649">
        <f t="shared" si="12"/>
        <v>0</v>
      </c>
      <c r="H94" s="659">
        <v>0</v>
      </c>
      <c r="I94" s="659">
        <v>0</v>
      </c>
      <c r="J94" s="659">
        <v>0</v>
      </c>
      <c r="K94" s="659">
        <v>0</v>
      </c>
      <c r="L94" s="659">
        <v>0</v>
      </c>
      <c r="M94" s="659">
        <v>0</v>
      </c>
      <c r="N94" s="659">
        <v>0</v>
      </c>
      <c r="O94" s="659">
        <v>0</v>
      </c>
      <c r="P94" s="659">
        <v>0</v>
      </c>
      <c r="Q94" s="659">
        <v>0</v>
      </c>
      <c r="R94" s="659">
        <v>0</v>
      </c>
      <c r="S94" s="659">
        <v>0</v>
      </c>
      <c r="U94" s="2188">
        <v>61100004</v>
      </c>
    </row>
    <row r="95" spans="1:21" x14ac:dyDescent="0.2">
      <c r="A95" s="1401"/>
      <c r="B95" s="2965" t="s">
        <v>3556</v>
      </c>
      <c r="C95" s="2965"/>
      <c r="D95" s="2965"/>
      <c r="E95" s="2965"/>
      <c r="F95" s="661">
        <f>SUM(F87:F94)</f>
        <v>0</v>
      </c>
      <c r="H95" s="661">
        <f t="shared" ref="H95:S95" si="13">SUM(H87:H94)</f>
        <v>0</v>
      </c>
      <c r="I95" s="661">
        <f t="shared" si="13"/>
        <v>0</v>
      </c>
      <c r="J95" s="661">
        <f t="shared" si="13"/>
        <v>0</v>
      </c>
      <c r="K95" s="661">
        <f t="shared" si="13"/>
        <v>0</v>
      </c>
      <c r="L95" s="661">
        <f t="shared" si="13"/>
        <v>0</v>
      </c>
      <c r="M95" s="661">
        <f t="shared" si="13"/>
        <v>0</v>
      </c>
      <c r="N95" s="661">
        <f t="shared" si="13"/>
        <v>0</v>
      </c>
      <c r="O95" s="661">
        <f t="shared" si="13"/>
        <v>0</v>
      </c>
      <c r="P95" s="661">
        <f t="shared" si="13"/>
        <v>0</v>
      </c>
      <c r="Q95" s="661">
        <f t="shared" si="13"/>
        <v>0</v>
      </c>
      <c r="R95" s="661">
        <f t="shared" si="13"/>
        <v>0</v>
      </c>
      <c r="S95" s="661">
        <f t="shared" si="13"/>
        <v>0</v>
      </c>
      <c r="U95" s="2188"/>
    </row>
    <row r="96" spans="1:21" x14ac:dyDescent="0.2">
      <c r="U96" s="2188"/>
    </row>
    <row r="97" spans="1:21" x14ac:dyDescent="0.2">
      <c r="B97" s="783" t="s">
        <v>500</v>
      </c>
      <c r="U97" s="2188"/>
    </row>
    <row r="98" spans="1:21" x14ac:dyDescent="0.2">
      <c r="B98" s="784" t="s">
        <v>274</v>
      </c>
      <c r="U98" s="2188"/>
    </row>
    <row r="99" spans="1:21" x14ac:dyDescent="0.2">
      <c r="B99" s="335" t="s">
        <v>275</v>
      </c>
      <c r="C99" s="335"/>
      <c r="U99" s="2188"/>
    </row>
    <row r="100" spans="1:21" x14ac:dyDescent="0.2">
      <c r="A100" s="335">
        <v>1640</v>
      </c>
      <c r="B100" s="2969" t="s">
        <v>786</v>
      </c>
      <c r="C100" s="2969"/>
      <c r="D100" s="2969"/>
      <c r="E100" s="2969"/>
      <c r="F100" s="649">
        <f>SUM(H100:S100)</f>
        <v>0</v>
      </c>
      <c r="H100" s="659">
        <v>0</v>
      </c>
      <c r="I100" s="659">
        <v>0</v>
      </c>
      <c r="J100" s="659">
        <v>0</v>
      </c>
      <c r="K100" s="659">
        <v>0</v>
      </c>
      <c r="L100" s="659">
        <v>0</v>
      </c>
      <c r="M100" s="659">
        <v>0</v>
      </c>
      <c r="N100" s="659">
        <v>0</v>
      </c>
      <c r="O100" s="659">
        <v>0</v>
      </c>
      <c r="P100" s="659">
        <v>0</v>
      </c>
      <c r="Q100" s="659">
        <v>0</v>
      </c>
      <c r="R100" s="659">
        <v>0</v>
      </c>
      <c r="S100" s="659">
        <v>0</v>
      </c>
      <c r="U100" s="2188">
        <v>21110000</v>
      </c>
    </row>
    <row r="101" spans="1:21" x14ac:dyDescent="0.2">
      <c r="A101" s="335">
        <v>1650</v>
      </c>
      <c r="B101" s="2969" t="s">
        <v>815</v>
      </c>
      <c r="C101" s="2969"/>
      <c r="D101" s="2969"/>
      <c r="E101" s="2969"/>
      <c r="F101" s="649">
        <f>SUM(H101:S101)</f>
        <v>0</v>
      </c>
      <c r="H101" s="659">
        <v>0</v>
      </c>
      <c r="I101" s="659">
        <v>0</v>
      </c>
      <c r="J101" s="659">
        <v>0</v>
      </c>
      <c r="K101" s="659">
        <v>0</v>
      </c>
      <c r="L101" s="659">
        <v>0</v>
      </c>
      <c r="M101" s="659">
        <v>0</v>
      </c>
      <c r="N101" s="659">
        <v>0</v>
      </c>
      <c r="O101" s="659">
        <v>0</v>
      </c>
      <c r="P101" s="659">
        <v>0</v>
      </c>
      <c r="Q101" s="659">
        <v>0</v>
      </c>
      <c r="R101" s="659">
        <v>0</v>
      </c>
      <c r="S101" s="659">
        <v>0</v>
      </c>
      <c r="U101" s="2188">
        <v>21121000</v>
      </c>
    </row>
    <row r="102" spans="1:21" x14ac:dyDescent="0.2">
      <c r="A102" s="335">
        <v>1660</v>
      </c>
      <c r="B102" s="2969" t="s">
        <v>816</v>
      </c>
      <c r="C102" s="2969"/>
      <c r="D102" s="2969"/>
      <c r="E102" s="2969"/>
      <c r="F102" s="649">
        <f>SUM(H102:S102)</f>
        <v>0</v>
      </c>
      <c r="H102" s="659">
        <v>0</v>
      </c>
      <c r="I102" s="659">
        <v>0</v>
      </c>
      <c r="J102" s="659">
        <v>0</v>
      </c>
      <c r="K102" s="659">
        <v>0</v>
      </c>
      <c r="L102" s="659">
        <v>0</v>
      </c>
      <c r="M102" s="659">
        <v>0</v>
      </c>
      <c r="N102" s="659">
        <v>0</v>
      </c>
      <c r="O102" s="659">
        <v>0</v>
      </c>
      <c r="P102" s="659">
        <v>0</v>
      </c>
      <c r="Q102" s="659">
        <v>0</v>
      </c>
      <c r="R102" s="659">
        <v>0</v>
      </c>
      <c r="S102" s="659">
        <v>0</v>
      </c>
      <c r="U102" s="2188">
        <v>21131000</v>
      </c>
    </row>
    <row r="103" spans="1:21" x14ac:dyDescent="0.2">
      <c r="A103" s="335">
        <v>1670</v>
      </c>
      <c r="B103" s="2969" t="s">
        <v>700</v>
      </c>
      <c r="C103" s="2969"/>
      <c r="D103" s="2969"/>
      <c r="E103" s="2969"/>
      <c r="F103" s="649">
        <f>SUM(H103:S103)</f>
        <v>0</v>
      </c>
      <c r="H103" s="659">
        <v>0</v>
      </c>
      <c r="I103" s="659">
        <v>0</v>
      </c>
      <c r="J103" s="659">
        <v>0</v>
      </c>
      <c r="K103" s="659">
        <v>0</v>
      </c>
      <c r="L103" s="659">
        <v>0</v>
      </c>
      <c r="M103" s="659">
        <v>0</v>
      </c>
      <c r="N103" s="659">
        <v>0</v>
      </c>
      <c r="O103" s="659">
        <v>0</v>
      </c>
      <c r="P103" s="659">
        <v>0</v>
      </c>
      <c r="Q103" s="659">
        <v>0</v>
      </c>
      <c r="R103" s="659">
        <v>0</v>
      </c>
      <c r="S103" s="659">
        <v>0</v>
      </c>
      <c r="U103" s="2188">
        <v>21523000</v>
      </c>
    </row>
    <row r="104" spans="1:21" x14ac:dyDescent="0.2">
      <c r="A104" s="335">
        <v>1840</v>
      </c>
      <c r="B104" s="2876" t="s">
        <v>278</v>
      </c>
      <c r="C104" s="2876"/>
      <c r="D104" s="2876"/>
      <c r="E104" s="2876"/>
      <c r="F104" s="649">
        <f>SUM(H104:S104)</f>
        <v>0</v>
      </c>
      <c r="H104" s="659">
        <v>0</v>
      </c>
      <c r="I104" s="659">
        <v>0</v>
      </c>
      <c r="J104" s="659">
        <v>0</v>
      </c>
      <c r="K104" s="659">
        <v>0</v>
      </c>
      <c r="L104" s="659">
        <v>0</v>
      </c>
      <c r="M104" s="659">
        <v>0</v>
      </c>
      <c r="N104" s="659">
        <v>0</v>
      </c>
      <c r="O104" s="659">
        <v>0</v>
      </c>
      <c r="P104" s="659">
        <v>0</v>
      </c>
      <c r="Q104" s="659">
        <v>0</v>
      </c>
      <c r="R104" s="659">
        <v>0</v>
      </c>
      <c r="S104" s="659">
        <v>0</v>
      </c>
      <c r="U104" s="2188">
        <v>21621000</v>
      </c>
    </row>
    <row r="105" spans="1:21" x14ac:dyDescent="0.2">
      <c r="A105" s="335"/>
      <c r="B105" s="335" t="s">
        <v>1423</v>
      </c>
      <c r="C105" s="335"/>
      <c r="D105" s="335"/>
      <c r="E105" s="335"/>
      <c r="H105" s="649"/>
      <c r="I105" s="649"/>
      <c r="J105" s="649"/>
      <c r="K105" s="649"/>
      <c r="L105" s="649"/>
      <c r="M105" s="649"/>
      <c r="N105" s="649"/>
      <c r="O105" s="649"/>
      <c r="P105" s="649"/>
      <c r="Q105" s="649"/>
      <c r="R105" s="649"/>
      <c r="S105" s="649"/>
      <c r="U105" s="2188"/>
    </row>
    <row r="106" spans="1:21" x14ac:dyDescent="0.2">
      <c r="A106" s="1129">
        <v>1788</v>
      </c>
      <c r="B106" s="2969" t="s">
        <v>4620</v>
      </c>
      <c r="C106" s="2969"/>
      <c r="D106" s="2969"/>
      <c r="E106" s="2969"/>
      <c r="F106" s="1036">
        <f>'310'!M37</f>
        <v>0</v>
      </c>
      <c r="G106" t="str">
        <f>IF(F106='310'!M37," ","Problem: Must agree to ws 310 ")</f>
        <v xml:space="preserve"> </v>
      </c>
      <c r="H106" s="1079">
        <v>0</v>
      </c>
      <c r="I106" s="1079">
        <v>0</v>
      </c>
      <c r="J106" s="1079">
        <v>0</v>
      </c>
      <c r="K106" s="1079">
        <v>0</v>
      </c>
      <c r="L106" s="1079">
        <v>0</v>
      </c>
      <c r="M106" s="1079">
        <v>0</v>
      </c>
      <c r="N106" s="1079">
        <v>0</v>
      </c>
      <c r="O106" s="1079">
        <v>0</v>
      </c>
      <c r="P106" s="1079">
        <v>0</v>
      </c>
      <c r="Q106" s="1079">
        <v>0</v>
      </c>
      <c r="R106" s="1079">
        <v>0</v>
      </c>
      <c r="S106" s="1079">
        <v>0</v>
      </c>
      <c r="T106" t="str">
        <f t="shared" ref="T106:T111" si="14">IF(SUM(H106:S106)=F106,"OK ","Problem: sum of amts keyed for each agency in col H through S must tie to total on combined worksheet")</f>
        <v xml:space="preserve">OK </v>
      </c>
      <c r="U106" s="2188"/>
    </row>
    <row r="107" spans="1:21" x14ac:dyDescent="0.2">
      <c r="A107" s="1129">
        <v>1785</v>
      </c>
      <c r="B107" s="2969" t="s">
        <v>1499</v>
      </c>
      <c r="C107" s="2969"/>
      <c r="D107" s="2969"/>
      <c r="E107" s="2969"/>
      <c r="F107" s="1036">
        <f>'310'!M38</f>
        <v>0</v>
      </c>
      <c r="G107" t="str">
        <f>IF(F107='310'!M38," ","Problem: Must agree to ws 310 ")</f>
        <v xml:space="preserve"> </v>
      </c>
      <c r="H107" s="1079">
        <v>0</v>
      </c>
      <c r="I107" s="1079">
        <v>0</v>
      </c>
      <c r="J107" s="1079">
        <v>0</v>
      </c>
      <c r="K107" s="1079">
        <v>0</v>
      </c>
      <c r="L107" s="1079">
        <v>0</v>
      </c>
      <c r="M107" s="1079">
        <v>0</v>
      </c>
      <c r="N107" s="1079">
        <v>0</v>
      </c>
      <c r="O107" s="1079">
        <v>0</v>
      </c>
      <c r="P107" s="1079">
        <v>0</v>
      </c>
      <c r="Q107" s="1079">
        <v>0</v>
      </c>
      <c r="R107" s="1079">
        <v>0</v>
      </c>
      <c r="S107" s="1079">
        <v>0</v>
      </c>
      <c r="T107" t="str">
        <f t="shared" si="14"/>
        <v xml:space="preserve">OK </v>
      </c>
      <c r="U107" s="2188"/>
    </row>
    <row r="108" spans="1:21" x14ac:dyDescent="0.2">
      <c r="A108" s="1988">
        <v>1790</v>
      </c>
      <c r="B108" s="2969" t="s">
        <v>4621</v>
      </c>
      <c r="C108" s="2969"/>
      <c r="D108" s="2969"/>
      <c r="E108" s="2969"/>
      <c r="F108" s="1036">
        <f>'310'!M39</f>
        <v>0</v>
      </c>
      <c r="G108" t="str">
        <f>IF(F108='310'!M39," ","Problem: Must agree to ws 310 ")</f>
        <v xml:space="preserve"> </v>
      </c>
      <c r="H108" s="1079">
        <v>0</v>
      </c>
      <c r="I108" s="1079">
        <v>0</v>
      </c>
      <c r="J108" s="1079">
        <v>0</v>
      </c>
      <c r="K108" s="1079">
        <v>0</v>
      </c>
      <c r="L108" s="1079">
        <v>0</v>
      </c>
      <c r="M108" s="1079">
        <v>0</v>
      </c>
      <c r="N108" s="1079">
        <v>0</v>
      </c>
      <c r="O108" s="1079">
        <v>0</v>
      </c>
      <c r="P108" s="1079">
        <v>0</v>
      </c>
      <c r="Q108" s="1079">
        <v>0</v>
      </c>
      <c r="R108" s="1079">
        <v>0</v>
      </c>
      <c r="S108" s="1079">
        <v>0</v>
      </c>
      <c r="T108" t="str">
        <f t="shared" si="14"/>
        <v xml:space="preserve">OK </v>
      </c>
      <c r="U108" s="2188"/>
    </row>
    <row r="109" spans="1:21" x14ac:dyDescent="0.2">
      <c r="A109" s="1988">
        <v>1791</v>
      </c>
      <c r="B109" s="2969" t="s">
        <v>4701</v>
      </c>
      <c r="C109" s="2969"/>
      <c r="D109" s="2969"/>
      <c r="E109" s="2969"/>
      <c r="F109" s="1036">
        <f>'310'!M40</f>
        <v>0</v>
      </c>
      <c r="G109" t="str">
        <f>IF(F109='310'!M40," ","Problem: Must agree to ws 310 ")</f>
        <v xml:space="preserve"> </v>
      </c>
      <c r="H109" s="1079">
        <v>0</v>
      </c>
      <c r="I109" s="1079">
        <v>0</v>
      </c>
      <c r="J109" s="1079">
        <v>0</v>
      </c>
      <c r="K109" s="1079">
        <v>0</v>
      </c>
      <c r="L109" s="1079">
        <v>0</v>
      </c>
      <c r="M109" s="1079">
        <v>0</v>
      </c>
      <c r="N109" s="1079">
        <v>0</v>
      </c>
      <c r="O109" s="1079">
        <v>0</v>
      </c>
      <c r="P109" s="1079">
        <v>0</v>
      </c>
      <c r="Q109" s="1079">
        <v>0</v>
      </c>
      <c r="R109" s="1079">
        <v>0</v>
      </c>
      <c r="S109" s="1079">
        <v>0</v>
      </c>
      <c r="T109" t="str">
        <f t="shared" si="14"/>
        <v xml:space="preserve">OK </v>
      </c>
      <c r="U109" s="2188"/>
    </row>
    <row r="110" spans="1:21" x14ac:dyDescent="0.2">
      <c r="A110" s="1129">
        <v>1787</v>
      </c>
      <c r="B110" s="2969" t="s">
        <v>1500</v>
      </c>
      <c r="C110" s="2969"/>
      <c r="D110" s="2969"/>
      <c r="E110" s="2969"/>
      <c r="F110" s="1036">
        <f>'310'!M41</f>
        <v>0</v>
      </c>
      <c r="G110" t="str">
        <f>IF(F110='310'!M41," ","Problem: Must agree to ws 310 ")</f>
        <v xml:space="preserve"> </v>
      </c>
      <c r="H110" s="1079">
        <v>0</v>
      </c>
      <c r="I110" s="1079">
        <v>0</v>
      </c>
      <c r="J110" s="1079">
        <v>0</v>
      </c>
      <c r="K110" s="1079">
        <v>0</v>
      </c>
      <c r="L110" s="1079">
        <v>0</v>
      </c>
      <c r="M110" s="1079">
        <v>0</v>
      </c>
      <c r="N110" s="1079">
        <v>0</v>
      </c>
      <c r="O110" s="1079">
        <v>0</v>
      </c>
      <c r="P110" s="1079">
        <v>0</v>
      </c>
      <c r="Q110" s="1079">
        <v>0</v>
      </c>
      <c r="R110" s="1079">
        <v>0</v>
      </c>
      <c r="S110" s="1079">
        <v>0</v>
      </c>
      <c r="T110" t="str">
        <f t="shared" si="14"/>
        <v xml:space="preserve">OK </v>
      </c>
      <c r="U110" s="2188"/>
    </row>
    <row r="111" spans="1:21" x14ac:dyDescent="0.2">
      <c r="A111" s="1129">
        <v>1730</v>
      </c>
      <c r="B111" s="2876" t="s">
        <v>1501</v>
      </c>
      <c r="C111" s="2876"/>
      <c r="D111" s="2876"/>
      <c r="E111" s="2876"/>
      <c r="F111" s="1036">
        <f>'530'!H31</f>
        <v>0</v>
      </c>
      <c r="G111" t="str">
        <f>IF(F111='530'!H31," ","Problem: Must agree to ws 530 Due to St of NC Comp Unit")</f>
        <v xml:space="preserve"> </v>
      </c>
      <c r="H111" s="1079">
        <v>0</v>
      </c>
      <c r="I111" s="1079">
        <v>0</v>
      </c>
      <c r="J111" s="1079">
        <v>0</v>
      </c>
      <c r="K111" s="1079">
        <v>0</v>
      </c>
      <c r="L111" s="1079">
        <v>0</v>
      </c>
      <c r="M111" s="1079">
        <v>0</v>
      </c>
      <c r="N111" s="1079">
        <v>0</v>
      </c>
      <c r="O111" s="1079">
        <v>0</v>
      </c>
      <c r="P111" s="1079">
        <v>0</v>
      </c>
      <c r="Q111" s="1079">
        <v>0</v>
      </c>
      <c r="R111" s="1079">
        <v>0</v>
      </c>
      <c r="S111" s="1079">
        <v>0</v>
      </c>
      <c r="T111" t="str">
        <f t="shared" si="14"/>
        <v xml:space="preserve">OK </v>
      </c>
      <c r="U111" s="2191">
        <v>21260000</v>
      </c>
    </row>
    <row r="112" spans="1:21" x14ac:dyDescent="0.2">
      <c r="A112" s="1129">
        <v>1735</v>
      </c>
      <c r="B112" s="2876" t="s">
        <v>4279</v>
      </c>
      <c r="C112" s="2876"/>
      <c r="D112" s="2876"/>
      <c r="E112" s="2876"/>
      <c r="F112" s="1036">
        <f>'616'!D47</f>
        <v>0</v>
      </c>
      <c r="G112" s="14"/>
      <c r="H112" s="659">
        <v>0</v>
      </c>
      <c r="I112" s="659">
        <v>0</v>
      </c>
      <c r="J112" s="659">
        <v>0</v>
      </c>
      <c r="K112" s="659">
        <v>0</v>
      </c>
      <c r="L112" s="659">
        <v>0</v>
      </c>
      <c r="M112" s="659">
        <v>0</v>
      </c>
      <c r="N112" s="659">
        <v>0</v>
      </c>
      <c r="O112" s="659">
        <v>0</v>
      </c>
      <c r="P112" s="659">
        <v>0</v>
      </c>
      <c r="Q112" s="659">
        <v>0</v>
      </c>
      <c r="R112" s="659">
        <v>0</v>
      </c>
      <c r="S112" s="659">
        <v>0</v>
      </c>
      <c r="U112" s="2188">
        <v>21270000</v>
      </c>
    </row>
    <row r="113" spans="1:21" x14ac:dyDescent="0.2">
      <c r="A113" s="1129">
        <v>1740</v>
      </c>
      <c r="B113" s="2876" t="s">
        <v>1502</v>
      </c>
      <c r="C113" s="2876"/>
      <c r="D113" s="2876"/>
      <c r="E113" s="2876"/>
      <c r="F113" s="1036">
        <f>'520'!H31</f>
        <v>0</v>
      </c>
      <c r="G113" t="str">
        <f>IF(F113='520'!H31," ","Problem: Must agree to ws 520 Due to Primary Govt")</f>
        <v xml:space="preserve"> </v>
      </c>
      <c r="H113" s="1079">
        <v>0</v>
      </c>
      <c r="I113" s="1079">
        <v>0</v>
      </c>
      <c r="J113" s="1079">
        <v>0</v>
      </c>
      <c r="K113" s="1079">
        <v>0</v>
      </c>
      <c r="L113" s="1079">
        <v>0</v>
      </c>
      <c r="M113" s="1079">
        <v>0</v>
      </c>
      <c r="N113" s="1079">
        <v>0</v>
      </c>
      <c r="O113" s="1079">
        <v>0</v>
      </c>
      <c r="P113" s="1079">
        <v>0</v>
      </c>
      <c r="Q113" s="1079">
        <v>0</v>
      </c>
      <c r="R113" s="1079">
        <v>0</v>
      </c>
      <c r="S113" s="1079">
        <v>0</v>
      </c>
      <c r="T113" t="str">
        <f>IF(SUM(H113:S113)=F113,"OK ","Problem: sum of amts keyed for each agency in col H through S must tie to total on combined worksheet")</f>
        <v xml:space="preserve">OK </v>
      </c>
      <c r="U113" s="2191">
        <v>21250000</v>
      </c>
    </row>
    <row r="114" spans="1:21" x14ac:dyDescent="0.2">
      <c r="A114" s="335">
        <v>1890</v>
      </c>
      <c r="B114" s="2876" t="s">
        <v>569</v>
      </c>
      <c r="C114" s="2876"/>
      <c r="D114" s="2876"/>
      <c r="E114" s="2876"/>
      <c r="F114" s="649">
        <f t="shared" ref="F114:F119" si="15">SUM(H114:S114)</f>
        <v>0</v>
      </c>
      <c r="H114" s="659">
        <v>0</v>
      </c>
      <c r="I114" s="659">
        <v>0</v>
      </c>
      <c r="J114" s="659">
        <v>0</v>
      </c>
      <c r="K114" s="659">
        <v>0</v>
      </c>
      <c r="L114" s="659">
        <v>0</v>
      </c>
      <c r="M114" s="659">
        <v>0</v>
      </c>
      <c r="N114" s="659">
        <v>0</v>
      </c>
      <c r="O114" s="659">
        <v>0</v>
      </c>
      <c r="P114" s="659">
        <v>0</v>
      </c>
      <c r="Q114" s="659">
        <v>0</v>
      </c>
      <c r="R114" s="659">
        <v>0</v>
      </c>
      <c r="S114" s="659">
        <v>0</v>
      </c>
      <c r="U114" s="2188">
        <v>21811000</v>
      </c>
    </row>
    <row r="115" spans="1:21" x14ac:dyDescent="0.2">
      <c r="A115" s="335">
        <v>1750</v>
      </c>
      <c r="B115" s="2876" t="s">
        <v>277</v>
      </c>
      <c r="C115" s="2876"/>
      <c r="D115" s="2876"/>
      <c r="E115" s="2876"/>
      <c r="F115" s="649">
        <f t="shared" si="15"/>
        <v>0</v>
      </c>
      <c r="H115" s="659">
        <v>0</v>
      </c>
      <c r="I115" s="659">
        <v>0</v>
      </c>
      <c r="J115" s="659">
        <v>0</v>
      </c>
      <c r="K115" s="659">
        <v>0</v>
      </c>
      <c r="L115" s="659">
        <v>0</v>
      </c>
      <c r="M115" s="659">
        <v>0</v>
      </c>
      <c r="N115" s="659">
        <v>0</v>
      </c>
      <c r="O115" s="659">
        <v>0</v>
      </c>
      <c r="P115" s="659">
        <v>0</v>
      </c>
      <c r="Q115" s="659">
        <v>0</v>
      </c>
      <c r="R115" s="659">
        <v>0</v>
      </c>
      <c r="S115" s="659">
        <v>0</v>
      </c>
      <c r="U115" s="2188">
        <v>21310000</v>
      </c>
    </row>
    <row r="116" spans="1:21" x14ac:dyDescent="0.2">
      <c r="A116" s="335">
        <v>1760</v>
      </c>
      <c r="B116" s="2876" t="s">
        <v>1402</v>
      </c>
      <c r="C116" s="2876"/>
      <c r="D116" s="2876"/>
      <c r="E116" s="2876"/>
      <c r="F116" s="649">
        <f t="shared" si="15"/>
        <v>0</v>
      </c>
      <c r="G116" s="864"/>
      <c r="H116" s="659">
        <v>0</v>
      </c>
      <c r="I116" s="659">
        <v>0</v>
      </c>
      <c r="J116" s="659">
        <v>0</v>
      </c>
      <c r="K116" s="659">
        <v>0</v>
      </c>
      <c r="L116" s="659">
        <v>0</v>
      </c>
      <c r="M116" s="659">
        <v>0</v>
      </c>
      <c r="N116" s="659">
        <v>0</v>
      </c>
      <c r="O116" s="659">
        <v>0</v>
      </c>
      <c r="P116" s="659">
        <v>0</v>
      </c>
      <c r="Q116" s="659">
        <v>0</v>
      </c>
      <c r="R116" s="659">
        <v>0</v>
      </c>
      <c r="S116" s="659">
        <v>0</v>
      </c>
      <c r="U116" s="2188">
        <v>21315000</v>
      </c>
    </row>
    <row r="117" spans="1:21" x14ac:dyDescent="0.2">
      <c r="A117" s="335">
        <v>1870</v>
      </c>
      <c r="B117" s="2876" t="s">
        <v>739</v>
      </c>
      <c r="C117" s="2876"/>
      <c r="D117" s="2876"/>
      <c r="E117" s="2876"/>
      <c r="F117" s="649">
        <f t="shared" si="15"/>
        <v>0</v>
      </c>
      <c r="H117" s="659">
        <v>0</v>
      </c>
      <c r="I117" s="659">
        <v>0</v>
      </c>
      <c r="J117" s="659">
        <v>0</v>
      </c>
      <c r="K117" s="659">
        <v>0</v>
      </c>
      <c r="L117" s="659">
        <v>0</v>
      </c>
      <c r="M117" s="659">
        <v>0</v>
      </c>
      <c r="N117" s="659">
        <v>0</v>
      </c>
      <c r="O117" s="659">
        <v>0</v>
      </c>
      <c r="P117" s="659">
        <v>0</v>
      </c>
      <c r="Q117" s="659">
        <v>0</v>
      </c>
      <c r="R117" s="659">
        <v>0</v>
      </c>
      <c r="S117" s="659">
        <v>0</v>
      </c>
      <c r="U117" s="2188">
        <v>21712000</v>
      </c>
    </row>
    <row r="118" spans="1:21" x14ac:dyDescent="0.2">
      <c r="A118" s="335">
        <v>1880</v>
      </c>
      <c r="B118" s="2876" t="s">
        <v>701</v>
      </c>
      <c r="C118" s="2876"/>
      <c r="D118" s="2876"/>
      <c r="E118" s="2876"/>
      <c r="F118" s="649">
        <f t="shared" si="15"/>
        <v>0</v>
      </c>
      <c r="G118" s="335"/>
      <c r="H118" s="659">
        <v>0</v>
      </c>
      <c r="I118" s="659">
        <v>0</v>
      </c>
      <c r="J118" s="659">
        <v>0</v>
      </c>
      <c r="K118" s="659">
        <v>0</v>
      </c>
      <c r="L118" s="659">
        <v>0</v>
      </c>
      <c r="M118" s="659">
        <v>0</v>
      </c>
      <c r="N118" s="659">
        <v>0</v>
      </c>
      <c r="O118" s="659">
        <v>0</v>
      </c>
      <c r="P118" s="659">
        <v>0</v>
      </c>
      <c r="Q118" s="659">
        <v>0</v>
      </c>
      <c r="R118" s="659">
        <v>0</v>
      </c>
      <c r="S118" s="659">
        <v>0</v>
      </c>
      <c r="U118" s="2188">
        <v>21719000</v>
      </c>
    </row>
    <row r="119" spans="1:21" x14ac:dyDescent="0.2">
      <c r="A119" s="335">
        <v>1762</v>
      </c>
      <c r="B119" s="2876" t="s">
        <v>1347</v>
      </c>
      <c r="C119" s="2876"/>
      <c r="D119" s="2876"/>
      <c r="E119" s="2876"/>
      <c r="F119" s="649">
        <f t="shared" si="15"/>
        <v>0</v>
      </c>
      <c r="H119" s="659">
        <v>0</v>
      </c>
      <c r="I119" s="659">
        <v>0</v>
      </c>
      <c r="J119" s="659">
        <v>0</v>
      </c>
      <c r="K119" s="659">
        <v>0</v>
      </c>
      <c r="L119" s="659">
        <v>0</v>
      </c>
      <c r="M119" s="659">
        <v>0</v>
      </c>
      <c r="N119" s="659">
        <v>0</v>
      </c>
      <c r="O119" s="659">
        <v>0</v>
      </c>
      <c r="P119" s="659">
        <v>0</v>
      </c>
      <c r="Q119" s="659">
        <v>0</v>
      </c>
      <c r="R119" s="659">
        <v>0</v>
      </c>
      <c r="S119" s="659">
        <v>0</v>
      </c>
      <c r="U119" s="2188">
        <v>21920000</v>
      </c>
    </row>
    <row r="120" spans="1:21" x14ac:dyDescent="0.2">
      <c r="A120" s="1129">
        <v>1775</v>
      </c>
      <c r="B120" s="2876" t="s">
        <v>4622</v>
      </c>
      <c r="C120" s="2876"/>
      <c r="D120" s="2876"/>
      <c r="E120" s="2876"/>
      <c r="F120" s="1036">
        <f>'310'!O26</f>
        <v>0</v>
      </c>
      <c r="G120" t="str">
        <f>IF(F120='310'!O26," ","Problem: Must agree to ws 310 Direct borrowings Due within one year")</f>
        <v xml:space="preserve"> </v>
      </c>
      <c r="H120" s="1079">
        <v>0</v>
      </c>
      <c r="I120" s="1079">
        <v>0</v>
      </c>
      <c r="J120" s="1079">
        <v>0</v>
      </c>
      <c r="K120" s="1079">
        <v>0</v>
      </c>
      <c r="L120" s="1079">
        <v>0</v>
      </c>
      <c r="M120" s="1079">
        <v>0</v>
      </c>
      <c r="N120" s="1079">
        <v>0</v>
      </c>
      <c r="O120" s="1079">
        <v>0</v>
      </c>
      <c r="P120" s="1079">
        <v>0</v>
      </c>
      <c r="Q120" s="1079">
        <v>0</v>
      </c>
      <c r="R120" s="1079">
        <v>0</v>
      </c>
      <c r="S120" s="1079">
        <v>0</v>
      </c>
      <c r="T120" t="str">
        <f t="shared" ref="T120:T132" si="16">IF(SUM(H120:S120)=F120,"OK ","Problem: sum of amts keyed for each agency in col H through S must tie to total on combined worksheet")</f>
        <v xml:space="preserve">OK </v>
      </c>
      <c r="U120" s="2188"/>
    </row>
    <row r="121" spans="1:21" x14ac:dyDescent="0.2">
      <c r="A121" s="1129">
        <v>1780</v>
      </c>
      <c r="B121" s="2974" t="s">
        <v>5510</v>
      </c>
      <c r="C121" s="2974"/>
      <c r="D121" s="2974"/>
      <c r="E121" s="2974"/>
      <c r="F121" s="1036">
        <f>'310'!O27</f>
        <v>0</v>
      </c>
      <c r="G121" t="str">
        <f>IF(F121='310'!O27," ","Problem: Must agree to ws 310 Capital leases payable Due within one year")</f>
        <v xml:space="preserve"> </v>
      </c>
      <c r="H121" s="1079">
        <v>0</v>
      </c>
      <c r="I121" s="1079">
        <v>0</v>
      </c>
      <c r="J121" s="1079">
        <v>0</v>
      </c>
      <c r="K121" s="1079">
        <v>0</v>
      </c>
      <c r="L121" s="1079">
        <v>0</v>
      </c>
      <c r="M121" s="1079">
        <v>0</v>
      </c>
      <c r="N121" s="1079">
        <v>0</v>
      </c>
      <c r="O121" s="1079">
        <v>0</v>
      </c>
      <c r="P121" s="1079">
        <v>0</v>
      </c>
      <c r="Q121" s="1079">
        <v>0</v>
      </c>
      <c r="R121" s="1079">
        <v>0</v>
      </c>
      <c r="S121" s="1079">
        <v>0</v>
      </c>
      <c r="T121" t="str">
        <f t="shared" si="16"/>
        <v xml:space="preserve">OK </v>
      </c>
      <c r="U121" s="2188"/>
    </row>
    <row r="122" spans="1:21" x14ac:dyDescent="0.2">
      <c r="A122" s="1129">
        <v>1800</v>
      </c>
      <c r="B122" s="2876" t="s">
        <v>1503</v>
      </c>
      <c r="C122" s="2876"/>
      <c r="D122" s="2876"/>
      <c r="E122" s="2876"/>
      <c r="F122" s="1036">
        <f>SUM('310'!O17+'310'!O18+'310'!O19+'310'!O20+'310'!O21)</f>
        <v>0</v>
      </c>
      <c r="G122" t="str">
        <f>IF(F122='310'!O17+'310'!O18+'310'!O20+'310'!O21," ","Problem: Must agree to ws 310 Sum of Bonds &amp; COPS payable Due within one year")</f>
        <v xml:space="preserve"> </v>
      </c>
      <c r="H122" s="1079">
        <v>0</v>
      </c>
      <c r="I122" s="1079">
        <v>0</v>
      </c>
      <c r="J122" s="1079">
        <v>0</v>
      </c>
      <c r="K122" s="1079">
        <v>0</v>
      </c>
      <c r="L122" s="1079">
        <v>0</v>
      </c>
      <c r="M122" s="1079">
        <v>0</v>
      </c>
      <c r="N122" s="1079">
        <v>0</v>
      </c>
      <c r="O122" s="1079">
        <v>0</v>
      </c>
      <c r="P122" s="1079">
        <v>0</v>
      </c>
      <c r="Q122" s="1079">
        <v>0</v>
      </c>
      <c r="R122" s="1079">
        <v>0</v>
      </c>
      <c r="S122" s="1079">
        <v>0</v>
      </c>
      <c r="T122" t="str">
        <f t="shared" si="16"/>
        <v xml:space="preserve">OK </v>
      </c>
      <c r="U122" s="2188"/>
    </row>
    <row r="123" spans="1:21" x14ac:dyDescent="0.2">
      <c r="A123" s="1129">
        <v>1850</v>
      </c>
      <c r="B123" s="2876" t="s">
        <v>1504</v>
      </c>
      <c r="C123" s="2876"/>
      <c r="D123" s="2876"/>
      <c r="E123" s="2876"/>
      <c r="F123" s="1036">
        <f>'310'!O24</f>
        <v>0</v>
      </c>
      <c r="G123" t="str">
        <f>IF(F123='310'!O24," ","Problem: Must agree to ws 310 Arbitrage rebate payable Due within one year")</f>
        <v xml:space="preserve"> </v>
      </c>
      <c r="H123" s="1079">
        <v>0</v>
      </c>
      <c r="I123" s="1079">
        <v>0</v>
      </c>
      <c r="J123" s="1079">
        <v>0</v>
      </c>
      <c r="K123" s="1079">
        <v>0</v>
      </c>
      <c r="L123" s="1079">
        <v>0</v>
      </c>
      <c r="M123" s="1079">
        <v>0</v>
      </c>
      <c r="N123" s="1079">
        <v>0</v>
      </c>
      <c r="O123" s="1079">
        <v>0</v>
      </c>
      <c r="P123" s="1079">
        <v>0</v>
      </c>
      <c r="Q123" s="1079">
        <v>0</v>
      </c>
      <c r="R123" s="1079">
        <v>0</v>
      </c>
      <c r="S123" s="1079">
        <v>0</v>
      </c>
      <c r="T123" t="str">
        <f t="shared" si="16"/>
        <v xml:space="preserve">OK </v>
      </c>
      <c r="U123" s="2188"/>
    </row>
    <row r="124" spans="1:21" x14ac:dyDescent="0.2">
      <c r="A124" s="1129">
        <v>1851</v>
      </c>
      <c r="B124" s="2876" t="s">
        <v>3799</v>
      </c>
      <c r="C124" s="2876"/>
      <c r="D124" s="2876"/>
      <c r="E124" s="2876"/>
      <c r="F124" s="1036">
        <f>'310'!O25</f>
        <v>0</v>
      </c>
      <c r="G124" t="str">
        <f>IF(F124='310'!O25," ","Problem: Must agree to ws 310 Workers Comp payable Due within one year")</f>
        <v xml:space="preserve"> </v>
      </c>
      <c r="H124" s="1079">
        <v>0</v>
      </c>
      <c r="I124" s="1079">
        <v>0</v>
      </c>
      <c r="J124" s="1079">
        <v>0</v>
      </c>
      <c r="K124" s="1079">
        <v>0</v>
      </c>
      <c r="L124" s="1079">
        <v>0</v>
      </c>
      <c r="M124" s="1079">
        <v>0</v>
      </c>
      <c r="N124" s="1079">
        <v>0</v>
      </c>
      <c r="O124" s="1079">
        <v>0</v>
      </c>
      <c r="P124" s="1079">
        <v>0</v>
      </c>
      <c r="Q124" s="1079">
        <v>0</v>
      </c>
      <c r="R124" s="1079">
        <v>0</v>
      </c>
      <c r="S124" s="1079">
        <v>0</v>
      </c>
      <c r="T124" t="str">
        <f>IF(SUM(H124:S124)=F124,"OK ","Problem: sum of amts keyed for each agency in col H through S must tie to total on combined worksheet")</f>
        <v xml:space="preserve">OK </v>
      </c>
      <c r="U124" s="2188"/>
    </row>
    <row r="125" spans="1:21" x14ac:dyDescent="0.2">
      <c r="A125" s="1129">
        <v>1786</v>
      </c>
      <c r="B125" s="2876" t="s">
        <v>1505</v>
      </c>
      <c r="C125" s="2876"/>
      <c r="D125" s="2876"/>
      <c r="E125" s="2876"/>
      <c r="F125" s="1036">
        <f>'310'!O28</f>
        <v>0</v>
      </c>
      <c r="G125" t="str">
        <f>IF(F125='310'!O28," ","Problem: Must agree to ws 310 Annuity and life income payable Due within one year")</f>
        <v xml:space="preserve"> </v>
      </c>
      <c r="H125" s="1079">
        <v>0</v>
      </c>
      <c r="I125" s="1079">
        <v>0</v>
      </c>
      <c r="J125" s="1079">
        <v>0</v>
      </c>
      <c r="K125" s="1079">
        <v>0</v>
      </c>
      <c r="L125" s="1079">
        <v>0</v>
      </c>
      <c r="M125" s="1079">
        <v>0</v>
      </c>
      <c r="N125" s="1079">
        <v>0</v>
      </c>
      <c r="O125" s="1079">
        <v>0</v>
      </c>
      <c r="P125" s="1079">
        <v>0</v>
      </c>
      <c r="Q125" s="1079">
        <v>0</v>
      </c>
      <c r="R125" s="1079">
        <v>0</v>
      </c>
      <c r="S125" s="1079">
        <v>0</v>
      </c>
      <c r="T125" t="str">
        <f t="shared" si="16"/>
        <v xml:space="preserve">OK </v>
      </c>
      <c r="U125" s="2188"/>
    </row>
    <row r="126" spans="1:21" x14ac:dyDescent="0.2">
      <c r="A126" s="1129">
        <v>1855</v>
      </c>
      <c r="B126" s="2876" t="s">
        <v>1506</v>
      </c>
      <c r="C126" s="2876"/>
      <c r="D126" s="2876"/>
      <c r="E126" s="2876"/>
      <c r="F126" s="1036">
        <f>'310'!O30</f>
        <v>0</v>
      </c>
      <c r="G126" t="str">
        <f>IF(F126='310'!O30," ","Problem: Must agree to ws 310 Pollution remediation payable Due within one year")</f>
        <v xml:space="preserve"> </v>
      </c>
      <c r="H126" s="1079">
        <v>0</v>
      </c>
      <c r="I126" s="1079">
        <v>0</v>
      </c>
      <c r="J126" s="1079">
        <v>0</v>
      </c>
      <c r="K126" s="1079">
        <v>0</v>
      </c>
      <c r="L126" s="1079">
        <v>0</v>
      </c>
      <c r="M126" s="1079">
        <v>0</v>
      </c>
      <c r="N126" s="1079">
        <v>0</v>
      </c>
      <c r="O126" s="1079">
        <v>0</v>
      </c>
      <c r="P126" s="1079">
        <v>0</v>
      </c>
      <c r="Q126" s="1079">
        <v>0</v>
      </c>
      <c r="R126" s="1079">
        <v>0</v>
      </c>
      <c r="S126" s="1079">
        <v>0</v>
      </c>
      <c r="T126" t="str">
        <f t="shared" si="16"/>
        <v xml:space="preserve">OK </v>
      </c>
      <c r="U126" s="2188"/>
    </row>
    <row r="127" spans="1:21" x14ac:dyDescent="0.2">
      <c r="A127" s="1129">
        <v>1857</v>
      </c>
      <c r="B127" s="2876" t="s">
        <v>4610</v>
      </c>
      <c r="C127" s="2876"/>
      <c r="D127" s="2876"/>
      <c r="E127" s="2876"/>
      <c r="F127" s="1036">
        <f>'310'!O31</f>
        <v>0</v>
      </c>
      <c r="G127" t="str">
        <f>IF(F127='310'!O31," ","Problem: Must agree to ws 310 Pollution remediation payable Due within one year")</f>
        <v xml:space="preserve"> </v>
      </c>
      <c r="H127" s="1079">
        <v>0</v>
      </c>
      <c r="I127" s="1079">
        <v>0</v>
      </c>
      <c r="J127" s="1079">
        <v>0</v>
      </c>
      <c r="K127" s="1079">
        <v>0</v>
      </c>
      <c r="L127" s="1079">
        <v>0</v>
      </c>
      <c r="M127" s="1079">
        <v>0</v>
      </c>
      <c r="N127" s="1079">
        <v>0</v>
      </c>
      <c r="O127" s="1079">
        <v>0</v>
      </c>
      <c r="P127" s="1079">
        <v>0</v>
      </c>
      <c r="Q127" s="1079">
        <v>0</v>
      </c>
      <c r="R127" s="1079">
        <v>0</v>
      </c>
      <c r="S127" s="1079">
        <v>0</v>
      </c>
      <c r="T127" t="str">
        <f>IF(SUM(H127:S127)=F127,"OK ","Problem: sum of amts keyed for each agency in col H through S must tie to total on combined worksheet")</f>
        <v xml:space="preserve">OK </v>
      </c>
      <c r="U127" s="2188"/>
    </row>
    <row r="128" spans="1:21" x14ac:dyDescent="0.2">
      <c r="A128" s="1129">
        <v>1860</v>
      </c>
      <c r="B128" s="2876" t="s">
        <v>3867</v>
      </c>
      <c r="C128" s="2876"/>
      <c r="D128" s="2876"/>
      <c r="E128" s="2876"/>
      <c r="F128" s="1036">
        <f>'310'!O32</f>
        <v>0</v>
      </c>
      <c r="G128" t="str">
        <f>IF(F128='310'!O32," ","Problem: Must agree to ws 310 Compensated absences Due within one year")</f>
        <v xml:space="preserve"> </v>
      </c>
      <c r="H128" s="1079">
        <v>0</v>
      </c>
      <c r="I128" s="1079">
        <v>0</v>
      </c>
      <c r="J128" s="1079">
        <v>0</v>
      </c>
      <c r="K128" s="1079">
        <v>0</v>
      </c>
      <c r="L128" s="1079">
        <v>0</v>
      </c>
      <c r="M128" s="1079">
        <v>0</v>
      </c>
      <c r="N128" s="1079">
        <v>0</v>
      </c>
      <c r="O128" s="1079">
        <v>0</v>
      </c>
      <c r="P128" s="1079">
        <v>0</v>
      </c>
      <c r="Q128" s="1079">
        <v>0</v>
      </c>
      <c r="R128" s="1079">
        <v>0</v>
      </c>
      <c r="S128" s="1079">
        <v>0</v>
      </c>
      <c r="T128" t="str">
        <f t="shared" si="16"/>
        <v xml:space="preserve">OK </v>
      </c>
      <c r="U128" s="2188"/>
    </row>
    <row r="129" spans="1:21" x14ac:dyDescent="0.2">
      <c r="A129" s="1129">
        <v>1868</v>
      </c>
      <c r="B129" s="2876" t="s">
        <v>3868</v>
      </c>
      <c r="C129" s="2876"/>
      <c r="D129" s="2876"/>
      <c r="E129" s="2876"/>
      <c r="F129" s="1036">
        <f>'310'!O33</f>
        <v>0</v>
      </c>
      <c r="G129" t="str">
        <f>IF(F129='310'!O33," ","Problem: Must agree to ws 310 Net Pension Liability Due within one year")</f>
        <v xml:space="preserve"> </v>
      </c>
      <c r="H129" s="1079">
        <v>0</v>
      </c>
      <c r="I129" s="1079">
        <v>0</v>
      </c>
      <c r="J129" s="1079">
        <v>0</v>
      </c>
      <c r="K129" s="1079">
        <v>0</v>
      </c>
      <c r="L129" s="1079">
        <v>0</v>
      </c>
      <c r="M129" s="1079">
        <v>0</v>
      </c>
      <c r="N129" s="1079">
        <v>0</v>
      </c>
      <c r="O129" s="1079">
        <v>0</v>
      </c>
      <c r="P129" s="1079">
        <v>0</v>
      </c>
      <c r="Q129" s="1079">
        <v>0</v>
      </c>
      <c r="R129" s="1079">
        <v>0</v>
      </c>
      <c r="S129" s="1079">
        <v>0</v>
      </c>
      <c r="T129" t="str">
        <f>IF(SUM(H129:S129)=F129,"OK ","Problem: sum of amts keyed for each agency in col H through S must tie to total on combined worksheet")</f>
        <v xml:space="preserve">OK </v>
      </c>
      <c r="U129" s="2188"/>
    </row>
    <row r="130" spans="1:21" x14ac:dyDescent="0.2">
      <c r="A130" s="1129">
        <v>1869</v>
      </c>
      <c r="B130" s="2876" t="s">
        <v>4446</v>
      </c>
      <c r="C130" s="2876"/>
      <c r="D130" s="2876"/>
      <c r="E130" s="2876"/>
      <c r="F130" s="1036">
        <f>'310'!O34</f>
        <v>0</v>
      </c>
      <c r="G130" t="str">
        <f>IF(F130='310'!O33," ","Problem: Must agree to ws 310 Net OPEB Liability, due within one yr")</f>
        <v xml:space="preserve"> </v>
      </c>
      <c r="H130" s="1079">
        <v>0</v>
      </c>
      <c r="I130" s="1079">
        <v>0</v>
      </c>
      <c r="J130" s="1079">
        <v>0</v>
      </c>
      <c r="K130" s="1079">
        <v>0</v>
      </c>
      <c r="L130" s="1079">
        <v>0</v>
      </c>
      <c r="M130" s="1079">
        <v>0</v>
      </c>
      <c r="N130" s="1079">
        <v>0</v>
      </c>
      <c r="O130" s="1079">
        <v>0</v>
      </c>
      <c r="P130" s="1079">
        <v>0</v>
      </c>
      <c r="Q130" s="1079">
        <v>0</v>
      </c>
      <c r="R130" s="1079">
        <v>0</v>
      </c>
      <c r="S130" s="1079">
        <v>0</v>
      </c>
      <c r="T130" t="str">
        <f>IF(SUM(H130:S130)=F130,"OK ","Problem: sum of amts keyed for each agency in col H through S must tie to total on combined worksheet")</f>
        <v xml:space="preserve">OK </v>
      </c>
      <c r="U130" s="2188"/>
    </row>
    <row r="131" spans="1:21" x14ac:dyDescent="0.2">
      <c r="A131" s="1129">
        <v>1865</v>
      </c>
      <c r="B131" s="2876" t="s">
        <v>1507</v>
      </c>
      <c r="C131" s="2876"/>
      <c r="D131" s="2876"/>
      <c r="E131" s="2876"/>
      <c r="F131" s="1036">
        <f>'310'!O35</f>
        <v>0</v>
      </c>
      <c r="G131" t="str">
        <f>IF(F131='310'!O35," ","Problem: Must agree to ws 310 Liab Insurance Trust Fund Payable, due within one yr")</f>
        <v xml:space="preserve"> </v>
      </c>
      <c r="H131" s="1079">
        <v>0</v>
      </c>
      <c r="I131" s="1079">
        <v>0</v>
      </c>
      <c r="J131" s="1079">
        <v>0</v>
      </c>
      <c r="K131" s="1079">
        <v>0</v>
      </c>
      <c r="L131" s="1079">
        <v>0</v>
      </c>
      <c r="M131" s="1079">
        <v>0</v>
      </c>
      <c r="N131" s="1079">
        <v>0</v>
      </c>
      <c r="O131" s="1079">
        <v>0</v>
      </c>
      <c r="P131" s="1079">
        <v>0</v>
      </c>
      <c r="Q131" s="1079">
        <v>0</v>
      </c>
      <c r="R131" s="1079">
        <v>0</v>
      </c>
      <c r="S131" s="1079">
        <v>0</v>
      </c>
      <c r="T131" t="str">
        <f t="shared" si="16"/>
        <v xml:space="preserve">OK </v>
      </c>
      <c r="U131" s="2188"/>
    </row>
    <row r="132" spans="1:21" x14ac:dyDescent="0.2">
      <c r="A132" s="1129">
        <v>1866</v>
      </c>
      <c r="B132" s="2876" t="s">
        <v>1508</v>
      </c>
      <c r="C132" s="2876"/>
      <c r="D132" s="2876"/>
      <c r="E132" s="2876"/>
      <c r="F132" s="1036">
        <f>'310'!O36</f>
        <v>0</v>
      </c>
      <c r="G132" t="str">
        <f>IF(F132='310'!O36," ","Problem: Must agree to ws 310 Other LT liabilities Due within one year")</f>
        <v xml:space="preserve"> </v>
      </c>
      <c r="H132" s="1079">
        <v>0</v>
      </c>
      <c r="I132" s="1079">
        <v>0</v>
      </c>
      <c r="J132" s="1079">
        <v>0</v>
      </c>
      <c r="K132" s="1079">
        <v>0</v>
      </c>
      <c r="L132" s="1079">
        <v>0</v>
      </c>
      <c r="M132" s="1079">
        <v>0</v>
      </c>
      <c r="N132" s="1079">
        <v>0</v>
      </c>
      <c r="O132" s="1079">
        <v>0</v>
      </c>
      <c r="P132" s="1079">
        <v>0</v>
      </c>
      <c r="Q132" s="1079">
        <v>0</v>
      </c>
      <c r="R132" s="1079">
        <v>0</v>
      </c>
      <c r="S132" s="1079">
        <v>0</v>
      </c>
      <c r="T132" t="str">
        <f t="shared" si="16"/>
        <v xml:space="preserve">OK </v>
      </c>
      <c r="U132" s="2188"/>
    </row>
    <row r="133" spans="1:21" x14ac:dyDescent="0.2">
      <c r="B133" s="2965" t="s">
        <v>750</v>
      </c>
      <c r="C133" s="2965"/>
      <c r="D133" s="2965"/>
      <c r="E133" s="2965"/>
      <c r="F133" s="661">
        <f>SUM(F100:F132)</f>
        <v>0</v>
      </c>
      <c r="H133" s="661">
        <f t="shared" ref="H133:S133" si="17">SUM(H100:H132)</f>
        <v>0</v>
      </c>
      <c r="I133" s="661">
        <f t="shared" si="17"/>
        <v>0</v>
      </c>
      <c r="J133" s="661">
        <f t="shared" si="17"/>
        <v>0</v>
      </c>
      <c r="K133" s="661">
        <f t="shared" si="17"/>
        <v>0</v>
      </c>
      <c r="L133" s="661">
        <f t="shared" si="17"/>
        <v>0</v>
      </c>
      <c r="M133" s="661">
        <f t="shared" si="17"/>
        <v>0</v>
      </c>
      <c r="N133" s="661">
        <f t="shared" si="17"/>
        <v>0</v>
      </c>
      <c r="O133" s="661">
        <f t="shared" si="17"/>
        <v>0</v>
      </c>
      <c r="P133" s="661">
        <f t="shared" si="17"/>
        <v>0</v>
      </c>
      <c r="Q133" s="661">
        <f t="shared" si="17"/>
        <v>0</v>
      </c>
      <c r="R133" s="661">
        <f t="shared" si="17"/>
        <v>0</v>
      </c>
      <c r="S133" s="661">
        <f t="shared" si="17"/>
        <v>0</v>
      </c>
      <c r="T133" t="str">
        <f>IF(SUM(H133:S133)=F133,"OK ","Crossfoot error: sum of Col H thru S must equal total in Col F")</f>
        <v xml:space="preserve">OK </v>
      </c>
      <c r="U133" s="2188"/>
    </row>
    <row r="134" spans="1:21" x14ac:dyDescent="0.2">
      <c r="U134" s="2188"/>
    </row>
    <row r="135" spans="1:21" x14ac:dyDescent="0.2">
      <c r="B135" s="784" t="s">
        <v>788</v>
      </c>
      <c r="U135" s="2188"/>
    </row>
    <row r="136" spans="1:21" x14ac:dyDescent="0.2">
      <c r="A136" s="335"/>
      <c r="B136" s="335" t="s">
        <v>275</v>
      </c>
      <c r="C136" s="335"/>
      <c r="U136" s="2188"/>
    </row>
    <row r="137" spans="1:21" x14ac:dyDescent="0.2">
      <c r="A137" s="335">
        <v>1940</v>
      </c>
      <c r="B137" s="2969" t="s">
        <v>1060</v>
      </c>
      <c r="C137" s="2969"/>
      <c r="D137" s="2969"/>
      <c r="E137" s="2969"/>
      <c r="F137" s="649">
        <f>SUM(H137:S137)</f>
        <v>0</v>
      </c>
      <c r="G137" s="14"/>
      <c r="H137" s="659">
        <v>0</v>
      </c>
      <c r="I137" s="659">
        <v>0</v>
      </c>
      <c r="J137" s="659">
        <v>0</v>
      </c>
      <c r="K137" s="659">
        <v>0</v>
      </c>
      <c r="L137" s="659">
        <v>0</v>
      </c>
      <c r="M137" s="659">
        <v>0</v>
      </c>
      <c r="N137" s="659">
        <v>0</v>
      </c>
      <c r="O137" s="659">
        <v>0</v>
      </c>
      <c r="P137" s="659">
        <v>0</v>
      </c>
      <c r="Q137" s="659">
        <v>0</v>
      </c>
      <c r="R137" s="659">
        <v>0</v>
      </c>
      <c r="S137" s="659">
        <v>0</v>
      </c>
      <c r="U137" s="2128">
        <v>22110000</v>
      </c>
    </row>
    <row r="138" spans="1:21" x14ac:dyDescent="0.2">
      <c r="A138" s="335">
        <v>1950</v>
      </c>
      <c r="B138" s="2969" t="s">
        <v>816</v>
      </c>
      <c r="C138" s="2969"/>
      <c r="D138" s="2969"/>
      <c r="E138" s="2969"/>
      <c r="F138" s="649">
        <f>SUM(H138:S138)</f>
        <v>0</v>
      </c>
      <c r="H138" s="659">
        <v>0</v>
      </c>
      <c r="I138" s="659">
        <v>0</v>
      </c>
      <c r="J138" s="659">
        <v>0</v>
      </c>
      <c r="K138" s="659">
        <v>0</v>
      </c>
      <c r="L138" s="659">
        <v>0</v>
      </c>
      <c r="M138" s="659">
        <v>0</v>
      </c>
      <c r="N138" s="659">
        <v>0</v>
      </c>
      <c r="O138" s="659">
        <v>0</v>
      </c>
      <c r="P138" s="659">
        <v>0</v>
      </c>
      <c r="Q138" s="659">
        <v>0</v>
      </c>
      <c r="R138" s="659">
        <v>0</v>
      </c>
      <c r="S138" s="659">
        <v>0</v>
      </c>
      <c r="U138" s="2128">
        <v>22132000</v>
      </c>
    </row>
    <row r="139" spans="1:21" x14ac:dyDescent="0.2">
      <c r="A139" s="335">
        <v>1960</v>
      </c>
      <c r="B139" s="2969" t="s">
        <v>700</v>
      </c>
      <c r="C139" s="2969"/>
      <c r="D139" s="2969"/>
      <c r="E139" s="2969"/>
      <c r="F139" s="649">
        <f>SUM(H139:S139)</f>
        <v>0</v>
      </c>
      <c r="H139" s="659">
        <v>0</v>
      </c>
      <c r="I139" s="659">
        <v>0</v>
      </c>
      <c r="J139" s="659">
        <v>0</v>
      </c>
      <c r="K139" s="659">
        <v>0</v>
      </c>
      <c r="L139" s="659">
        <v>0</v>
      </c>
      <c r="M139" s="659">
        <v>0</v>
      </c>
      <c r="N139" s="659">
        <v>0</v>
      </c>
      <c r="O139" s="659">
        <v>0</v>
      </c>
      <c r="P139" s="659">
        <v>0</v>
      </c>
      <c r="Q139" s="659">
        <v>0</v>
      </c>
      <c r="R139" s="659">
        <v>0</v>
      </c>
      <c r="S139" s="659">
        <v>0</v>
      </c>
      <c r="U139" s="2128">
        <v>22529000</v>
      </c>
    </row>
    <row r="140" spans="1:21" x14ac:dyDescent="0.2">
      <c r="A140" s="1129">
        <v>2020</v>
      </c>
      <c r="B140" s="2876" t="s">
        <v>1509</v>
      </c>
      <c r="C140" s="2876"/>
      <c r="D140" s="2876"/>
      <c r="E140" s="2876"/>
      <c r="F140" s="1036">
        <f>'535'!H21</f>
        <v>0</v>
      </c>
      <c r="G140" t="str">
        <f>IF(F140='535'!H21," ","Problem: Must agree to ws 535 Advance from Primary Govt")</f>
        <v xml:space="preserve"> </v>
      </c>
      <c r="H140" s="1079">
        <v>0</v>
      </c>
      <c r="I140" s="1079">
        <v>0</v>
      </c>
      <c r="J140" s="1079">
        <v>0</v>
      </c>
      <c r="K140" s="1079">
        <v>0</v>
      </c>
      <c r="L140" s="1079">
        <v>0</v>
      </c>
      <c r="M140" s="1079">
        <v>0</v>
      </c>
      <c r="N140" s="1079">
        <v>0</v>
      </c>
      <c r="O140" s="1079">
        <v>0</v>
      </c>
      <c r="P140" s="1079">
        <v>0</v>
      </c>
      <c r="Q140" s="1079">
        <v>0</v>
      </c>
      <c r="R140" s="1079">
        <v>0</v>
      </c>
      <c r="S140" s="1079">
        <v>0</v>
      </c>
      <c r="T140" t="str">
        <f>IF(SUM(H140:S140)=F140,"OK ","Problem: sum of amts keyed for each agency in col H through S must tie to total on combined worksheet")</f>
        <v xml:space="preserve">OK </v>
      </c>
      <c r="U140" s="1610">
        <v>22250000</v>
      </c>
    </row>
    <row r="141" spans="1:21" x14ac:dyDescent="0.2">
      <c r="A141" s="335">
        <v>2097</v>
      </c>
      <c r="B141" s="2876" t="s">
        <v>569</v>
      </c>
      <c r="C141" s="2876"/>
      <c r="D141" s="2876"/>
      <c r="E141" s="2876"/>
      <c r="F141" s="649">
        <f>SUM(H141:S141)</f>
        <v>0</v>
      </c>
      <c r="H141" s="659">
        <v>0</v>
      </c>
      <c r="I141" s="659">
        <v>0</v>
      </c>
      <c r="J141" s="659">
        <v>0</v>
      </c>
      <c r="K141" s="659">
        <v>0</v>
      </c>
      <c r="L141" s="659">
        <v>0</v>
      </c>
      <c r="M141" s="659">
        <v>0</v>
      </c>
      <c r="N141" s="659">
        <v>0</v>
      </c>
      <c r="O141" s="659">
        <v>0</v>
      </c>
      <c r="P141" s="659">
        <v>0</v>
      </c>
      <c r="Q141" s="659">
        <v>0</v>
      </c>
      <c r="R141" s="659">
        <v>0</v>
      </c>
      <c r="S141" s="659">
        <v>0</v>
      </c>
      <c r="U141" s="2128">
        <v>22811000</v>
      </c>
    </row>
    <row r="142" spans="1:21" x14ac:dyDescent="0.2">
      <c r="A142" s="335">
        <v>2070</v>
      </c>
      <c r="B142" s="2876" t="s">
        <v>739</v>
      </c>
      <c r="C142" s="2876"/>
      <c r="D142" s="2876"/>
      <c r="E142" s="2876"/>
      <c r="F142" s="649">
        <f>SUM(H142:S142)</f>
        <v>0</v>
      </c>
      <c r="H142" s="659">
        <v>0</v>
      </c>
      <c r="I142" s="659">
        <v>0</v>
      </c>
      <c r="J142" s="659">
        <v>0</v>
      </c>
      <c r="K142" s="659">
        <v>0</v>
      </c>
      <c r="L142" s="659">
        <v>0</v>
      </c>
      <c r="M142" s="659">
        <v>0</v>
      </c>
      <c r="N142" s="659">
        <v>0</v>
      </c>
      <c r="O142" s="659">
        <v>0</v>
      </c>
      <c r="P142" s="659">
        <v>0</v>
      </c>
      <c r="Q142" s="659">
        <v>0</v>
      </c>
      <c r="R142" s="659">
        <v>0</v>
      </c>
      <c r="S142" s="659">
        <v>0</v>
      </c>
      <c r="U142" s="2128">
        <v>22712000</v>
      </c>
    </row>
    <row r="143" spans="1:21" x14ac:dyDescent="0.2">
      <c r="A143" s="335">
        <v>2080</v>
      </c>
      <c r="B143" s="2876" t="s">
        <v>701</v>
      </c>
      <c r="C143" s="2876"/>
      <c r="D143" s="2876"/>
      <c r="E143" s="2876"/>
      <c r="F143" s="649">
        <f>SUM(H143:S143)</f>
        <v>0</v>
      </c>
      <c r="G143" s="335"/>
      <c r="H143" s="659">
        <v>0</v>
      </c>
      <c r="I143" s="659">
        <v>0</v>
      </c>
      <c r="J143" s="659">
        <v>0</v>
      </c>
      <c r="K143" s="659">
        <v>0</v>
      </c>
      <c r="L143" s="659">
        <v>0</v>
      </c>
      <c r="M143" s="659">
        <v>0</v>
      </c>
      <c r="N143" s="659">
        <v>0</v>
      </c>
      <c r="O143" s="659">
        <v>0</v>
      </c>
      <c r="P143" s="659">
        <v>0</v>
      </c>
      <c r="Q143" s="659">
        <v>0</v>
      </c>
      <c r="R143" s="659">
        <v>0</v>
      </c>
      <c r="S143" s="659">
        <v>0</v>
      </c>
      <c r="U143" s="2128">
        <v>22719000</v>
      </c>
    </row>
    <row r="144" spans="1:21" x14ac:dyDescent="0.2">
      <c r="A144" s="335">
        <v>2024</v>
      </c>
      <c r="B144" s="2876" t="s">
        <v>1347</v>
      </c>
      <c r="C144" s="2876"/>
      <c r="D144" s="2876"/>
      <c r="E144" s="2876"/>
      <c r="F144" s="649">
        <f>SUM(H144:S144)</f>
        <v>0</v>
      </c>
      <c r="H144" s="659">
        <v>0</v>
      </c>
      <c r="I144" s="659">
        <v>0</v>
      </c>
      <c r="J144" s="659">
        <v>0</v>
      </c>
      <c r="K144" s="659">
        <v>0</v>
      </c>
      <c r="L144" s="659">
        <v>0</v>
      </c>
      <c r="M144" s="659">
        <v>0</v>
      </c>
      <c r="N144" s="659">
        <v>0</v>
      </c>
      <c r="O144" s="659">
        <v>0</v>
      </c>
      <c r="P144" s="659">
        <v>0</v>
      </c>
      <c r="Q144" s="659">
        <v>0</v>
      </c>
      <c r="R144" s="659">
        <v>0</v>
      </c>
      <c r="S144" s="659">
        <v>0</v>
      </c>
      <c r="U144" s="2128">
        <v>22920000</v>
      </c>
    </row>
    <row r="145" spans="1:21" x14ac:dyDescent="0.2">
      <c r="A145" s="1129">
        <v>2035</v>
      </c>
      <c r="B145" s="2876" t="s">
        <v>4621</v>
      </c>
      <c r="C145" s="2876"/>
      <c r="D145" s="2876"/>
      <c r="E145" s="2876"/>
      <c r="F145" s="1036">
        <f>'310'!M26-'310'!O26</f>
        <v>0</v>
      </c>
      <c r="H145" s="1079">
        <v>0</v>
      </c>
      <c r="I145" s="1079">
        <v>0</v>
      </c>
      <c r="J145" s="1079">
        <v>0</v>
      </c>
      <c r="K145" s="1079">
        <v>0</v>
      </c>
      <c r="L145" s="1079">
        <v>0</v>
      </c>
      <c r="M145" s="1079">
        <v>0</v>
      </c>
      <c r="N145" s="1079">
        <v>0</v>
      </c>
      <c r="O145" s="1079">
        <v>0</v>
      </c>
      <c r="P145" s="1079">
        <v>0</v>
      </c>
      <c r="Q145" s="1079">
        <v>0</v>
      </c>
      <c r="R145" s="1079">
        <v>0</v>
      </c>
      <c r="S145" s="1079">
        <v>0</v>
      </c>
      <c r="T145" t="str">
        <f>IF(SUM(H145:S145)=F145,"OK ","Problem: sum of amts keyed for each agency in col H through S must tie to total on combined worksheet")</f>
        <v xml:space="preserve">OK </v>
      </c>
    </row>
    <row r="146" spans="1:21" x14ac:dyDescent="0.2">
      <c r="A146" s="1129">
        <v>2040</v>
      </c>
      <c r="B146" s="2974" t="s">
        <v>5511</v>
      </c>
      <c r="C146" s="2974"/>
      <c r="D146" s="2974"/>
      <c r="E146" s="2974"/>
      <c r="F146" s="1036">
        <f>'310'!M27-'310'!O27</f>
        <v>0</v>
      </c>
      <c r="H146" s="1079">
        <v>0</v>
      </c>
      <c r="I146" s="1079">
        <v>0</v>
      </c>
      <c r="J146" s="1079">
        <v>0</v>
      </c>
      <c r="K146" s="1079">
        <v>0</v>
      </c>
      <c r="L146" s="1079">
        <v>0</v>
      </c>
      <c r="M146" s="1079">
        <v>0</v>
      </c>
      <c r="N146" s="1079">
        <v>0</v>
      </c>
      <c r="O146" s="1079">
        <v>0</v>
      </c>
      <c r="P146" s="1079">
        <v>0</v>
      </c>
      <c r="Q146" s="1079">
        <v>0</v>
      </c>
      <c r="R146" s="1079">
        <v>0</v>
      </c>
      <c r="S146" s="1079">
        <v>0</v>
      </c>
      <c r="T146" t="str">
        <f t="shared" ref="T146:T157" si="18">IF(SUM(H146:S146)=F146,"OK ","Problem: sum of amts keyed for each agency in col H through S must tie to total on combined worksheet")</f>
        <v xml:space="preserve">OK </v>
      </c>
      <c r="U146" s="2188"/>
    </row>
    <row r="147" spans="1:21" x14ac:dyDescent="0.2">
      <c r="A147" s="1129">
        <v>2050</v>
      </c>
      <c r="B147" s="2876" t="s">
        <v>1510</v>
      </c>
      <c r="C147" s="2876"/>
      <c r="D147" s="2876"/>
      <c r="E147" s="2876"/>
      <c r="F147" s="1036">
        <f>'310'!M17+'310'!M18+'310'!M19+'310'!M20+'310'!M21+'310'!M22+'310'!M23 -'310'!O17-'310'!O18-'310'!O19-'310'!O20-'310'!O21</f>
        <v>0</v>
      </c>
      <c r="G147" s="14"/>
      <c r="H147" s="1079">
        <v>0</v>
      </c>
      <c r="I147" s="1079">
        <v>0</v>
      </c>
      <c r="J147" s="1079">
        <v>0</v>
      </c>
      <c r="K147" s="1079">
        <v>0</v>
      </c>
      <c r="L147" s="1079">
        <v>0</v>
      </c>
      <c r="M147" s="1079">
        <v>0</v>
      </c>
      <c r="N147" s="1079">
        <v>0</v>
      </c>
      <c r="O147" s="1079">
        <v>0</v>
      </c>
      <c r="P147" s="1079">
        <v>0</v>
      </c>
      <c r="Q147" s="1079">
        <v>0</v>
      </c>
      <c r="R147" s="1079">
        <v>0</v>
      </c>
      <c r="S147" s="1079">
        <v>0</v>
      </c>
      <c r="T147" t="str">
        <f t="shared" si="18"/>
        <v xml:space="preserve">OK </v>
      </c>
      <c r="U147" s="2188"/>
    </row>
    <row r="148" spans="1:21" x14ac:dyDescent="0.2">
      <c r="A148" s="1129">
        <v>2060</v>
      </c>
      <c r="B148" s="2876" t="s">
        <v>1511</v>
      </c>
      <c r="C148" s="2876"/>
      <c r="D148" s="2876"/>
      <c r="E148" s="2876"/>
      <c r="F148" s="1036">
        <f>'310'!M24-'310'!O24</f>
        <v>0</v>
      </c>
      <c r="H148" s="1079">
        <v>0</v>
      </c>
      <c r="I148" s="1079">
        <v>0</v>
      </c>
      <c r="J148" s="1079">
        <v>0</v>
      </c>
      <c r="K148" s="1079">
        <v>0</v>
      </c>
      <c r="L148" s="1079">
        <v>0</v>
      </c>
      <c r="M148" s="1079">
        <v>0</v>
      </c>
      <c r="N148" s="1079">
        <v>0</v>
      </c>
      <c r="O148" s="1079">
        <v>0</v>
      </c>
      <c r="P148" s="1079">
        <v>0</v>
      </c>
      <c r="Q148" s="1079">
        <v>0</v>
      </c>
      <c r="R148" s="1079">
        <v>0</v>
      </c>
      <c r="S148" s="1079">
        <v>0</v>
      </c>
      <c r="T148" t="str">
        <f t="shared" si="18"/>
        <v xml:space="preserve">OK </v>
      </c>
      <c r="U148" s="2188"/>
    </row>
    <row r="149" spans="1:21" x14ac:dyDescent="0.2">
      <c r="A149" s="1129">
        <v>2061</v>
      </c>
      <c r="B149" s="2876" t="s">
        <v>3800</v>
      </c>
      <c r="C149" s="2876"/>
      <c r="D149" s="2876"/>
      <c r="E149" s="2876"/>
      <c r="F149" s="1036">
        <f>'310'!M25-'310'!O25</f>
        <v>0</v>
      </c>
      <c r="H149" s="1079">
        <v>0</v>
      </c>
      <c r="I149" s="1079">
        <v>0</v>
      </c>
      <c r="J149" s="1079">
        <v>0</v>
      </c>
      <c r="K149" s="1079">
        <v>0</v>
      </c>
      <c r="L149" s="1079">
        <v>0</v>
      </c>
      <c r="M149" s="1079">
        <v>0</v>
      </c>
      <c r="N149" s="1079">
        <v>0</v>
      </c>
      <c r="O149" s="1079">
        <v>0</v>
      </c>
      <c r="P149" s="1079">
        <v>0</v>
      </c>
      <c r="Q149" s="1079">
        <v>0</v>
      </c>
      <c r="R149" s="1079">
        <v>0</v>
      </c>
      <c r="S149" s="1079">
        <v>0</v>
      </c>
      <c r="T149" t="str">
        <f>IF(SUM(H149:S149)=F149,"OK ","Problem: sum of amts keyed for each agency in col H through S must tie to total on combined worksheet")</f>
        <v xml:space="preserve">OK </v>
      </c>
      <c r="U149" s="2188"/>
    </row>
    <row r="150" spans="1:21" x14ac:dyDescent="0.2">
      <c r="A150" s="1129">
        <v>2045</v>
      </c>
      <c r="B150" s="2876" t="s">
        <v>1512</v>
      </c>
      <c r="C150" s="2876"/>
      <c r="D150" s="2876"/>
      <c r="E150" s="2876"/>
      <c r="F150" s="1036">
        <f>'310'!M28-'310'!O28</f>
        <v>0</v>
      </c>
      <c r="G150" s="14"/>
      <c r="H150" s="1079">
        <v>0</v>
      </c>
      <c r="I150" s="1079">
        <v>0</v>
      </c>
      <c r="J150" s="1079">
        <v>0</v>
      </c>
      <c r="K150" s="1079">
        <v>0</v>
      </c>
      <c r="L150" s="1079">
        <v>0</v>
      </c>
      <c r="M150" s="1079">
        <v>0</v>
      </c>
      <c r="N150" s="1079">
        <v>0</v>
      </c>
      <c r="O150" s="1079">
        <v>0</v>
      </c>
      <c r="P150" s="1079">
        <v>0</v>
      </c>
      <c r="Q150" s="1079">
        <v>0</v>
      </c>
      <c r="R150" s="1079">
        <v>0</v>
      </c>
      <c r="S150" s="1079">
        <v>0</v>
      </c>
      <c r="T150" t="str">
        <f t="shared" si="18"/>
        <v xml:space="preserve">OK </v>
      </c>
      <c r="U150" s="2188"/>
    </row>
    <row r="151" spans="1:21" x14ac:dyDescent="0.2">
      <c r="A151" s="1129">
        <v>2085</v>
      </c>
      <c r="B151" s="2876" t="s">
        <v>1513</v>
      </c>
      <c r="C151" s="2876"/>
      <c r="D151" s="2876"/>
      <c r="E151" s="2876"/>
      <c r="F151" s="1036">
        <f>'310'!M30-'310'!O30</f>
        <v>0</v>
      </c>
      <c r="H151" s="1079">
        <v>0</v>
      </c>
      <c r="I151" s="1079">
        <v>0</v>
      </c>
      <c r="J151" s="1079">
        <v>0</v>
      </c>
      <c r="K151" s="1079">
        <v>0</v>
      </c>
      <c r="L151" s="1079">
        <v>0</v>
      </c>
      <c r="M151" s="1079">
        <v>0</v>
      </c>
      <c r="N151" s="1079">
        <v>0</v>
      </c>
      <c r="O151" s="1079">
        <v>0</v>
      </c>
      <c r="P151" s="1079">
        <v>0</v>
      </c>
      <c r="Q151" s="1079">
        <v>0</v>
      </c>
      <c r="R151" s="1079">
        <v>0</v>
      </c>
      <c r="S151" s="1079">
        <v>0</v>
      </c>
      <c r="T151" t="str">
        <f t="shared" si="18"/>
        <v xml:space="preserve">OK </v>
      </c>
      <c r="U151" s="2188"/>
    </row>
    <row r="152" spans="1:21" x14ac:dyDescent="0.2">
      <c r="A152" s="1129">
        <v>2087</v>
      </c>
      <c r="B152" s="2876" t="s">
        <v>4611</v>
      </c>
      <c r="C152" s="2876"/>
      <c r="D152" s="2876"/>
      <c r="E152" s="2876"/>
      <c r="F152" s="1036">
        <f>'310'!M31-'310'!O31</f>
        <v>0</v>
      </c>
      <c r="H152" s="1079">
        <v>0</v>
      </c>
      <c r="I152" s="1079">
        <v>0</v>
      </c>
      <c r="J152" s="1079">
        <v>0</v>
      </c>
      <c r="K152" s="1079">
        <v>0</v>
      </c>
      <c r="L152" s="1079">
        <v>0</v>
      </c>
      <c r="M152" s="1079">
        <v>0</v>
      </c>
      <c r="N152" s="1079">
        <v>0</v>
      </c>
      <c r="O152" s="1079">
        <v>0</v>
      </c>
      <c r="P152" s="1079">
        <v>0</v>
      </c>
      <c r="Q152" s="1079">
        <v>0</v>
      </c>
      <c r="R152" s="1079">
        <v>0</v>
      </c>
      <c r="S152" s="1079">
        <v>0</v>
      </c>
      <c r="T152" t="str">
        <f>IF(SUM(H152:S152)=F152,"OK ","Problem: sum of amts keyed for each agency in col H through S must tie to total on combined worksheet")</f>
        <v xml:space="preserve">OK </v>
      </c>
      <c r="U152" s="2188"/>
    </row>
    <row r="153" spans="1:21" x14ac:dyDescent="0.2">
      <c r="A153" s="1129">
        <v>2090</v>
      </c>
      <c r="B153" s="2876" t="s">
        <v>3869</v>
      </c>
      <c r="C153" s="2876"/>
      <c r="D153" s="2876"/>
      <c r="E153" s="2876"/>
      <c r="F153" s="1036">
        <f>'310'!M32-'310'!O32</f>
        <v>0</v>
      </c>
      <c r="H153" s="1079">
        <v>0</v>
      </c>
      <c r="I153" s="1079">
        <v>0</v>
      </c>
      <c r="J153" s="1079">
        <v>0</v>
      </c>
      <c r="K153" s="1079">
        <v>0</v>
      </c>
      <c r="L153" s="1079">
        <v>0</v>
      </c>
      <c r="M153" s="1079">
        <v>0</v>
      </c>
      <c r="N153" s="1079">
        <v>0</v>
      </c>
      <c r="O153" s="1079">
        <v>0</v>
      </c>
      <c r="P153" s="1079">
        <v>0</v>
      </c>
      <c r="Q153" s="1079">
        <v>0</v>
      </c>
      <c r="R153" s="1079">
        <v>0</v>
      </c>
      <c r="S153" s="1079">
        <v>0</v>
      </c>
      <c r="T153" t="str">
        <f t="shared" si="18"/>
        <v xml:space="preserve">OK </v>
      </c>
      <c r="U153" s="2188"/>
    </row>
    <row r="154" spans="1:21" x14ac:dyDescent="0.2">
      <c r="A154" s="1129">
        <v>2098</v>
      </c>
      <c r="B154" s="2876" t="s">
        <v>3870</v>
      </c>
      <c r="C154" s="2876"/>
      <c r="D154" s="2876"/>
      <c r="E154" s="2876"/>
      <c r="F154" s="1036">
        <f>'310'!M33-'310'!O33</f>
        <v>0</v>
      </c>
      <c r="H154" s="1079">
        <v>0</v>
      </c>
      <c r="I154" s="1079">
        <v>0</v>
      </c>
      <c r="J154" s="1079">
        <v>0</v>
      </c>
      <c r="K154" s="1079">
        <v>0</v>
      </c>
      <c r="L154" s="1079">
        <v>0</v>
      </c>
      <c r="M154" s="1079">
        <v>0</v>
      </c>
      <c r="N154" s="1079">
        <v>0</v>
      </c>
      <c r="O154" s="1079">
        <v>0</v>
      </c>
      <c r="P154" s="1079">
        <v>0</v>
      </c>
      <c r="Q154" s="1079">
        <v>0</v>
      </c>
      <c r="R154" s="1079">
        <v>0</v>
      </c>
      <c r="S154" s="1079">
        <v>0</v>
      </c>
      <c r="T154" t="str">
        <f>IF(SUM(H154:S154)=F154,"OK ","Problem: sum of amts keyed for each agency in col H through S must tie to total on combined worksheet")</f>
        <v xml:space="preserve">OK </v>
      </c>
      <c r="U154" s="2188"/>
    </row>
    <row r="155" spans="1:21" x14ac:dyDescent="0.2">
      <c r="A155" s="1129">
        <v>2099</v>
      </c>
      <c r="B155" s="2876" t="s">
        <v>4447</v>
      </c>
      <c r="C155" s="2876"/>
      <c r="D155" s="2876"/>
      <c r="E155" s="2876"/>
      <c r="F155" s="1036">
        <f>'310'!M34-'310'!O34</f>
        <v>0</v>
      </c>
      <c r="H155" s="1079">
        <v>0</v>
      </c>
      <c r="I155" s="1079">
        <v>0</v>
      </c>
      <c r="J155" s="1079">
        <v>0</v>
      </c>
      <c r="K155" s="1079">
        <v>0</v>
      </c>
      <c r="L155" s="1079">
        <v>0</v>
      </c>
      <c r="M155" s="1079">
        <v>0</v>
      </c>
      <c r="N155" s="1079">
        <v>0</v>
      </c>
      <c r="O155" s="1079">
        <v>0</v>
      </c>
      <c r="P155" s="1079">
        <v>0</v>
      </c>
      <c r="Q155" s="1079">
        <v>0</v>
      </c>
      <c r="R155" s="1079">
        <v>0</v>
      </c>
      <c r="S155" s="1079">
        <v>0</v>
      </c>
      <c r="T155" t="str">
        <f>IF(SUM(H155:S155)=F155,"OK ","Problem: sum of amts keyed for each agency in col H through S must tie to total on combined worksheet")</f>
        <v xml:space="preserve">OK </v>
      </c>
      <c r="U155" s="2188"/>
    </row>
    <row r="156" spans="1:21" x14ac:dyDescent="0.2">
      <c r="A156" s="1129">
        <v>2095</v>
      </c>
      <c r="B156" s="2876" t="s">
        <v>1514</v>
      </c>
      <c r="C156" s="2876"/>
      <c r="D156" s="2876"/>
      <c r="E156" s="2876"/>
      <c r="F156" s="1036">
        <f>'310'!M35-'310'!O35</f>
        <v>0</v>
      </c>
      <c r="H156" s="1079">
        <v>0</v>
      </c>
      <c r="I156" s="1079">
        <v>0</v>
      </c>
      <c r="J156" s="1079">
        <v>0</v>
      </c>
      <c r="K156" s="1079">
        <v>0</v>
      </c>
      <c r="L156" s="1079">
        <v>0</v>
      </c>
      <c r="M156" s="1079">
        <v>0</v>
      </c>
      <c r="N156" s="1079">
        <v>0</v>
      </c>
      <c r="O156" s="1079">
        <v>0</v>
      </c>
      <c r="P156" s="1079">
        <v>0</v>
      </c>
      <c r="Q156" s="1079">
        <v>0</v>
      </c>
      <c r="R156" s="1079">
        <v>0</v>
      </c>
      <c r="S156" s="1079">
        <v>0</v>
      </c>
      <c r="T156" t="str">
        <f t="shared" si="18"/>
        <v xml:space="preserve">OK </v>
      </c>
      <c r="U156" s="2188"/>
    </row>
    <row r="157" spans="1:21" x14ac:dyDescent="0.2">
      <c r="A157" s="1129">
        <v>2096</v>
      </c>
      <c r="B157" s="2876" t="s">
        <v>1515</v>
      </c>
      <c r="C157" s="2876"/>
      <c r="D157" s="2876"/>
      <c r="E157" s="2876"/>
      <c r="F157" s="1036">
        <f>'310'!M36-'310'!O36</f>
        <v>0</v>
      </c>
      <c r="G157" s="14"/>
      <c r="H157" s="1079">
        <v>0</v>
      </c>
      <c r="I157" s="1079">
        <v>0</v>
      </c>
      <c r="J157" s="1079">
        <v>0</v>
      </c>
      <c r="K157" s="1079">
        <v>0</v>
      </c>
      <c r="L157" s="1079">
        <v>0</v>
      </c>
      <c r="M157" s="1079">
        <v>0</v>
      </c>
      <c r="N157" s="1079">
        <v>0</v>
      </c>
      <c r="O157" s="1079">
        <v>0</v>
      </c>
      <c r="P157" s="1079">
        <v>0</v>
      </c>
      <c r="Q157" s="1079">
        <v>0</v>
      </c>
      <c r="R157" s="1079">
        <v>0</v>
      </c>
      <c r="S157" s="1079">
        <v>0</v>
      </c>
      <c r="T157" t="str">
        <f t="shared" si="18"/>
        <v xml:space="preserve">OK </v>
      </c>
      <c r="U157" s="2188"/>
    </row>
    <row r="158" spans="1:21" x14ac:dyDescent="0.2">
      <c r="B158" s="2965" t="s">
        <v>751</v>
      </c>
      <c r="C158" s="2965"/>
      <c r="D158" s="2965"/>
      <c r="E158" s="2965"/>
      <c r="F158" s="661">
        <f>SUM(F137:F157)</f>
        <v>0</v>
      </c>
      <c r="H158" s="661">
        <f t="shared" ref="H158:S158" si="19">SUM(H137:H157)</f>
        <v>0</v>
      </c>
      <c r="I158" s="661">
        <f t="shared" si="19"/>
        <v>0</v>
      </c>
      <c r="J158" s="661">
        <f t="shared" si="19"/>
        <v>0</v>
      </c>
      <c r="K158" s="661">
        <f t="shared" si="19"/>
        <v>0</v>
      </c>
      <c r="L158" s="661">
        <f t="shared" si="19"/>
        <v>0</v>
      </c>
      <c r="M158" s="661">
        <f t="shared" si="19"/>
        <v>0</v>
      </c>
      <c r="N158" s="661">
        <f t="shared" si="19"/>
        <v>0</v>
      </c>
      <c r="O158" s="661">
        <f t="shared" si="19"/>
        <v>0</v>
      </c>
      <c r="P158" s="661">
        <f t="shared" si="19"/>
        <v>0</v>
      </c>
      <c r="Q158" s="661">
        <f t="shared" si="19"/>
        <v>0</v>
      </c>
      <c r="R158" s="661">
        <f t="shared" si="19"/>
        <v>0</v>
      </c>
      <c r="S158" s="661">
        <f t="shared" si="19"/>
        <v>0</v>
      </c>
      <c r="T158" t="str">
        <f>IF(SUM(H158:S158)=F158,"OK ","Crossfoot error: sum of Col H thru S must equal total in Col F")</f>
        <v xml:space="preserve">OK </v>
      </c>
      <c r="U158" s="2188"/>
    </row>
    <row r="159" spans="1:21" x14ac:dyDescent="0.2">
      <c r="H159" s="649"/>
      <c r="I159" s="649"/>
      <c r="J159" s="649"/>
      <c r="K159" s="649"/>
      <c r="L159" s="649"/>
      <c r="M159" s="649"/>
      <c r="N159" s="649"/>
      <c r="O159" s="649"/>
      <c r="P159" s="649"/>
      <c r="Q159" s="649"/>
      <c r="R159" s="649"/>
      <c r="S159" s="649"/>
      <c r="U159" s="2188"/>
    </row>
    <row r="160" spans="1:21" x14ac:dyDescent="0.2">
      <c r="B160" s="2965" t="s">
        <v>752</v>
      </c>
      <c r="C160" s="2965"/>
      <c r="D160" s="2965"/>
      <c r="E160" s="2965"/>
      <c r="F160" s="651">
        <f>F133+F158</f>
        <v>0</v>
      </c>
      <c r="H160" s="651">
        <f t="shared" ref="H160:S160" si="20">H133+H158</f>
        <v>0</v>
      </c>
      <c r="I160" s="651">
        <f t="shared" si="20"/>
        <v>0</v>
      </c>
      <c r="J160" s="651">
        <f t="shared" si="20"/>
        <v>0</v>
      </c>
      <c r="K160" s="651">
        <f t="shared" si="20"/>
        <v>0</v>
      </c>
      <c r="L160" s="651">
        <f t="shared" si="20"/>
        <v>0</v>
      </c>
      <c r="M160" s="651">
        <f t="shared" si="20"/>
        <v>0</v>
      </c>
      <c r="N160" s="651">
        <f t="shared" si="20"/>
        <v>0</v>
      </c>
      <c r="O160" s="651">
        <f t="shared" si="20"/>
        <v>0</v>
      </c>
      <c r="P160" s="651">
        <f t="shared" si="20"/>
        <v>0</v>
      </c>
      <c r="Q160" s="651">
        <f t="shared" si="20"/>
        <v>0</v>
      </c>
      <c r="R160" s="651">
        <f t="shared" si="20"/>
        <v>0</v>
      </c>
      <c r="S160" s="651">
        <f t="shared" si="20"/>
        <v>0</v>
      </c>
      <c r="T160" t="str">
        <f>IF(SUM(H160:S160)=F160,"OK ","Crossfoot error: sum of Col H thru S must equal total in Col F")</f>
        <v xml:space="preserve">OK </v>
      </c>
      <c r="U160" s="2188"/>
    </row>
    <row r="161" spans="1:22" x14ac:dyDescent="0.2">
      <c r="F161"/>
      <c r="U161" s="2188"/>
    </row>
    <row r="162" spans="1:22" x14ac:dyDescent="0.2">
      <c r="B162" s="394" t="s">
        <v>1931</v>
      </c>
      <c r="H162" s="649"/>
      <c r="I162" s="649"/>
      <c r="J162" s="649"/>
      <c r="K162" s="649"/>
      <c r="L162" s="649"/>
      <c r="M162" s="649"/>
      <c r="N162" s="649"/>
      <c r="O162" s="649"/>
      <c r="P162" s="649"/>
      <c r="Q162" s="649"/>
      <c r="R162" s="649"/>
      <c r="S162" s="649"/>
      <c r="U162" s="2188"/>
    </row>
    <row r="163" spans="1:22" x14ac:dyDescent="0.2">
      <c r="A163" s="335">
        <v>1764</v>
      </c>
      <c r="B163" s="2876" t="s">
        <v>1932</v>
      </c>
      <c r="C163" s="2876"/>
      <c r="D163" s="2876"/>
      <c r="E163" s="2876"/>
      <c r="F163" s="649">
        <f t="shared" ref="F163:F172" si="21">SUM(H163:S163)</f>
        <v>0</v>
      </c>
      <c r="H163" s="659">
        <v>0</v>
      </c>
      <c r="I163" s="659">
        <v>0</v>
      </c>
      <c r="J163" s="659">
        <v>0</v>
      </c>
      <c r="K163" s="659">
        <v>0</v>
      </c>
      <c r="L163" s="659">
        <v>0</v>
      </c>
      <c r="M163" s="659">
        <v>0</v>
      </c>
      <c r="N163" s="659">
        <v>0</v>
      </c>
      <c r="O163" s="659">
        <v>0</v>
      </c>
      <c r="P163" s="659">
        <v>0</v>
      </c>
      <c r="Q163" s="659">
        <v>0</v>
      </c>
      <c r="R163" s="659">
        <v>0</v>
      </c>
      <c r="S163" s="659">
        <v>0</v>
      </c>
      <c r="U163" s="2128">
        <v>71100003</v>
      </c>
    </row>
    <row r="164" spans="1:22" x14ac:dyDescent="0.2">
      <c r="A164" s="335">
        <v>2026</v>
      </c>
      <c r="B164" s="2876" t="s">
        <v>1933</v>
      </c>
      <c r="C164" s="2876"/>
      <c r="D164" s="2876"/>
      <c r="E164" s="2876"/>
      <c r="F164" s="649">
        <f t="shared" si="21"/>
        <v>0</v>
      </c>
      <c r="H164" s="659">
        <v>0</v>
      </c>
      <c r="I164" s="659">
        <v>0</v>
      </c>
      <c r="J164" s="659">
        <v>0</v>
      </c>
      <c r="K164" s="659">
        <v>0</v>
      </c>
      <c r="L164" s="659">
        <v>0</v>
      </c>
      <c r="M164" s="659">
        <v>0</v>
      </c>
      <c r="N164" s="659">
        <v>0</v>
      </c>
      <c r="O164" s="659">
        <v>0</v>
      </c>
      <c r="P164" s="659">
        <v>0</v>
      </c>
      <c r="Q164" s="659">
        <v>0</v>
      </c>
      <c r="R164" s="659">
        <v>0</v>
      </c>
      <c r="S164" s="659">
        <v>0</v>
      </c>
      <c r="U164" s="2128">
        <v>71100004</v>
      </c>
    </row>
    <row r="165" spans="1:22" x14ac:dyDescent="0.2">
      <c r="A165" s="335">
        <v>1766</v>
      </c>
      <c r="B165" s="2876" t="s">
        <v>3557</v>
      </c>
      <c r="C165" s="2876"/>
      <c r="D165" s="2876"/>
      <c r="E165" s="2876"/>
      <c r="F165" s="649">
        <f t="shared" si="21"/>
        <v>0</v>
      </c>
      <c r="H165" s="659">
        <v>0</v>
      </c>
      <c r="I165" s="659">
        <v>0</v>
      </c>
      <c r="J165" s="659">
        <v>0</v>
      </c>
      <c r="K165" s="659">
        <v>0</v>
      </c>
      <c r="L165" s="659">
        <v>0</v>
      </c>
      <c r="M165" s="659">
        <v>0</v>
      </c>
      <c r="N165" s="659">
        <v>0</v>
      </c>
      <c r="O165" s="659">
        <v>0</v>
      </c>
      <c r="P165" s="659">
        <v>0</v>
      </c>
      <c r="Q165" s="659">
        <v>0</v>
      </c>
      <c r="R165" s="659">
        <v>0</v>
      </c>
      <c r="S165" s="659">
        <v>0</v>
      </c>
      <c r="U165" s="2128">
        <v>71100005</v>
      </c>
    </row>
    <row r="166" spans="1:22" x14ac:dyDescent="0.2">
      <c r="A166" s="335">
        <v>1768</v>
      </c>
      <c r="B166" s="2876" t="s">
        <v>3574</v>
      </c>
      <c r="C166" s="2876"/>
      <c r="D166" s="2876"/>
      <c r="E166" s="2876"/>
      <c r="F166" s="649">
        <f t="shared" si="21"/>
        <v>0</v>
      </c>
      <c r="H166" s="659">
        <v>0</v>
      </c>
      <c r="I166" s="659">
        <v>0</v>
      </c>
      <c r="J166" s="659">
        <v>0</v>
      </c>
      <c r="K166" s="659">
        <v>0</v>
      </c>
      <c r="L166" s="659">
        <v>0</v>
      </c>
      <c r="M166" s="659">
        <v>0</v>
      </c>
      <c r="N166" s="659">
        <v>0</v>
      </c>
      <c r="O166" s="659">
        <v>0</v>
      </c>
      <c r="P166" s="659">
        <v>0</v>
      </c>
      <c r="Q166" s="659">
        <v>0</v>
      </c>
      <c r="R166" s="659">
        <v>0</v>
      </c>
      <c r="S166" s="659">
        <v>0</v>
      </c>
      <c r="U166" s="2128">
        <v>71100006</v>
      </c>
    </row>
    <row r="167" spans="1:22" x14ac:dyDescent="0.2">
      <c r="A167" s="335">
        <v>1765</v>
      </c>
      <c r="B167" s="2876" t="s">
        <v>3872</v>
      </c>
      <c r="C167" s="2876"/>
      <c r="D167" s="2876"/>
      <c r="E167" s="2876"/>
      <c r="F167" s="649">
        <f>SUM(H167:S167)</f>
        <v>0</v>
      </c>
      <c r="H167" s="659">
        <v>0</v>
      </c>
      <c r="I167" s="659">
        <v>0</v>
      </c>
      <c r="J167" s="659">
        <v>0</v>
      </c>
      <c r="K167" s="659">
        <v>0</v>
      </c>
      <c r="L167" s="659">
        <v>0</v>
      </c>
      <c r="M167" s="659">
        <v>0</v>
      </c>
      <c r="N167" s="659">
        <v>0</v>
      </c>
      <c r="O167" s="659">
        <v>0</v>
      </c>
      <c r="P167" s="659">
        <v>0</v>
      </c>
      <c r="Q167" s="659">
        <v>0</v>
      </c>
      <c r="R167" s="659">
        <v>0</v>
      </c>
      <c r="S167" s="659">
        <v>0</v>
      </c>
      <c r="U167" s="2128">
        <v>71100008</v>
      </c>
    </row>
    <row r="168" spans="1:22" x14ac:dyDescent="0.2">
      <c r="A168" s="335">
        <v>1772</v>
      </c>
      <c r="B168" s="2876" t="s">
        <v>4449</v>
      </c>
      <c r="C168" s="2876"/>
      <c r="D168" s="2876"/>
      <c r="E168" s="2876"/>
      <c r="F168" s="649">
        <f t="shared" si="21"/>
        <v>0</v>
      </c>
      <c r="H168" s="659">
        <v>0</v>
      </c>
      <c r="I168" s="659">
        <v>0</v>
      </c>
      <c r="J168" s="659">
        <v>0</v>
      </c>
      <c r="K168" s="659">
        <v>0</v>
      </c>
      <c r="L168" s="659">
        <v>0</v>
      </c>
      <c r="M168" s="659">
        <v>0</v>
      </c>
      <c r="N168" s="659">
        <v>0</v>
      </c>
      <c r="O168" s="659">
        <v>0</v>
      </c>
      <c r="P168" s="659">
        <v>0</v>
      </c>
      <c r="Q168" s="659">
        <v>0</v>
      </c>
      <c r="R168" s="659">
        <v>0</v>
      </c>
      <c r="S168" s="659">
        <v>0</v>
      </c>
      <c r="U168" s="2128">
        <v>71100009</v>
      </c>
    </row>
    <row r="169" spans="1:22" x14ac:dyDescent="0.2">
      <c r="A169" s="335">
        <v>1767</v>
      </c>
      <c r="B169" s="2876" t="s">
        <v>3871</v>
      </c>
      <c r="C169" s="2876"/>
      <c r="D169" s="2876"/>
      <c r="E169" s="2876"/>
      <c r="F169" s="649">
        <f>SUM(H169:S169)</f>
        <v>0</v>
      </c>
      <c r="H169" s="659">
        <v>0</v>
      </c>
      <c r="I169" s="659">
        <v>0</v>
      </c>
      <c r="J169" s="659">
        <v>0</v>
      </c>
      <c r="K169" s="659">
        <v>0</v>
      </c>
      <c r="L169" s="659">
        <v>0</v>
      </c>
      <c r="M169" s="659">
        <v>0</v>
      </c>
      <c r="N169" s="659">
        <v>0</v>
      </c>
      <c r="O169" s="659">
        <v>0</v>
      </c>
      <c r="P169" s="659">
        <v>0</v>
      </c>
      <c r="Q169" s="659">
        <v>0</v>
      </c>
      <c r="R169" s="659">
        <v>0</v>
      </c>
      <c r="S169" s="659">
        <v>0</v>
      </c>
      <c r="U169" s="2128">
        <v>71100010</v>
      </c>
    </row>
    <row r="170" spans="1:22" x14ac:dyDescent="0.2">
      <c r="A170" s="335">
        <v>1771</v>
      </c>
      <c r="B170" s="2876" t="s">
        <v>4448</v>
      </c>
      <c r="C170" s="2876"/>
      <c r="D170" s="2876"/>
      <c r="E170" s="2876"/>
      <c r="F170" s="649">
        <f t="shared" si="21"/>
        <v>0</v>
      </c>
      <c r="H170" s="659">
        <v>0</v>
      </c>
      <c r="I170" s="659">
        <v>0</v>
      </c>
      <c r="J170" s="659">
        <v>0</v>
      </c>
      <c r="K170" s="659">
        <v>0</v>
      </c>
      <c r="L170" s="659">
        <v>0</v>
      </c>
      <c r="M170" s="659">
        <v>0</v>
      </c>
      <c r="N170" s="659">
        <v>0</v>
      </c>
      <c r="O170" s="659">
        <v>0</v>
      </c>
      <c r="P170" s="659">
        <v>0</v>
      </c>
      <c r="Q170" s="659">
        <v>0</v>
      </c>
      <c r="R170" s="659">
        <v>0</v>
      </c>
      <c r="S170" s="659">
        <v>0</v>
      </c>
      <c r="U170" s="2128">
        <v>71100011</v>
      </c>
    </row>
    <row r="171" spans="1:22" x14ac:dyDescent="0.2">
      <c r="A171" s="335">
        <v>1773</v>
      </c>
      <c r="B171" s="2974" t="s">
        <v>5512</v>
      </c>
      <c r="C171" s="2974"/>
      <c r="D171" s="2974"/>
      <c r="E171" s="2974"/>
      <c r="F171" s="649">
        <f t="shared" si="21"/>
        <v>0</v>
      </c>
      <c r="H171" s="659">
        <v>0</v>
      </c>
      <c r="I171" s="659">
        <v>0</v>
      </c>
      <c r="J171" s="659">
        <v>0</v>
      </c>
      <c r="K171" s="659">
        <v>0</v>
      </c>
      <c r="L171" s="659">
        <v>0</v>
      </c>
      <c r="M171" s="659">
        <v>0</v>
      </c>
      <c r="N171" s="659">
        <v>0</v>
      </c>
      <c r="O171" s="659">
        <v>0</v>
      </c>
      <c r="P171" s="659">
        <v>0</v>
      </c>
      <c r="Q171" s="659"/>
      <c r="R171" s="659"/>
      <c r="S171" s="659"/>
      <c r="U171" s="2128">
        <v>71100012</v>
      </c>
    </row>
    <row r="172" spans="1:22" x14ac:dyDescent="0.2">
      <c r="A172" s="335">
        <v>1769</v>
      </c>
      <c r="B172" s="2876" t="s">
        <v>3945</v>
      </c>
      <c r="C172" s="2876"/>
      <c r="D172" s="2876"/>
      <c r="E172" s="2876"/>
      <c r="F172" s="649">
        <f t="shared" si="21"/>
        <v>0</v>
      </c>
      <c r="H172" s="659">
        <v>0</v>
      </c>
      <c r="I172" s="659">
        <v>0</v>
      </c>
      <c r="J172" s="659">
        <v>0</v>
      </c>
      <c r="K172" s="659">
        <v>0</v>
      </c>
      <c r="L172" s="659">
        <v>0</v>
      </c>
      <c r="M172" s="659">
        <v>0</v>
      </c>
      <c r="N172" s="659">
        <v>0</v>
      </c>
      <c r="O172" s="659">
        <v>0</v>
      </c>
      <c r="P172" s="659">
        <v>0</v>
      </c>
      <c r="Q172" s="659">
        <v>0</v>
      </c>
      <c r="R172" s="659">
        <v>0</v>
      </c>
      <c r="S172" s="659">
        <v>0</v>
      </c>
      <c r="U172" s="2128">
        <v>71100007</v>
      </c>
    </row>
    <row r="173" spans="1:22" x14ac:dyDescent="0.2">
      <c r="B173" s="2965" t="s">
        <v>1934</v>
      </c>
      <c r="C173" s="2965"/>
      <c r="D173" s="2965"/>
      <c r="E173" s="2965"/>
      <c r="F173" s="661">
        <f>SUM(F162:F172)</f>
        <v>0</v>
      </c>
      <c r="H173" s="661">
        <f t="shared" ref="H173:S173" si="22">SUM(H162:H172)</f>
        <v>0</v>
      </c>
      <c r="I173" s="661">
        <f t="shared" si="22"/>
        <v>0</v>
      </c>
      <c r="J173" s="661">
        <f t="shared" si="22"/>
        <v>0</v>
      </c>
      <c r="K173" s="661">
        <f t="shared" si="22"/>
        <v>0</v>
      </c>
      <c r="L173" s="661">
        <f t="shared" si="22"/>
        <v>0</v>
      </c>
      <c r="M173" s="661">
        <f t="shared" si="22"/>
        <v>0</v>
      </c>
      <c r="N173" s="661">
        <f t="shared" si="22"/>
        <v>0</v>
      </c>
      <c r="O173" s="661">
        <f t="shared" si="22"/>
        <v>0</v>
      </c>
      <c r="P173" s="661">
        <f t="shared" si="22"/>
        <v>0</v>
      </c>
      <c r="Q173" s="661">
        <f t="shared" si="22"/>
        <v>0</v>
      </c>
      <c r="R173" s="661">
        <f t="shared" si="22"/>
        <v>0</v>
      </c>
      <c r="S173" s="661">
        <f t="shared" si="22"/>
        <v>0</v>
      </c>
      <c r="U173" s="2188"/>
    </row>
    <row r="174" spans="1:22" x14ac:dyDescent="0.2">
      <c r="U174" s="2188"/>
    </row>
    <row r="175" spans="1:22" x14ac:dyDescent="0.2">
      <c r="B175" s="395" t="s">
        <v>1892</v>
      </c>
      <c r="U175" s="2188"/>
    </row>
    <row r="176" spans="1:22" x14ac:dyDescent="0.2">
      <c r="A176" s="335">
        <v>2130</v>
      </c>
      <c r="B176" s="2876" t="s">
        <v>1937</v>
      </c>
      <c r="C176" s="2876"/>
      <c r="D176" s="2876"/>
      <c r="E176" s="2876"/>
      <c r="F176" s="649">
        <f>SUM(H176:S176)</f>
        <v>0</v>
      </c>
      <c r="G176" t="str">
        <f>IF((F176&lt;=F68+F82)," ","Problem: Must be less than or equal to capital assets, depreciable and nondeprec, net")</f>
        <v xml:space="preserve"> </v>
      </c>
      <c r="H176" s="659">
        <v>0</v>
      </c>
      <c r="I176" s="659">
        <v>0</v>
      </c>
      <c r="J176" s="659">
        <v>0</v>
      </c>
      <c r="K176" s="659">
        <v>0</v>
      </c>
      <c r="L176" s="659">
        <v>0</v>
      </c>
      <c r="M176" s="659">
        <v>0</v>
      </c>
      <c r="N176" s="659">
        <v>0</v>
      </c>
      <c r="O176" s="659">
        <v>0</v>
      </c>
      <c r="P176" s="659">
        <v>0</v>
      </c>
      <c r="Q176" s="659">
        <v>0</v>
      </c>
      <c r="R176" s="659">
        <v>0</v>
      </c>
      <c r="S176" s="659">
        <v>0</v>
      </c>
      <c r="U176" s="2188" t="s">
        <v>5110</v>
      </c>
      <c r="V176" s="2128" t="s">
        <v>5064</v>
      </c>
    </row>
    <row r="177" spans="1:22" x14ac:dyDescent="0.2">
      <c r="A177" s="330"/>
      <c r="B177" s="335" t="s">
        <v>1418</v>
      </c>
      <c r="C177" s="335"/>
      <c r="D177" s="335"/>
      <c r="E177" s="335"/>
      <c r="U177" s="2188"/>
      <c r="V177" s="2128"/>
    </row>
    <row r="178" spans="1:22" x14ac:dyDescent="0.2">
      <c r="A178" s="335">
        <v>2140</v>
      </c>
      <c r="B178" s="2969" t="s">
        <v>1212</v>
      </c>
      <c r="C178" s="2969"/>
      <c r="D178" s="2969"/>
      <c r="E178" s="2969"/>
      <c r="F178" s="649">
        <f t="shared" ref="F178:F185" si="23">SUM(H178:S178)</f>
        <v>0</v>
      </c>
      <c r="G178" t="str">
        <f>IF(F178&lt;0,"Problem: Restricted net assets cannot be negative - see Net Assets Policy in Instructions"," ")</f>
        <v xml:space="preserve"> </v>
      </c>
      <c r="H178" s="659">
        <v>0</v>
      </c>
      <c r="I178" s="659">
        <v>0</v>
      </c>
      <c r="J178" s="659">
        <v>0</v>
      </c>
      <c r="K178" s="659">
        <v>0</v>
      </c>
      <c r="L178" s="659">
        <v>0</v>
      </c>
      <c r="M178" s="659">
        <v>0</v>
      </c>
      <c r="N178" s="659">
        <v>0</v>
      </c>
      <c r="O178" s="659">
        <v>0</v>
      </c>
      <c r="P178" s="659">
        <v>0</v>
      </c>
      <c r="Q178" s="659">
        <v>0</v>
      </c>
      <c r="R178" s="659">
        <v>0</v>
      </c>
      <c r="S178" s="659">
        <v>0</v>
      </c>
      <c r="U178" s="2188" t="s">
        <v>5111</v>
      </c>
      <c r="V178" s="2128" t="s">
        <v>5016</v>
      </c>
    </row>
    <row r="179" spans="1:22" x14ac:dyDescent="0.2">
      <c r="A179" s="335">
        <v>2141</v>
      </c>
      <c r="B179" s="2969" t="s">
        <v>1038</v>
      </c>
      <c r="C179" s="2969"/>
      <c r="D179" s="2969"/>
      <c r="E179" s="2969"/>
      <c r="F179" s="649">
        <f t="shared" si="23"/>
        <v>0</v>
      </c>
      <c r="G179" t="str">
        <f t="shared" ref="G179:G184" si="24">IF(F179&lt;0,"Problem: Restricted net assets cannot be negative - see Net Assets Policy in Instructions"," ")</f>
        <v xml:space="preserve"> </v>
      </c>
      <c r="H179" s="659">
        <v>0</v>
      </c>
      <c r="I179" s="659">
        <v>0</v>
      </c>
      <c r="J179" s="659">
        <v>0</v>
      </c>
      <c r="K179" s="659">
        <v>0</v>
      </c>
      <c r="L179" s="659">
        <v>0</v>
      </c>
      <c r="M179" s="659">
        <v>0</v>
      </c>
      <c r="N179" s="659">
        <v>0</v>
      </c>
      <c r="O179" s="659">
        <v>0</v>
      </c>
      <c r="P179" s="659">
        <v>0</v>
      </c>
      <c r="Q179" s="659">
        <v>0</v>
      </c>
      <c r="R179" s="659">
        <v>0</v>
      </c>
      <c r="S179" s="659">
        <v>0</v>
      </c>
      <c r="U179" s="2188" t="s">
        <v>5111</v>
      </c>
      <c r="V179" s="2128" t="s">
        <v>4983</v>
      </c>
    </row>
    <row r="180" spans="1:22" x14ac:dyDescent="0.2">
      <c r="A180" s="335">
        <v>2142</v>
      </c>
      <c r="B180" s="2969" t="s">
        <v>1039</v>
      </c>
      <c r="C180" s="2969"/>
      <c r="D180" s="2969"/>
      <c r="E180" s="2969"/>
      <c r="F180" s="649">
        <f t="shared" si="23"/>
        <v>0</v>
      </c>
      <c r="G180" t="str">
        <f t="shared" si="24"/>
        <v xml:space="preserve"> </v>
      </c>
      <c r="H180" s="659">
        <v>0</v>
      </c>
      <c r="I180" s="659">
        <v>0</v>
      </c>
      <c r="J180" s="659">
        <v>0</v>
      </c>
      <c r="K180" s="659">
        <v>0</v>
      </c>
      <c r="L180" s="659">
        <v>0</v>
      </c>
      <c r="M180" s="659">
        <v>0</v>
      </c>
      <c r="N180" s="659">
        <v>0</v>
      </c>
      <c r="O180" s="659">
        <v>0</v>
      </c>
      <c r="P180" s="659">
        <v>0</v>
      </c>
      <c r="Q180" s="659">
        <v>0</v>
      </c>
      <c r="R180" s="659">
        <v>0</v>
      </c>
      <c r="S180" s="659">
        <v>0</v>
      </c>
      <c r="U180" s="2188" t="s">
        <v>5111</v>
      </c>
      <c r="V180" s="2128" t="s">
        <v>5120</v>
      </c>
    </row>
    <row r="181" spans="1:22" x14ac:dyDescent="0.2">
      <c r="A181" s="330"/>
      <c r="B181" s="335" t="s">
        <v>1303</v>
      </c>
      <c r="U181" s="2188"/>
      <c r="V181" s="2128"/>
    </row>
    <row r="182" spans="1:22" x14ac:dyDescent="0.2">
      <c r="A182" s="335">
        <v>2150</v>
      </c>
      <c r="B182" s="2969" t="s">
        <v>1212</v>
      </c>
      <c r="C182" s="2969"/>
      <c r="D182" s="2969"/>
      <c r="E182" s="2969"/>
      <c r="F182" s="649">
        <f t="shared" si="23"/>
        <v>0</v>
      </c>
      <c r="G182" t="str">
        <f t="shared" si="24"/>
        <v xml:space="preserve"> </v>
      </c>
      <c r="H182" s="659">
        <v>0</v>
      </c>
      <c r="I182" s="659">
        <v>0</v>
      </c>
      <c r="J182" s="659">
        <v>0</v>
      </c>
      <c r="K182" s="659">
        <v>0</v>
      </c>
      <c r="L182" s="659">
        <v>0</v>
      </c>
      <c r="M182" s="659">
        <v>0</v>
      </c>
      <c r="N182" s="659">
        <v>0</v>
      </c>
      <c r="O182" s="659">
        <v>0</v>
      </c>
      <c r="P182" s="659">
        <v>0</v>
      </c>
      <c r="Q182" s="659">
        <v>0</v>
      </c>
      <c r="R182" s="659">
        <v>0</v>
      </c>
      <c r="S182" s="659">
        <v>0</v>
      </c>
      <c r="U182" s="2188" t="s">
        <v>1114</v>
      </c>
      <c r="V182" s="2128" t="s">
        <v>5016</v>
      </c>
    </row>
    <row r="183" spans="1:22" x14ac:dyDescent="0.2">
      <c r="A183" s="335">
        <v>2151</v>
      </c>
      <c r="B183" s="2969" t="s">
        <v>1038</v>
      </c>
      <c r="C183" s="2969"/>
      <c r="D183" s="2969"/>
      <c r="E183" s="2969"/>
      <c r="F183" s="649">
        <f t="shared" si="23"/>
        <v>0</v>
      </c>
      <c r="G183" t="str">
        <f t="shared" si="24"/>
        <v xml:space="preserve"> </v>
      </c>
      <c r="H183" s="659">
        <v>0</v>
      </c>
      <c r="I183" s="659">
        <v>0</v>
      </c>
      <c r="J183" s="659">
        <v>0</v>
      </c>
      <c r="K183" s="659">
        <v>0</v>
      </c>
      <c r="L183" s="659">
        <v>0</v>
      </c>
      <c r="M183" s="659">
        <v>0</v>
      </c>
      <c r="N183" s="659">
        <v>0</v>
      </c>
      <c r="O183" s="659">
        <v>0</v>
      </c>
      <c r="P183" s="659">
        <v>0</v>
      </c>
      <c r="Q183" s="659">
        <v>0</v>
      </c>
      <c r="R183" s="659">
        <v>0</v>
      </c>
      <c r="S183" s="659">
        <v>0</v>
      </c>
      <c r="U183" s="2188" t="s">
        <v>1114</v>
      </c>
      <c r="V183" s="2128" t="s">
        <v>4983</v>
      </c>
    </row>
    <row r="184" spans="1:22" x14ac:dyDescent="0.2">
      <c r="A184" s="335">
        <v>2152</v>
      </c>
      <c r="B184" s="2969" t="s">
        <v>1039</v>
      </c>
      <c r="C184" s="2969"/>
      <c r="D184" s="2969"/>
      <c r="E184" s="2969"/>
      <c r="F184" s="649">
        <f t="shared" si="23"/>
        <v>0</v>
      </c>
      <c r="G184" t="str">
        <f t="shared" si="24"/>
        <v xml:space="preserve"> </v>
      </c>
      <c r="H184" s="659">
        <v>0</v>
      </c>
      <c r="I184" s="659">
        <v>0</v>
      </c>
      <c r="J184" s="659">
        <v>0</v>
      </c>
      <c r="K184" s="659">
        <v>0</v>
      </c>
      <c r="L184" s="659">
        <v>0</v>
      </c>
      <c r="M184" s="659">
        <v>0</v>
      </c>
      <c r="N184" s="659">
        <v>0</v>
      </c>
      <c r="O184" s="659">
        <v>0</v>
      </c>
      <c r="P184" s="659">
        <v>0</v>
      </c>
      <c r="Q184" s="659">
        <v>0</v>
      </c>
      <c r="R184" s="659">
        <v>0</v>
      </c>
      <c r="S184" s="659">
        <v>0</v>
      </c>
      <c r="U184" s="2188" t="s">
        <v>1114</v>
      </c>
      <c r="V184" s="2128" t="s">
        <v>5120</v>
      </c>
    </row>
    <row r="185" spans="1:22" x14ac:dyDescent="0.2">
      <c r="A185" s="335">
        <v>2180</v>
      </c>
      <c r="B185" s="2876" t="s">
        <v>923</v>
      </c>
      <c r="C185" s="2876"/>
      <c r="D185" s="2876"/>
      <c r="E185" s="2876"/>
      <c r="F185" s="649">
        <f t="shared" si="23"/>
        <v>0</v>
      </c>
      <c r="H185" s="659">
        <v>0</v>
      </c>
      <c r="I185" s="659">
        <v>0</v>
      </c>
      <c r="J185" s="659">
        <v>0</v>
      </c>
      <c r="K185" s="659">
        <v>0</v>
      </c>
      <c r="L185" s="659">
        <v>0</v>
      </c>
      <c r="M185" s="659">
        <v>0</v>
      </c>
      <c r="N185" s="659">
        <v>0</v>
      </c>
      <c r="O185" s="659">
        <v>0</v>
      </c>
      <c r="P185" s="659">
        <v>0</v>
      </c>
      <c r="Q185" s="659">
        <v>0</v>
      </c>
      <c r="R185" s="659">
        <v>0</v>
      </c>
      <c r="S185" s="659">
        <v>0</v>
      </c>
      <c r="U185" s="2188" t="s">
        <v>5112</v>
      </c>
      <c r="V185" s="2128" t="s">
        <v>4969</v>
      </c>
    </row>
    <row r="186" spans="1:22" ht="13.5" thickBot="1" x14ac:dyDescent="0.25">
      <c r="B186" s="2965" t="s">
        <v>1893</v>
      </c>
      <c r="C186" s="2965"/>
      <c r="D186" s="2965"/>
      <c r="E186" s="2965"/>
      <c r="F186" s="804">
        <f>SUM(F176:F185)</f>
        <v>0</v>
      </c>
      <c r="H186" s="804">
        <f t="shared" ref="H186:M186" si="25">SUM(H176:H185)</f>
        <v>0</v>
      </c>
      <c r="I186" s="804">
        <f t="shared" si="25"/>
        <v>0</v>
      </c>
      <c r="J186" s="804">
        <f t="shared" si="25"/>
        <v>0</v>
      </c>
      <c r="K186" s="804">
        <f t="shared" si="25"/>
        <v>0</v>
      </c>
      <c r="L186" s="804">
        <f t="shared" si="25"/>
        <v>0</v>
      </c>
      <c r="M186" s="804">
        <f t="shared" si="25"/>
        <v>0</v>
      </c>
      <c r="N186" s="804">
        <f t="shared" ref="N186:S186" si="26">SUM(N176:N185)</f>
        <v>0</v>
      </c>
      <c r="O186" s="804">
        <f t="shared" si="26"/>
        <v>0</v>
      </c>
      <c r="P186" s="804">
        <f t="shared" si="26"/>
        <v>0</v>
      </c>
      <c r="Q186" s="804">
        <f t="shared" si="26"/>
        <v>0</v>
      </c>
      <c r="R186" s="804">
        <f t="shared" si="26"/>
        <v>0</v>
      </c>
      <c r="S186" s="804">
        <f t="shared" si="26"/>
        <v>0</v>
      </c>
      <c r="T186" t="str">
        <f>IF(SUM(H186:S186)=F186,"OK ","Crossfoot error: sum of Col H thru S must equal total in Col F")</f>
        <v xml:space="preserve">OK </v>
      </c>
    </row>
    <row r="187" spans="1:22" ht="13.5" thickTop="1" x14ac:dyDescent="0.2"/>
    <row r="188" spans="1:22" x14ac:dyDescent="0.2">
      <c r="B188" s="335" t="s">
        <v>1935</v>
      </c>
      <c r="C188" s="785"/>
      <c r="D188" s="785"/>
      <c r="E188" s="785"/>
      <c r="F188" s="805" t="str">
        <f>IF(ROUND(F85+F95-F160-F173,2)=F186, "In Bal.","Out of Bal.")</f>
        <v>In Bal.</v>
      </c>
      <c r="H188" s="805" t="str">
        <f t="shared" ref="H188:S188" si="27">IF(ROUND(H85+H95-H160-H173,2)=H186, "In Bal.","Out of Bal.")</f>
        <v>In Bal.</v>
      </c>
      <c r="I188" s="805" t="str">
        <f t="shared" si="27"/>
        <v>In Bal.</v>
      </c>
      <c r="J188" s="805" t="str">
        <f t="shared" si="27"/>
        <v>In Bal.</v>
      </c>
      <c r="K188" s="805" t="str">
        <f t="shared" si="27"/>
        <v>In Bal.</v>
      </c>
      <c r="L188" s="805" t="str">
        <f t="shared" si="27"/>
        <v>In Bal.</v>
      </c>
      <c r="M188" s="805" t="str">
        <f t="shared" si="27"/>
        <v>In Bal.</v>
      </c>
      <c r="N188" s="805" t="str">
        <f t="shared" si="27"/>
        <v>In Bal.</v>
      </c>
      <c r="O188" s="805" t="str">
        <f t="shared" si="27"/>
        <v>In Bal.</v>
      </c>
      <c r="P188" s="805" t="str">
        <f t="shared" si="27"/>
        <v>In Bal.</v>
      </c>
      <c r="Q188" s="805" t="str">
        <f t="shared" si="27"/>
        <v>In Bal.</v>
      </c>
      <c r="R188" s="805" t="str">
        <f t="shared" si="27"/>
        <v>In Bal.</v>
      </c>
      <c r="S188" s="805" t="str">
        <f t="shared" si="27"/>
        <v>In Bal.</v>
      </c>
    </row>
    <row r="189" spans="1:22" ht="7.5" customHeight="1" x14ac:dyDescent="0.2"/>
    <row r="190" spans="1:22" x14ac:dyDescent="0.2">
      <c r="B190" s="2972" t="s">
        <v>1894</v>
      </c>
      <c r="C190" s="2972"/>
      <c r="D190" s="2972"/>
      <c r="E190" s="2972"/>
      <c r="U190" s="2188"/>
    </row>
    <row r="191" spans="1:22" x14ac:dyDescent="0.2">
      <c r="B191" s="783" t="s">
        <v>754</v>
      </c>
      <c r="C191" s="783"/>
      <c r="U191" s="2188"/>
    </row>
    <row r="192" spans="1:22" x14ac:dyDescent="0.2">
      <c r="A192" s="335">
        <v>2310</v>
      </c>
      <c r="B192" s="2964" t="s">
        <v>782</v>
      </c>
      <c r="C192" s="2964"/>
      <c r="D192" s="2964"/>
      <c r="E192" s="2964"/>
      <c r="F192" s="649">
        <f>SUM(H192:S192)</f>
        <v>0</v>
      </c>
      <c r="H192" s="659">
        <v>0</v>
      </c>
      <c r="I192" s="659">
        <v>0</v>
      </c>
      <c r="J192" s="659">
        <v>0</v>
      </c>
      <c r="K192" s="659">
        <v>0</v>
      </c>
      <c r="L192" s="659">
        <v>0</v>
      </c>
      <c r="M192" s="659">
        <v>0</v>
      </c>
      <c r="N192" s="659">
        <v>0</v>
      </c>
      <c r="O192" s="659">
        <v>0</v>
      </c>
      <c r="P192" s="659">
        <v>0</v>
      </c>
      <c r="Q192" s="659">
        <v>0</v>
      </c>
      <c r="R192" s="659">
        <v>0</v>
      </c>
      <c r="S192" s="659">
        <v>0</v>
      </c>
      <c r="U192" s="2128">
        <v>44101000</v>
      </c>
    </row>
    <row r="193" spans="1:21" x14ac:dyDescent="0.2">
      <c r="A193" s="335">
        <v>2320</v>
      </c>
      <c r="B193" s="2964" t="s">
        <v>1425</v>
      </c>
      <c r="C193" s="2964"/>
      <c r="D193" s="2964"/>
      <c r="E193" s="2964"/>
      <c r="F193" s="649">
        <f t="shared" ref="F193:F202" si="28">SUM(H193:S193)</f>
        <v>0</v>
      </c>
      <c r="G193" s="14"/>
      <c r="H193" s="659">
        <v>0</v>
      </c>
      <c r="I193" s="659">
        <v>0</v>
      </c>
      <c r="J193" s="659">
        <v>0</v>
      </c>
      <c r="K193" s="659">
        <v>0</v>
      </c>
      <c r="L193" s="659">
        <v>0</v>
      </c>
      <c r="M193" s="659">
        <v>0</v>
      </c>
      <c r="N193" s="659">
        <v>0</v>
      </c>
      <c r="O193" s="659">
        <v>0</v>
      </c>
      <c r="P193" s="659">
        <v>0</v>
      </c>
      <c r="Q193" s="659">
        <v>0</v>
      </c>
      <c r="R193" s="659">
        <v>0</v>
      </c>
      <c r="S193" s="659">
        <v>0</v>
      </c>
      <c r="U193" s="2128">
        <v>45800000</v>
      </c>
    </row>
    <row r="194" spans="1:21" x14ac:dyDescent="0.2">
      <c r="A194" s="335">
        <v>2330</v>
      </c>
      <c r="B194" s="2964" t="s">
        <v>1426</v>
      </c>
      <c r="C194" s="2964"/>
      <c r="D194" s="2964"/>
      <c r="E194" s="2964"/>
      <c r="F194" s="649">
        <f t="shared" si="28"/>
        <v>0</v>
      </c>
      <c r="G194" s="14"/>
      <c r="H194" s="659">
        <v>0</v>
      </c>
      <c r="I194" s="659">
        <v>0</v>
      </c>
      <c r="J194" s="659">
        <v>0</v>
      </c>
      <c r="K194" s="659">
        <v>0</v>
      </c>
      <c r="L194" s="659">
        <v>0</v>
      </c>
      <c r="M194" s="659">
        <v>0</v>
      </c>
      <c r="N194" s="659">
        <v>0</v>
      </c>
      <c r="O194" s="659">
        <v>0</v>
      </c>
      <c r="P194" s="659">
        <v>0</v>
      </c>
      <c r="Q194" s="659">
        <v>0</v>
      </c>
      <c r="R194" s="659">
        <v>0</v>
      </c>
      <c r="S194" s="659">
        <v>0</v>
      </c>
      <c r="U194" s="2128">
        <v>44200000</v>
      </c>
    </row>
    <row r="195" spans="1:21" x14ac:dyDescent="0.2">
      <c r="A195" s="335">
        <v>2350</v>
      </c>
      <c r="B195" s="2964" t="s">
        <v>1427</v>
      </c>
      <c r="C195" s="2964"/>
      <c r="D195" s="2964"/>
      <c r="E195" s="2964"/>
      <c r="F195" s="649">
        <f t="shared" si="28"/>
        <v>0</v>
      </c>
      <c r="G195" s="14"/>
      <c r="H195" s="659">
        <v>0</v>
      </c>
      <c r="I195" s="659">
        <v>0</v>
      </c>
      <c r="J195" s="659">
        <v>0</v>
      </c>
      <c r="K195" s="659">
        <v>0</v>
      </c>
      <c r="L195" s="659">
        <v>0</v>
      </c>
      <c r="M195" s="659">
        <v>0</v>
      </c>
      <c r="N195" s="659">
        <v>0</v>
      </c>
      <c r="O195" s="659">
        <v>0</v>
      </c>
      <c r="P195" s="659">
        <v>0</v>
      </c>
      <c r="Q195" s="659">
        <v>0</v>
      </c>
      <c r="R195" s="659">
        <v>0</v>
      </c>
      <c r="S195" s="659">
        <v>0</v>
      </c>
      <c r="U195" s="2128">
        <v>42997000</v>
      </c>
    </row>
    <row r="196" spans="1:21" x14ac:dyDescent="0.2">
      <c r="A196" s="335">
        <v>2370</v>
      </c>
      <c r="B196" s="2964" t="s">
        <v>388</v>
      </c>
      <c r="C196" s="2964"/>
      <c r="D196" s="2964"/>
      <c r="E196" s="2964"/>
      <c r="F196" s="649">
        <f t="shared" si="28"/>
        <v>0</v>
      </c>
      <c r="H196" s="659">
        <v>0</v>
      </c>
      <c r="I196" s="659">
        <v>0</v>
      </c>
      <c r="J196" s="659">
        <v>0</v>
      </c>
      <c r="K196" s="659">
        <v>0</v>
      </c>
      <c r="L196" s="659">
        <v>0</v>
      </c>
      <c r="M196" s="659">
        <v>0</v>
      </c>
      <c r="N196" s="659">
        <v>0</v>
      </c>
      <c r="O196" s="659">
        <v>0</v>
      </c>
      <c r="P196" s="659">
        <v>0</v>
      </c>
      <c r="Q196" s="659">
        <v>0</v>
      </c>
      <c r="R196" s="659">
        <v>0</v>
      </c>
      <c r="S196" s="659">
        <v>0</v>
      </c>
      <c r="U196" s="2193" t="s">
        <v>5113</v>
      </c>
    </row>
    <row r="197" spans="1:21" x14ac:dyDescent="0.2">
      <c r="A197" s="335">
        <v>2390</v>
      </c>
      <c r="B197" s="2968" t="s">
        <v>389</v>
      </c>
      <c r="C197" s="2968"/>
      <c r="D197" s="2968"/>
      <c r="E197" s="2968"/>
      <c r="F197" s="649">
        <f t="shared" si="28"/>
        <v>0</v>
      </c>
      <c r="H197" s="659">
        <v>0</v>
      </c>
      <c r="I197" s="659">
        <v>0</v>
      </c>
      <c r="J197" s="659">
        <v>0</v>
      </c>
      <c r="K197" s="659">
        <v>0</v>
      </c>
      <c r="L197" s="659">
        <v>0</v>
      </c>
      <c r="M197" s="659">
        <v>0</v>
      </c>
      <c r="N197" s="659">
        <v>0</v>
      </c>
      <c r="O197" s="659">
        <v>0</v>
      </c>
      <c r="P197" s="659">
        <v>0</v>
      </c>
      <c r="Q197" s="659">
        <v>0</v>
      </c>
      <c r="R197" s="659">
        <v>0</v>
      </c>
      <c r="S197" s="659">
        <v>0</v>
      </c>
      <c r="U197" s="2193" t="s">
        <v>5114</v>
      </c>
    </row>
    <row r="198" spans="1:21" x14ac:dyDescent="0.2">
      <c r="A198" s="335">
        <v>2400</v>
      </c>
      <c r="B198" s="2876" t="s">
        <v>390</v>
      </c>
      <c r="C198" s="2876"/>
      <c r="D198" s="2876"/>
      <c r="E198" s="2876"/>
      <c r="F198" s="649">
        <f t="shared" si="28"/>
        <v>0</v>
      </c>
      <c r="H198" s="659">
        <v>0</v>
      </c>
      <c r="I198" s="659">
        <v>0</v>
      </c>
      <c r="J198" s="659">
        <v>0</v>
      </c>
      <c r="K198" s="659">
        <v>0</v>
      </c>
      <c r="L198" s="659">
        <v>0</v>
      </c>
      <c r="M198" s="659">
        <v>0</v>
      </c>
      <c r="N198" s="659">
        <v>0</v>
      </c>
      <c r="O198" s="659">
        <v>0</v>
      </c>
      <c r="P198" s="659">
        <v>0</v>
      </c>
      <c r="Q198" s="659">
        <v>0</v>
      </c>
      <c r="R198" s="659">
        <v>0</v>
      </c>
      <c r="S198" s="659">
        <v>0</v>
      </c>
      <c r="U198" s="2193" t="s">
        <v>5115</v>
      </c>
    </row>
    <row r="199" spans="1:21" x14ac:dyDescent="0.2">
      <c r="A199" s="335">
        <v>2410</v>
      </c>
      <c r="B199" s="2876" t="s">
        <v>391</v>
      </c>
      <c r="C199" s="2876"/>
      <c r="D199" s="2876"/>
      <c r="E199" s="2876"/>
      <c r="F199" s="649">
        <f t="shared" si="28"/>
        <v>0</v>
      </c>
      <c r="H199" s="659">
        <v>0</v>
      </c>
      <c r="I199" s="659">
        <v>0</v>
      </c>
      <c r="J199" s="659">
        <v>0</v>
      </c>
      <c r="K199" s="659">
        <v>0</v>
      </c>
      <c r="L199" s="659">
        <v>0</v>
      </c>
      <c r="M199" s="659">
        <v>0</v>
      </c>
      <c r="N199" s="659">
        <v>0</v>
      </c>
      <c r="O199" s="659">
        <v>0</v>
      </c>
      <c r="P199" s="659">
        <v>0</v>
      </c>
      <c r="Q199" s="659">
        <v>0</v>
      </c>
      <c r="R199" s="659">
        <v>0</v>
      </c>
      <c r="S199" s="659">
        <v>0</v>
      </c>
      <c r="U199" s="2128">
        <v>43200000</v>
      </c>
    </row>
    <row r="200" spans="1:21" x14ac:dyDescent="0.2">
      <c r="A200" s="335">
        <v>2420</v>
      </c>
      <c r="B200" s="2876" t="s">
        <v>783</v>
      </c>
      <c r="C200" s="2876"/>
      <c r="D200" s="2876"/>
      <c r="E200" s="2876"/>
      <c r="F200" s="649">
        <f t="shared" si="28"/>
        <v>0</v>
      </c>
      <c r="H200" s="659">
        <v>0</v>
      </c>
      <c r="I200" s="659">
        <v>0</v>
      </c>
      <c r="J200" s="659">
        <v>0</v>
      </c>
      <c r="K200" s="659">
        <v>0</v>
      </c>
      <c r="L200" s="659">
        <v>0</v>
      </c>
      <c r="M200" s="659">
        <v>0</v>
      </c>
      <c r="N200" s="659">
        <v>0</v>
      </c>
      <c r="O200" s="659">
        <v>0</v>
      </c>
      <c r="P200" s="659">
        <v>0</v>
      </c>
      <c r="Q200" s="659">
        <v>0</v>
      </c>
      <c r="R200" s="659">
        <v>0</v>
      </c>
      <c r="S200" s="659">
        <v>0</v>
      </c>
      <c r="U200" s="2128">
        <v>44410000</v>
      </c>
    </row>
    <row r="201" spans="1:21" x14ac:dyDescent="0.2">
      <c r="A201" s="335">
        <v>2430</v>
      </c>
      <c r="B201" s="2876" t="s">
        <v>8</v>
      </c>
      <c r="C201" s="2876"/>
      <c r="D201" s="2876"/>
      <c r="E201" s="2876"/>
      <c r="F201" s="649">
        <f t="shared" si="28"/>
        <v>0</v>
      </c>
      <c r="H201" s="659">
        <v>0</v>
      </c>
      <c r="I201" s="659">
        <v>0</v>
      </c>
      <c r="J201" s="659">
        <v>0</v>
      </c>
      <c r="K201" s="659">
        <v>0</v>
      </c>
      <c r="L201" s="659">
        <v>0</v>
      </c>
      <c r="M201" s="659">
        <v>0</v>
      </c>
      <c r="N201" s="659">
        <v>0</v>
      </c>
      <c r="O201" s="659">
        <v>0</v>
      </c>
      <c r="P201" s="659">
        <v>0</v>
      </c>
      <c r="Q201" s="659">
        <v>0</v>
      </c>
      <c r="R201" s="659">
        <v>0</v>
      </c>
      <c r="S201" s="659">
        <v>0</v>
      </c>
      <c r="U201" s="2128">
        <v>47993000</v>
      </c>
    </row>
    <row r="202" spans="1:21" x14ac:dyDescent="0.2">
      <c r="A202" s="335">
        <v>2450</v>
      </c>
      <c r="B202" s="2876" t="s">
        <v>643</v>
      </c>
      <c r="C202" s="2876"/>
      <c r="D202" s="2876"/>
      <c r="E202" s="2876"/>
      <c r="F202" s="649">
        <f t="shared" si="28"/>
        <v>0</v>
      </c>
      <c r="H202" s="659">
        <v>0</v>
      </c>
      <c r="I202" s="659">
        <v>0</v>
      </c>
      <c r="J202" s="659">
        <v>0</v>
      </c>
      <c r="K202" s="659">
        <v>0</v>
      </c>
      <c r="L202" s="659">
        <v>0</v>
      </c>
      <c r="M202" s="659">
        <v>0</v>
      </c>
      <c r="N202" s="659">
        <v>0</v>
      </c>
      <c r="O202" s="659">
        <v>0</v>
      </c>
      <c r="P202" s="659">
        <v>0</v>
      </c>
      <c r="Q202" s="659">
        <v>0</v>
      </c>
      <c r="R202" s="659">
        <v>0</v>
      </c>
      <c r="S202" s="659">
        <v>0</v>
      </c>
      <c r="U202" s="2128">
        <v>47111000</v>
      </c>
    </row>
    <row r="203" spans="1:21" x14ac:dyDescent="0.2">
      <c r="A203" s="785"/>
      <c r="B203" s="2965" t="s">
        <v>753</v>
      </c>
      <c r="C203" s="2965"/>
      <c r="D203" s="2965"/>
      <c r="E203" s="2965"/>
      <c r="F203" s="661">
        <f>SUM(F192:F202)</f>
        <v>0</v>
      </c>
      <c r="H203" s="661">
        <f t="shared" ref="H203:S203" si="29">SUM(H192:H202)</f>
        <v>0</v>
      </c>
      <c r="I203" s="661">
        <f t="shared" si="29"/>
        <v>0</v>
      </c>
      <c r="J203" s="661">
        <f t="shared" si="29"/>
        <v>0</v>
      </c>
      <c r="K203" s="661">
        <f t="shared" si="29"/>
        <v>0</v>
      </c>
      <c r="L203" s="661">
        <f t="shared" si="29"/>
        <v>0</v>
      </c>
      <c r="M203" s="661">
        <f t="shared" si="29"/>
        <v>0</v>
      </c>
      <c r="N203" s="661">
        <f t="shared" si="29"/>
        <v>0</v>
      </c>
      <c r="O203" s="661">
        <f t="shared" si="29"/>
        <v>0</v>
      </c>
      <c r="P203" s="661">
        <f t="shared" si="29"/>
        <v>0</v>
      </c>
      <c r="Q203" s="661">
        <f t="shared" si="29"/>
        <v>0</v>
      </c>
      <c r="R203" s="661">
        <f t="shared" si="29"/>
        <v>0</v>
      </c>
      <c r="S203" s="661">
        <f t="shared" si="29"/>
        <v>0</v>
      </c>
      <c r="T203" t="str">
        <f>IF(SUM(H203:S203)=F203,"OK ","Crossfoot error: sum of Col H thru S must equal total in Col F")</f>
        <v xml:space="preserve">OK </v>
      </c>
      <c r="U203" s="2188"/>
    </row>
    <row r="204" spans="1:21" ht="5.25" customHeight="1" x14ac:dyDescent="0.2">
      <c r="U204" s="2188"/>
    </row>
    <row r="205" spans="1:21" ht="13.5" customHeight="1" x14ac:dyDescent="0.2">
      <c r="B205" s="783" t="s">
        <v>755</v>
      </c>
      <c r="U205" s="2188"/>
    </row>
    <row r="206" spans="1:21" x14ac:dyDescent="0.2">
      <c r="A206" s="335">
        <v>2490</v>
      </c>
      <c r="B206" s="2964" t="s">
        <v>394</v>
      </c>
      <c r="C206" s="2964"/>
      <c r="D206" s="2964"/>
      <c r="E206" s="2964"/>
      <c r="F206" s="649">
        <f>SUM(H206:S206)</f>
        <v>0</v>
      </c>
      <c r="H206" s="659">
        <v>0</v>
      </c>
      <c r="I206" s="659">
        <v>0</v>
      </c>
      <c r="J206" s="659">
        <v>0</v>
      </c>
      <c r="K206" s="659">
        <v>0</v>
      </c>
      <c r="L206" s="659">
        <v>0</v>
      </c>
      <c r="M206" s="659">
        <v>0</v>
      </c>
      <c r="N206" s="659">
        <v>0</v>
      </c>
      <c r="O206" s="659">
        <v>0</v>
      </c>
      <c r="P206" s="659">
        <v>0</v>
      </c>
      <c r="Q206" s="659">
        <v>0</v>
      </c>
      <c r="R206" s="659">
        <v>0</v>
      </c>
      <c r="S206" s="659">
        <v>0</v>
      </c>
      <c r="U206" s="2128">
        <v>51110000</v>
      </c>
    </row>
    <row r="207" spans="1:21" x14ac:dyDescent="0.2">
      <c r="A207" s="335">
        <v>2510</v>
      </c>
      <c r="B207" s="2964" t="s">
        <v>3701</v>
      </c>
      <c r="C207" s="2964"/>
      <c r="D207" s="2964"/>
      <c r="E207" s="2964"/>
      <c r="F207" s="649">
        <f t="shared" ref="F207:F217" si="30">SUM(H207:S207)</f>
        <v>0</v>
      </c>
      <c r="H207" s="659">
        <v>0</v>
      </c>
      <c r="I207" s="659">
        <v>0</v>
      </c>
      <c r="J207" s="659">
        <v>0</v>
      </c>
      <c r="K207" s="659">
        <v>0</v>
      </c>
      <c r="L207" s="659">
        <v>0</v>
      </c>
      <c r="M207" s="659">
        <v>0</v>
      </c>
      <c r="N207" s="659">
        <v>0</v>
      </c>
      <c r="O207" s="659">
        <v>0</v>
      </c>
      <c r="P207" s="659">
        <v>0</v>
      </c>
      <c r="Q207" s="659">
        <v>0</v>
      </c>
      <c r="R207" s="659">
        <v>0</v>
      </c>
      <c r="S207" s="659">
        <v>0</v>
      </c>
      <c r="U207" s="2128">
        <v>53110000</v>
      </c>
    </row>
    <row r="208" spans="1:21" x14ac:dyDescent="0.2">
      <c r="A208" s="335">
        <v>2520</v>
      </c>
      <c r="B208" s="2968" t="s">
        <v>396</v>
      </c>
      <c r="C208" s="2968"/>
      <c r="D208" s="2968"/>
      <c r="E208" s="2968"/>
      <c r="F208" s="649">
        <f t="shared" si="30"/>
        <v>0</v>
      </c>
      <c r="H208" s="659">
        <v>0</v>
      </c>
      <c r="I208" s="659">
        <v>0</v>
      </c>
      <c r="J208" s="659">
        <v>0</v>
      </c>
      <c r="K208" s="659">
        <v>0</v>
      </c>
      <c r="L208" s="659">
        <v>0</v>
      </c>
      <c r="M208" s="659">
        <v>0</v>
      </c>
      <c r="N208" s="659">
        <v>0</v>
      </c>
      <c r="O208" s="659">
        <v>0</v>
      </c>
      <c r="P208" s="659">
        <v>0</v>
      </c>
      <c r="Q208" s="659">
        <v>0</v>
      </c>
      <c r="R208" s="659">
        <v>0</v>
      </c>
      <c r="S208" s="659">
        <v>0</v>
      </c>
      <c r="U208" s="2128">
        <v>52110000</v>
      </c>
    </row>
    <row r="209" spans="1:21" x14ac:dyDescent="0.2">
      <c r="A209" s="335">
        <v>2550</v>
      </c>
      <c r="B209" s="2876" t="s">
        <v>397</v>
      </c>
      <c r="C209" s="2876"/>
      <c r="D209" s="2876"/>
      <c r="E209" s="2876"/>
      <c r="F209" s="649">
        <f t="shared" si="30"/>
        <v>0</v>
      </c>
      <c r="H209" s="659">
        <v>0</v>
      </c>
      <c r="I209" s="659">
        <v>0</v>
      </c>
      <c r="J209" s="659">
        <v>0</v>
      </c>
      <c r="K209" s="659">
        <v>0</v>
      </c>
      <c r="L209" s="659">
        <v>0</v>
      </c>
      <c r="M209" s="659">
        <v>0</v>
      </c>
      <c r="N209" s="659">
        <v>0</v>
      </c>
      <c r="O209" s="659">
        <v>0</v>
      </c>
      <c r="P209" s="659">
        <v>0</v>
      </c>
      <c r="Q209" s="659">
        <v>0</v>
      </c>
      <c r="R209" s="659">
        <v>0</v>
      </c>
      <c r="S209" s="659">
        <v>0</v>
      </c>
      <c r="U209" s="2128">
        <v>53800000</v>
      </c>
    </row>
    <row r="210" spans="1:21" x14ac:dyDescent="0.2">
      <c r="A210" s="335">
        <v>2540</v>
      </c>
      <c r="B210" s="2876" t="s">
        <v>1171</v>
      </c>
      <c r="C210" s="2876"/>
      <c r="D210" s="2876"/>
      <c r="E210" s="2876"/>
      <c r="F210" s="649">
        <f t="shared" si="30"/>
        <v>0</v>
      </c>
      <c r="H210" s="659">
        <v>0</v>
      </c>
      <c r="I210" s="659">
        <v>0</v>
      </c>
      <c r="J210" s="659">
        <v>0</v>
      </c>
      <c r="K210" s="659">
        <v>0</v>
      </c>
      <c r="L210" s="659">
        <v>0</v>
      </c>
      <c r="M210" s="659">
        <v>0</v>
      </c>
      <c r="N210" s="659">
        <v>0</v>
      </c>
      <c r="O210" s="659">
        <v>0</v>
      </c>
      <c r="P210" s="659">
        <v>0</v>
      </c>
      <c r="Q210" s="659">
        <v>0</v>
      </c>
      <c r="R210" s="659">
        <v>0</v>
      </c>
      <c r="S210" s="659">
        <v>0</v>
      </c>
      <c r="U210" s="2128">
        <v>55210000</v>
      </c>
    </row>
    <row r="211" spans="1:21" x14ac:dyDescent="0.2">
      <c r="A211" s="335">
        <v>2560</v>
      </c>
      <c r="B211" s="2876" t="s">
        <v>379</v>
      </c>
      <c r="C211" s="2876"/>
      <c r="D211" s="2876"/>
      <c r="E211" s="2876"/>
      <c r="F211" s="649">
        <f t="shared" si="30"/>
        <v>0</v>
      </c>
      <c r="G211" s="14" t="str">
        <f>IF(F211='210'!M31," ","Should agree to total accumulated depreciation increases per ws 210, cell K25; provide explanation for difference on ws 210")</f>
        <v xml:space="preserve"> </v>
      </c>
      <c r="H211" s="659">
        <v>0</v>
      </c>
      <c r="I211" s="659">
        <v>0</v>
      </c>
      <c r="J211" s="659">
        <v>0</v>
      </c>
      <c r="K211" s="659">
        <v>0</v>
      </c>
      <c r="L211" s="659">
        <v>0</v>
      </c>
      <c r="M211" s="659">
        <v>0</v>
      </c>
      <c r="N211" s="659">
        <v>0</v>
      </c>
      <c r="O211" s="659">
        <v>0</v>
      </c>
      <c r="P211" s="659">
        <v>0</v>
      </c>
      <c r="Q211" s="659">
        <v>0</v>
      </c>
      <c r="R211" s="659">
        <v>0</v>
      </c>
      <c r="S211" s="659">
        <v>0</v>
      </c>
      <c r="U211" s="2128">
        <v>55430000</v>
      </c>
    </row>
    <row r="212" spans="1:21" x14ac:dyDescent="0.2">
      <c r="A212" s="335">
        <v>2570</v>
      </c>
      <c r="B212" s="2876" t="s">
        <v>1183</v>
      </c>
      <c r="C212" s="2876"/>
      <c r="D212" s="2876"/>
      <c r="E212" s="2876"/>
      <c r="F212" s="649">
        <f t="shared" si="30"/>
        <v>0</v>
      </c>
      <c r="H212" s="659">
        <v>0</v>
      </c>
      <c r="I212" s="659">
        <v>0</v>
      </c>
      <c r="J212" s="659">
        <v>0</v>
      </c>
      <c r="K212" s="659">
        <v>0</v>
      </c>
      <c r="L212" s="659">
        <v>0</v>
      </c>
      <c r="M212" s="659">
        <v>0</v>
      </c>
      <c r="N212" s="659">
        <v>0</v>
      </c>
      <c r="O212" s="659">
        <v>0</v>
      </c>
      <c r="P212" s="659">
        <v>0</v>
      </c>
      <c r="Q212" s="659">
        <v>0</v>
      </c>
      <c r="R212" s="659">
        <v>0</v>
      </c>
      <c r="S212" s="659">
        <v>0</v>
      </c>
      <c r="U212" s="2128">
        <v>52911000</v>
      </c>
    </row>
    <row r="213" spans="1:21" x14ac:dyDescent="0.2">
      <c r="A213" s="335">
        <v>2590</v>
      </c>
      <c r="B213" s="2964" t="s">
        <v>1428</v>
      </c>
      <c r="C213" s="2964"/>
      <c r="D213" s="2964"/>
      <c r="E213" s="2964"/>
      <c r="F213" s="649">
        <f t="shared" si="30"/>
        <v>0</v>
      </c>
      <c r="G213" s="14"/>
      <c r="H213" s="659">
        <v>0</v>
      </c>
      <c r="I213" s="659">
        <v>0</v>
      </c>
      <c r="J213" s="659">
        <v>0</v>
      </c>
      <c r="K213" s="659">
        <v>0</v>
      </c>
      <c r="L213" s="659">
        <v>0</v>
      </c>
      <c r="M213" s="659">
        <v>0</v>
      </c>
      <c r="N213" s="659">
        <v>0</v>
      </c>
      <c r="O213" s="659">
        <v>0</v>
      </c>
      <c r="P213" s="659">
        <v>0</v>
      </c>
      <c r="Q213" s="659">
        <v>0</v>
      </c>
      <c r="R213" s="659">
        <v>0</v>
      </c>
      <c r="S213" s="659">
        <v>0</v>
      </c>
      <c r="U213" s="2128">
        <v>56810000</v>
      </c>
    </row>
    <row r="214" spans="1:21" x14ac:dyDescent="0.2">
      <c r="A214" s="335"/>
      <c r="B214" s="335" t="s">
        <v>635</v>
      </c>
      <c r="C214" s="1436"/>
      <c r="D214" s="1436"/>
      <c r="E214" s="1436"/>
      <c r="F214" s="1436"/>
      <c r="G214" s="14"/>
      <c r="H214" s="649"/>
      <c r="I214" s="649"/>
      <c r="J214" s="649"/>
      <c r="K214" s="649"/>
      <c r="L214" s="649"/>
      <c r="M214" s="649"/>
      <c r="N214" s="649"/>
      <c r="O214" s="649"/>
      <c r="P214" s="649"/>
      <c r="Q214" s="649"/>
      <c r="R214" s="649"/>
      <c r="S214" s="649"/>
      <c r="U214" s="2128"/>
    </row>
    <row r="215" spans="1:21" x14ac:dyDescent="0.2">
      <c r="A215" s="335">
        <v>2610</v>
      </c>
      <c r="B215" s="2969" t="s">
        <v>1429</v>
      </c>
      <c r="C215" s="2969"/>
      <c r="D215" s="2969"/>
      <c r="E215" s="2969"/>
      <c r="F215" s="649">
        <f t="shared" si="30"/>
        <v>0</v>
      </c>
      <c r="G215" s="14"/>
      <c r="H215" s="659">
        <v>0</v>
      </c>
      <c r="I215" s="659">
        <v>0</v>
      </c>
      <c r="J215" s="659">
        <v>0</v>
      </c>
      <c r="K215" s="659">
        <v>0</v>
      </c>
      <c r="L215" s="659">
        <v>0</v>
      </c>
      <c r="M215" s="659">
        <v>0</v>
      </c>
      <c r="N215" s="659">
        <v>0</v>
      </c>
      <c r="O215" s="659">
        <v>0</v>
      </c>
      <c r="P215" s="659">
        <v>0</v>
      </c>
      <c r="Q215" s="659">
        <v>0</v>
      </c>
      <c r="R215" s="659">
        <v>0</v>
      </c>
      <c r="S215" s="659">
        <v>0</v>
      </c>
      <c r="U215" s="2128">
        <v>52410000</v>
      </c>
    </row>
    <row r="216" spans="1:21" x14ac:dyDescent="0.2">
      <c r="A216" s="335">
        <v>2625</v>
      </c>
      <c r="B216" s="2969" t="s">
        <v>1464</v>
      </c>
      <c r="C216" s="2969"/>
      <c r="D216" s="2969"/>
      <c r="E216" s="2969"/>
      <c r="F216" s="649">
        <f t="shared" si="30"/>
        <v>0</v>
      </c>
      <c r="G216" s="14"/>
      <c r="H216" s="659">
        <v>0</v>
      </c>
      <c r="I216" s="659">
        <v>0</v>
      </c>
      <c r="J216" s="659">
        <v>0</v>
      </c>
      <c r="K216" s="659">
        <v>0</v>
      </c>
      <c r="L216" s="659">
        <v>0</v>
      </c>
      <c r="M216" s="659">
        <v>0</v>
      </c>
      <c r="N216" s="659">
        <v>0</v>
      </c>
      <c r="O216" s="659">
        <v>0</v>
      </c>
      <c r="P216" s="659">
        <v>0</v>
      </c>
      <c r="Q216" s="659">
        <v>0</v>
      </c>
      <c r="R216" s="659">
        <v>0</v>
      </c>
      <c r="S216" s="659">
        <v>0</v>
      </c>
      <c r="U216" s="2193">
        <v>56900000</v>
      </c>
    </row>
    <row r="217" spans="1:21" x14ac:dyDescent="0.2">
      <c r="A217" s="335">
        <v>2630</v>
      </c>
      <c r="B217" s="2969" t="s">
        <v>1430</v>
      </c>
      <c r="C217" s="2969"/>
      <c r="D217" s="2969"/>
      <c r="E217" s="2969"/>
      <c r="F217" s="649">
        <f t="shared" si="30"/>
        <v>0</v>
      </c>
      <c r="G217" s="14"/>
      <c r="H217" s="659">
        <v>0</v>
      </c>
      <c r="I217" s="659">
        <v>0</v>
      </c>
      <c r="J217" s="659">
        <v>0</v>
      </c>
      <c r="K217" s="659">
        <v>0</v>
      </c>
      <c r="L217" s="659">
        <v>0</v>
      </c>
      <c r="M217" s="659">
        <v>0</v>
      </c>
      <c r="N217" s="659">
        <v>0</v>
      </c>
      <c r="O217" s="659">
        <v>0</v>
      </c>
      <c r="P217" s="659">
        <v>0</v>
      </c>
      <c r="Q217" s="659">
        <v>0</v>
      </c>
      <c r="R217" s="659">
        <v>0</v>
      </c>
      <c r="S217" s="659">
        <v>0</v>
      </c>
      <c r="U217" s="2128">
        <v>52511000</v>
      </c>
    </row>
    <row r="218" spans="1:21" x14ac:dyDescent="0.2">
      <c r="B218" s="2965" t="s">
        <v>756</v>
      </c>
      <c r="C218" s="2965"/>
      <c r="D218" s="2965"/>
      <c r="E218" s="2965"/>
      <c r="F218" s="706">
        <f>SUM(F206:F217)</f>
        <v>0</v>
      </c>
      <c r="H218" s="706">
        <f t="shared" ref="H218:S218" si="31">SUM(H206:H217)</f>
        <v>0</v>
      </c>
      <c r="I218" s="706">
        <f t="shared" si="31"/>
        <v>0</v>
      </c>
      <c r="J218" s="706">
        <f t="shared" si="31"/>
        <v>0</v>
      </c>
      <c r="K218" s="706">
        <f t="shared" si="31"/>
        <v>0</v>
      </c>
      <c r="L218" s="706">
        <f t="shared" si="31"/>
        <v>0</v>
      </c>
      <c r="M218" s="706">
        <f t="shared" si="31"/>
        <v>0</v>
      </c>
      <c r="N218" s="706">
        <f t="shared" si="31"/>
        <v>0</v>
      </c>
      <c r="O218" s="706">
        <f t="shared" si="31"/>
        <v>0</v>
      </c>
      <c r="P218" s="706">
        <f t="shared" si="31"/>
        <v>0</v>
      </c>
      <c r="Q218" s="706">
        <f t="shared" si="31"/>
        <v>0</v>
      </c>
      <c r="R218" s="706">
        <f t="shared" si="31"/>
        <v>0</v>
      </c>
      <c r="S218" s="706">
        <f t="shared" si="31"/>
        <v>0</v>
      </c>
      <c r="T218" t="str">
        <f>IF(SUM(H218:S218)=F218,"OK ","Crossfoot error: sum of Col H thru S must equal total in Col F")</f>
        <v xml:space="preserve">OK </v>
      </c>
      <c r="U218" s="2188"/>
    </row>
    <row r="219" spans="1:21" x14ac:dyDescent="0.2">
      <c r="B219" s="2965" t="s">
        <v>757</v>
      </c>
      <c r="C219" s="2965"/>
      <c r="D219" s="2965"/>
      <c r="E219" s="2965"/>
      <c r="F219" s="706">
        <f>F203-F218</f>
        <v>0</v>
      </c>
      <c r="H219" s="706">
        <f t="shared" ref="H219:S219" si="32">H203-H218</f>
        <v>0</v>
      </c>
      <c r="I219" s="706">
        <f t="shared" si="32"/>
        <v>0</v>
      </c>
      <c r="J219" s="706">
        <f t="shared" si="32"/>
        <v>0</v>
      </c>
      <c r="K219" s="706">
        <f t="shared" si="32"/>
        <v>0</v>
      </c>
      <c r="L219" s="706">
        <f t="shared" si="32"/>
        <v>0</v>
      </c>
      <c r="M219" s="706">
        <f t="shared" si="32"/>
        <v>0</v>
      </c>
      <c r="N219" s="706">
        <f t="shared" si="32"/>
        <v>0</v>
      </c>
      <c r="O219" s="706">
        <f t="shared" si="32"/>
        <v>0</v>
      </c>
      <c r="P219" s="706">
        <f t="shared" si="32"/>
        <v>0</v>
      </c>
      <c r="Q219" s="706">
        <f t="shared" si="32"/>
        <v>0</v>
      </c>
      <c r="R219" s="706">
        <f t="shared" si="32"/>
        <v>0</v>
      </c>
      <c r="S219" s="706">
        <f t="shared" si="32"/>
        <v>0</v>
      </c>
      <c r="T219" t="str">
        <f>IF(SUM(H219:S219)=F219,"OK ","Crossfoot error: sum of Col H thru S must equal total in Col F")</f>
        <v xml:space="preserve">OK </v>
      </c>
      <c r="U219" s="2188"/>
    </row>
    <row r="220" spans="1:21" ht="3.75" customHeight="1" x14ac:dyDescent="0.2">
      <c r="B220" s="691"/>
      <c r="C220" s="691"/>
      <c r="D220" s="691"/>
      <c r="E220" s="691"/>
      <c r="U220" s="2188"/>
    </row>
    <row r="221" spans="1:21" x14ac:dyDescent="0.2">
      <c r="B221" s="783" t="s">
        <v>1185</v>
      </c>
      <c r="U221" s="2188"/>
    </row>
    <row r="222" spans="1:21" x14ac:dyDescent="0.2">
      <c r="A222" s="335">
        <v>2690</v>
      </c>
      <c r="B222" s="2876" t="s">
        <v>898</v>
      </c>
      <c r="C222" s="2876"/>
      <c r="D222" s="2876"/>
      <c r="E222" s="2876"/>
      <c r="F222" s="649">
        <f>SUM(H222:S222)</f>
        <v>0</v>
      </c>
      <c r="G222" s="938"/>
      <c r="H222" s="659">
        <v>0</v>
      </c>
      <c r="I222" s="659">
        <v>0</v>
      </c>
      <c r="J222" s="659">
        <v>0</v>
      </c>
      <c r="K222" s="659">
        <v>0</v>
      </c>
      <c r="L222" s="659">
        <v>0</v>
      </c>
      <c r="M222" s="659">
        <v>0</v>
      </c>
      <c r="N222" s="659">
        <v>0</v>
      </c>
      <c r="O222" s="659">
        <v>0</v>
      </c>
      <c r="P222" s="659">
        <v>0</v>
      </c>
      <c r="Q222" s="659">
        <v>0</v>
      </c>
      <c r="R222" s="659">
        <v>0</v>
      </c>
      <c r="S222" s="659">
        <v>0</v>
      </c>
      <c r="U222" s="2128">
        <v>49100000</v>
      </c>
    </row>
    <row r="223" spans="1:21" x14ac:dyDescent="0.2">
      <c r="A223" s="335">
        <v>2691</v>
      </c>
      <c r="B223" s="2876" t="s">
        <v>1452</v>
      </c>
      <c r="C223" s="2876"/>
      <c r="D223" s="2876"/>
      <c r="E223" s="2876"/>
      <c r="F223" s="649">
        <f t="shared" ref="F223:F240" si="33">SUM(H223:S223)</f>
        <v>0</v>
      </c>
      <c r="G223" s="1070"/>
      <c r="H223" s="659">
        <v>0</v>
      </c>
      <c r="I223" s="659">
        <v>0</v>
      </c>
      <c r="J223" s="659">
        <v>0</v>
      </c>
      <c r="K223" s="659">
        <v>0</v>
      </c>
      <c r="L223" s="659">
        <v>0</v>
      </c>
      <c r="M223" s="659">
        <v>0</v>
      </c>
      <c r="N223" s="659">
        <v>0</v>
      </c>
      <c r="O223" s="659">
        <v>0</v>
      </c>
      <c r="P223" s="659">
        <v>0</v>
      </c>
      <c r="Q223" s="659">
        <v>0</v>
      </c>
      <c r="R223" s="659">
        <v>0</v>
      </c>
      <c r="S223" s="659">
        <v>0</v>
      </c>
      <c r="U223" s="2128">
        <v>42908000</v>
      </c>
    </row>
    <row r="224" spans="1:21" x14ac:dyDescent="0.2">
      <c r="A224" s="335">
        <v>2692</v>
      </c>
      <c r="B224" s="2876" t="s">
        <v>1339</v>
      </c>
      <c r="C224" s="2876"/>
      <c r="D224" s="2876"/>
      <c r="E224" s="2876"/>
      <c r="F224" s="649">
        <f t="shared" si="33"/>
        <v>0</v>
      </c>
      <c r="G224" s="938"/>
      <c r="H224" s="659">
        <v>0</v>
      </c>
      <c r="I224" s="659">
        <v>0</v>
      </c>
      <c r="J224" s="659">
        <v>0</v>
      </c>
      <c r="K224" s="659">
        <v>0</v>
      </c>
      <c r="L224" s="659">
        <v>0</v>
      </c>
      <c r="M224" s="659">
        <v>0</v>
      </c>
      <c r="N224" s="659">
        <v>0</v>
      </c>
      <c r="O224" s="659">
        <v>0</v>
      </c>
      <c r="P224" s="659">
        <v>0</v>
      </c>
      <c r="Q224" s="659">
        <v>0</v>
      </c>
      <c r="R224" s="659">
        <v>0</v>
      </c>
      <c r="S224" s="659">
        <v>0</v>
      </c>
      <c r="U224" s="2128">
        <v>42990000</v>
      </c>
    </row>
    <row r="225" spans="1:21" x14ac:dyDescent="0.2">
      <c r="A225" s="335">
        <v>2693</v>
      </c>
      <c r="B225" s="2876" t="s">
        <v>5137</v>
      </c>
      <c r="C225" s="2876"/>
      <c r="D225" s="2876"/>
      <c r="E225" s="2876"/>
      <c r="F225" s="649">
        <f t="shared" si="33"/>
        <v>0</v>
      </c>
      <c r="G225" s="938"/>
      <c r="H225" s="659">
        <v>0</v>
      </c>
      <c r="I225" s="659">
        <v>0</v>
      </c>
      <c r="J225" s="659">
        <v>0</v>
      </c>
      <c r="K225" s="659">
        <v>0</v>
      </c>
      <c r="L225" s="659">
        <v>0</v>
      </c>
      <c r="M225" s="659">
        <v>0</v>
      </c>
      <c r="N225" s="659">
        <v>0</v>
      </c>
      <c r="O225" s="659">
        <v>0</v>
      </c>
      <c r="P225" s="659">
        <v>0</v>
      </c>
      <c r="Q225" s="659"/>
      <c r="R225" s="659">
        <v>0</v>
      </c>
      <c r="S225" s="659">
        <v>0</v>
      </c>
      <c r="U225" s="2193">
        <v>42905000</v>
      </c>
    </row>
    <row r="226" spans="1:21" x14ac:dyDescent="0.2">
      <c r="A226" s="335">
        <v>2700</v>
      </c>
      <c r="B226" s="2964" t="s">
        <v>1186</v>
      </c>
      <c r="C226" s="2964"/>
      <c r="D226" s="2964"/>
      <c r="E226" s="2964"/>
      <c r="F226" s="649">
        <f t="shared" si="33"/>
        <v>0</v>
      </c>
      <c r="H226" s="659">
        <v>0</v>
      </c>
      <c r="I226" s="659">
        <v>0</v>
      </c>
      <c r="J226" s="659">
        <v>0</v>
      </c>
      <c r="K226" s="659">
        <v>0</v>
      </c>
      <c r="L226" s="659">
        <v>0</v>
      </c>
      <c r="M226" s="659">
        <v>0</v>
      </c>
      <c r="N226" s="659">
        <v>0</v>
      </c>
      <c r="O226" s="659">
        <v>0</v>
      </c>
      <c r="P226" s="659">
        <v>0</v>
      </c>
      <c r="Q226" s="659">
        <v>0</v>
      </c>
      <c r="R226" s="659">
        <v>0</v>
      </c>
      <c r="S226" s="659">
        <v>0</v>
      </c>
      <c r="U226" s="2193" t="s">
        <v>5116</v>
      </c>
    </row>
    <row r="227" spans="1:21" x14ac:dyDescent="0.2">
      <c r="A227" s="335">
        <v>2701</v>
      </c>
      <c r="B227" s="2964" t="s">
        <v>4795</v>
      </c>
      <c r="C227" s="2964"/>
      <c r="D227" s="2964"/>
      <c r="E227" s="2964"/>
      <c r="F227" s="649">
        <f t="shared" si="33"/>
        <v>0</v>
      </c>
      <c r="H227" s="659">
        <v>0</v>
      </c>
      <c r="I227" s="659">
        <v>0</v>
      </c>
      <c r="J227" s="659">
        <v>0</v>
      </c>
      <c r="K227" s="659">
        <v>0</v>
      </c>
      <c r="L227" s="659">
        <v>0</v>
      </c>
      <c r="M227" s="659">
        <v>0</v>
      </c>
      <c r="N227" s="659">
        <v>0</v>
      </c>
      <c r="O227" s="659">
        <v>0</v>
      </c>
      <c r="P227" s="659">
        <v>0</v>
      </c>
      <c r="Q227" s="659"/>
      <c r="R227" s="659">
        <v>0</v>
      </c>
      <c r="S227" s="659">
        <v>0</v>
      </c>
      <c r="U227" s="2193" t="s">
        <v>5117</v>
      </c>
    </row>
    <row r="228" spans="1:21" x14ac:dyDescent="0.2">
      <c r="A228" s="335">
        <v>2710</v>
      </c>
      <c r="B228" s="2968" t="s">
        <v>1187</v>
      </c>
      <c r="C228" s="2968"/>
      <c r="D228" s="2968"/>
      <c r="E228" s="2968"/>
      <c r="F228" s="649">
        <f t="shared" si="33"/>
        <v>0</v>
      </c>
      <c r="H228" s="659">
        <v>0</v>
      </c>
      <c r="I228" s="659">
        <v>0</v>
      </c>
      <c r="J228" s="659">
        <v>0</v>
      </c>
      <c r="K228" s="659">
        <v>0</v>
      </c>
      <c r="L228" s="659">
        <v>0</v>
      </c>
      <c r="M228" s="659">
        <v>0</v>
      </c>
      <c r="N228" s="659">
        <v>0</v>
      </c>
      <c r="O228" s="659">
        <v>0</v>
      </c>
      <c r="P228" s="659">
        <v>0</v>
      </c>
      <c r="Q228" s="659">
        <v>0</v>
      </c>
      <c r="R228" s="659">
        <v>0</v>
      </c>
      <c r="S228" s="659">
        <v>0</v>
      </c>
      <c r="U228" s="2128">
        <v>46200000</v>
      </c>
    </row>
    <row r="229" spans="1:21" x14ac:dyDescent="0.2">
      <c r="A229" s="335">
        <v>2711</v>
      </c>
      <c r="B229" s="2968" t="s">
        <v>5313</v>
      </c>
      <c r="C229" s="2968"/>
      <c r="D229" s="2968"/>
      <c r="E229" s="2968"/>
      <c r="F229" s="649">
        <f t="shared" si="33"/>
        <v>0</v>
      </c>
      <c r="H229" s="659">
        <v>0</v>
      </c>
      <c r="I229" s="659">
        <v>0</v>
      </c>
      <c r="J229" s="659">
        <v>0</v>
      </c>
      <c r="K229" s="659">
        <v>0</v>
      </c>
      <c r="L229" s="659">
        <v>0</v>
      </c>
      <c r="M229" s="659">
        <v>0</v>
      </c>
      <c r="N229" s="659">
        <v>0</v>
      </c>
      <c r="O229" s="659">
        <v>0</v>
      </c>
      <c r="P229" s="659">
        <v>0</v>
      </c>
      <c r="Q229" s="659"/>
      <c r="R229" s="659">
        <v>0</v>
      </c>
      <c r="S229" s="659">
        <v>0</v>
      </c>
      <c r="U229" s="2128">
        <v>46207000</v>
      </c>
    </row>
    <row r="230" spans="1:21" x14ac:dyDescent="0.2">
      <c r="A230" s="335">
        <v>2720</v>
      </c>
      <c r="B230" s="2876" t="s">
        <v>1188</v>
      </c>
      <c r="C230" s="2876"/>
      <c r="D230" s="2876"/>
      <c r="E230" s="2876"/>
      <c r="F230" s="649">
        <f t="shared" si="33"/>
        <v>0</v>
      </c>
      <c r="G230" s="1078" t="str">
        <f>IF(F230&gt;0, "Problem: Expense must be entered as negative number"," ")</f>
        <v xml:space="preserve"> </v>
      </c>
      <c r="H230" s="659">
        <v>0</v>
      </c>
      <c r="I230" s="659">
        <v>0</v>
      </c>
      <c r="J230" s="659">
        <v>0</v>
      </c>
      <c r="K230" s="659">
        <v>0</v>
      </c>
      <c r="L230" s="659">
        <v>0</v>
      </c>
      <c r="M230" s="659">
        <v>0</v>
      </c>
      <c r="N230" s="659">
        <v>0</v>
      </c>
      <c r="O230" s="659">
        <v>0</v>
      </c>
      <c r="P230" s="659">
        <v>0</v>
      </c>
      <c r="Q230" s="659">
        <v>0</v>
      </c>
      <c r="R230" s="659">
        <v>0</v>
      </c>
      <c r="S230" s="659">
        <v>0</v>
      </c>
      <c r="U230" s="2128">
        <v>55321000</v>
      </c>
    </row>
    <row r="231" spans="1:21" x14ac:dyDescent="0.2">
      <c r="A231" s="335">
        <v>2740</v>
      </c>
      <c r="B231" s="2876" t="s">
        <v>758</v>
      </c>
      <c r="C231" s="2876"/>
      <c r="D231" s="2876"/>
      <c r="E231" s="2876"/>
      <c r="F231" s="649">
        <f t="shared" si="33"/>
        <v>0</v>
      </c>
      <c r="G231" s="1078" t="str">
        <f>IF(F231&lt;0, "Problem: Gain must be entered as positive number; if loss, please key to loss caption below instead"," ")</f>
        <v xml:space="preserve"> </v>
      </c>
      <c r="H231" s="659">
        <v>0</v>
      </c>
      <c r="I231" s="659">
        <v>0</v>
      </c>
      <c r="J231" s="659">
        <v>0</v>
      </c>
      <c r="K231" s="659">
        <v>0</v>
      </c>
      <c r="L231" s="659">
        <v>0</v>
      </c>
      <c r="M231" s="659">
        <v>0</v>
      </c>
      <c r="N231" s="659">
        <v>0</v>
      </c>
      <c r="O231" s="659">
        <v>0</v>
      </c>
      <c r="P231" s="659">
        <v>0</v>
      </c>
      <c r="Q231" s="659">
        <v>0</v>
      </c>
      <c r="R231" s="659">
        <v>0</v>
      </c>
      <c r="S231" s="659">
        <v>0</v>
      </c>
      <c r="U231" s="2128">
        <v>44330000</v>
      </c>
    </row>
    <row r="232" spans="1:21" x14ac:dyDescent="0.2">
      <c r="A232" s="335">
        <v>2750</v>
      </c>
      <c r="B232" s="2876" t="s">
        <v>759</v>
      </c>
      <c r="C232" s="2876"/>
      <c r="D232" s="2876"/>
      <c r="E232" s="2876"/>
      <c r="F232" s="649">
        <f t="shared" si="33"/>
        <v>0</v>
      </c>
      <c r="G232" s="1078" t="str">
        <f>IF(F232&gt;0, "Problem: Expense/Loss must be entered as negative number; if gain, please key to gain caption above instead"," ")</f>
        <v xml:space="preserve"> </v>
      </c>
      <c r="H232" s="659">
        <v>0</v>
      </c>
      <c r="I232" s="659">
        <v>0</v>
      </c>
      <c r="J232" s="659">
        <v>0</v>
      </c>
      <c r="K232" s="659">
        <v>0</v>
      </c>
      <c r="L232" s="659">
        <v>0</v>
      </c>
      <c r="M232" s="659">
        <v>0</v>
      </c>
      <c r="N232" s="659">
        <v>0</v>
      </c>
      <c r="O232" s="659">
        <v>0</v>
      </c>
      <c r="P232" s="659">
        <v>0</v>
      </c>
      <c r="Q232" s="659">
        <v>0</v>
      </c>
      <c r="R232" s="659">
        <v>0</v>
      </c>
      <c r="S232" s="659">
        <v>0</v>
      </c>
      <c r="U232" s="2128">
        <v>55650000</v>
      </c>
    </row>
    <row r="233" spans="1:21" x14ac:dyDescent="0.2">
      <c r="A233" s="335">
        <v>2755</v>
      </c>
      <c r="B233" s="2876" t="s">
        <v>4478</v>
      </c>
      <c r="C233" s="2876"/>
      <c r="D233" s="2876"/>
      <c r="E233" s="2876"/>
      <c r="F233" s="649">
        <f t="shared" si="33"/>
        <v>0</v>
      </c>
      <c r="H233" s="659">
        <v>0</v>
      </c>
      <c r="I233" s="659">
        <v>0</v>
      </c>
      <c r="J233" s="659">
        <v>0</v>
      </c>
      <c r="K233" s="659">
        <v>0</v>
      </c>
      <c r="L233" s="659">
        <v>0</v>
      </c>
      <c r="M233" s="659">
        <v>0</v>
      </c>
      <c r="N233" s="659">
        <v>0</v>
      </c>
      <c r="O233" s="659">
        <v>0</v>
      </c>
      <c r="P233" s="659">
        <v>0</v>
      </c>
      <c r="Q233" s="659">
        <v>0</v>
      </c>
      <c r="R233" s="659">
        <v>0</v>
      </c>
      <c r="S233" s="659">
        <v>0</v>
      </c>
      <c r="U233" s="2128">
        <v>55341000</v>
      </c>
    </row>
    <row r="234" spans="1:21" x14ac:dyDescent="0.2">
      <c r="A234" s="335">
        <v>2760</v>
      </c>
      <c r="B234" s="2876" t="s">
        <v>1045</v>
      </c>
      <c r="C234" s="2876"/>
      <c r="D234" s="2876"/>
      <c r="E234" s="2876"/>
      <c r="F234" s="649">
        <f t="shared" si="33"/>
        <v>0</v>
      </c>
      <c r="H234" s="659">
        <v>0</v>
      </c>
      <c r="I234" s="659">
        <v>0</v>
      </c>
      <c r="J234" s="659">
        <v>0</v>
      </c>
      <c r="K234" s="659">
        <v>0</v>
      </c>
      <c r="L234" s="659">
        <v>0</v>
      </c>
      <c r="M234" s="659">
        <v>0</v>
      </c>
      <c r="N234" s="659">
        <v>0</v>
      </c>
      <c r="O234" s="659">
        <v>0</v>
      </c>
      <c r="P234" s="659">
        <v>0</v>
      </c>
      <c r="Q234" s="659">
        <v>0</v>
      </c>
      <c r="R234" s="659">
        <v>0</v>
      </c>
      <c r="S234" s="659">
        <v>0</v>
      </c>
      <c r="U234" s="2128">
        <v>43111000</v>
      </c>
    </row>
    <row r="235" spans="1:21" x14ac:dyDescent="0.2">
      <c r="A235" s="335">
        <v>2770</v>
      </c>
      <c r="B235" s="2876" t="s">
        <v>1076</v>
      </c>
      <c r="C235" s="2876"/>
      <c r="D235" s="2876"/>
      <c r="E235" s="2876"/>
      <c r="F235" s="649">
        <f t="shared" si="33"/>
        <v>0</v>
      </c>
      <c r="H235" s="659">
        <v>0</v>
      </c>
      <c r="I235" s="659">
        <v>0</v>
      </c>
      <c r="J235" s="659">
        <v>0</v>
      </c>
      <c r="K235" s="659">
        <v>0</v>
      </c>
      <c r="L235" s="659">
        <v>0</v>
      </c>
      <c r="M235" s="659">
        <v>0</v>
      </c>
      <c r="N235" s="659">
        <v>0</v>
      </c>
      <c r="O235" s="659">
        <v>0</v>
      </c>
      <c r="P235" s="659">
        <v>0</v>
      </c>
      <c r="Q235" s="659">
        <v>0</v>
      </c>
      <c r="R235" s="659">
        <v>0</v>
      </c>
      <c r="S235" s="659">
        <v>0</v>
      </c>
      <c r="U235" s="2128">
        <v>47116000</v>
      </c>
    </row>
    <row r="236" spans="1:21" x14ac:dyDescent="0.2">
      <c r="A236" s="335">
        <v>2780</v>
      </c>
      <c r="B236" s="2876" t="s">
        <v>799</v>
      </c>
      <c r="C236" s="2876"/>
      <c r="D236" s="2876"/>
      <c r="E236" s="2876"/>
      <c r="F236" s="649">
        <f t="shared" si="33"/>
        <v>0</v>
      </c>
      <c r="G236" s="1078" t="str">
        <f>IF(F236&gt;0, "Problem: Nonoperating expense must be entered as negative number; if grant revenue, please see captions above"," ")</f>
        <v xml:space="preserve"> </v>
      </c>
      <c r="H236" s="659">
        <v>0</v>
      </c>
      <c r="I236" s="659">
        <v>0</v>
      </c>
      <c r="J236" s="659">
        <v>0</v>
      </c>
      <c r="K236" s="659">
        <v>0</v>
      </c>
      <c r="L236" s="659">
        <v>0</v>
      </c>
      <c r="M236" s="659">
        <v>0</v>
      </c>
      <c r="N236" s="659">
        <v>0</v>
      </c>
      <c r="O236" s="659">
        <v>0</v>
      </c>
      <c r="P236" s="659">
        <v>0</v>
      </c>
      <c r="Q236" s="659">
        <v>0</v>
      </c>
      <c r="R236" s="659">
        <v>0</v>
      </c>
      <c r="S236" s="659">
        <v>0</v>
      </c>
      <c r="U236" s="2193" t="s">
        <v>5118</v>
      </c>
    </row>
    <row r="237" spans="1:21" x14ac:dyDescent="0.2">
      <c r="A237" s="335">
        <v>2785</v>
      </c>
      <c r="B237" s="2876" t="s">
        <v>1431</v>
      </c>
      <c r="C237" s="2876"/>
      <c r="D237" s="2876"/>
      <c r="E237" s="2876"/>
      <c r="F237" s="649">
        <f t="shared" si="33"/>
        <v>0</v>
      </c>
      <c r="G237" s="14"/>
      <c r="H237" s="659">
        <v>0</v>
      </c>
      <c r="I237" s="659">
        <v>0</v>
      </c>
      <c r="J237" s="659">
        <v>0</v>
      </c>
      <c r="K237" s="659">
        <v>0</v>
      </c>
      <c r="L237" s="659">
        <v>0</v>
      </c>
      <c r="M237" s="659">
        <v>0</v>
      </c>
      <c r="N237" s="659">
        <v>0</v>
      </c>
      <c r="O237" s="659">
        <v>0</v>
      </c>
      <c r="P237" s="659">
        <v>0</v>
      </c>
      <c r="Q237" s="659">
        <v>0</v>
      </c>
      <c r="R237" s="659">
        <v>0</v>
      </c>
      <c r="S237" s="659">
        <v>0</v>
      </c>
      <c r="U237" s="2128">
        <v>42907000</v>
      </c>
    </row>
    <row r="238" spans="1:21" x14ac:dyDescent="0.2">
      <c r="A238" s="335">
        <v>2786</v>
      </c>
      <c r="B238" s="2974" t="s">
        <v>5513</v>
      </c>
      <c r="C238" s="2974"/>
      <c r="D238" s="2974"/>
      <c r="E238" s="2974"/>
      <c r="F238" s="649">
        <f t="shared" si="33"/>
        <v>0</v>
      </c>
      <c r="G238" s="14"/>
      <c r="H238" s="659">
        <v>0</v>
      </c>
      <c r="I238" s="659">
        <v>0</v>
      </c>
      <c r="J238" s="659">
        <v>0</v>
      </c>
      <c r="K238" s="659">
        <v>0</v>
      </c>
      <c r="L238" s="659">
        <v>0</v>
      </c>
      <c r="M238" s="659">
        <v>0</v>
      </c>
      <c r="N238" s="659">
        <v>0</v>
      </c>
      <c r="O238" s="659">
        <v>0</v>
      </c>
      <c r="P238" s="659">
        <v>0</v>
      </c>
      <c r="Q238" s="659"/>
      <c r="R238" s="659"/>
      <c r="S238" s="659"/>
      <c r="U238" s="2128">
        <v>47128000</v>
      </c>
    </row>
    <row r="239" spans="1:21" x14ac:dyDescent="0.2">
      <c r="A239" s="335">
        <v>2800</v>
      </c>
      <c r="B239" s="2876" t="s">
        <v>800</v>
      </c>
      <c r="C239" s="2876"/>
      <c r="D239" s="2876"/>
      <c r="E239" s="2876"/>
      <c r="F239" s="649">
        <f t="shared" si="33"/>
        <v>0</v>
      </c>
      <c r="G239" s="1078" t="str">
        <f>IF(F239&lt;0, "Problem: Misc nonperating revenue must be entered as positive number; if expense key to nonoperating expense caption below"," ")</f>
        <v xml:space="preserve"> </v>
      </c>
      <c r="H239" s="659">
        <v>0</v>
      </c>
      <c r="I239" s="659">
        <v>0</v>
      </c>
      <c r="J239" s="659">
        <v>0</v>
      </c>
      <c r="K239" s="659">
        <v>0</v>
      </c>
      <c r="L239" s="659">
        <v>0</v>
      </c>
      <c r="M239" s="659">
        <v>0</v>
      </c>
      <c r="N239" s="659">
        <v>0</v>
      </c>
      <c r="O239" s="659">
        <v>0</v>
      </c>
      <c r="P239" s="659">
        <v>0</v>
      </c>
      <c r="Q239" s="659">
        <v>0</v>
      </c>
      <c r="R239" s="659">
        <v>0</v>
      </c>
      <c r="S239" s="659">
        <v>0</v>
      </c>
      <c r="U239" s="2128">
        <v>44321000</v>
      </c>
    </row>
    <row r="240" spans="1:21" x14ac:dyDescent="0.2">
      <c r="A240" s="335">
        <v>2810</v>
      </c>
      <c r="B240" s="2876" t="s">
        <v>801</v>
      </c>
      <c r="C240" s="2876"/>
      <c r="D240" s="2876"/>
      <c r="E240" s="2876"/>
      <c r="F240" s="649">
        <f t="shared" si="33"/>
        <v>0</v>
      </c>
      <c r="G240" s="1078" t="str">
        <f>IF(F240&gt;0, "Problem: Misc nonoperating expense must be entered as negative number; if revenue, key to nonoperating revenue caption above."," ")</f>
        <v xml:space="preserve"> </v>
      </c>
      <c r="H240" s="659">
        <v>0</v>
      </c>
      <c r="I240" s="659">
        <v>0</v>
      </c>
      <c r="J240" s="659">
        <v>0</v>
      </c>
      <c r="K240" s="659">
        <v>0</v>
      </c>
      <c r="L240" s="659">
        <v>0</v>
      </c>
      <c r="M240" s="659">
        <v>0</v>
      </c>
      <c r="N240" s="659">
        <v>0</v>
      </c>
      <c r="O240" s="659">
        <v>0</v>
      </c>
      <c r="P240" s="659">
        <v>0</v>
      </c>
      <c r="Q240" s="659">
        <v>0</v>
      </c>
      <c r="R240" s="659">
        <v>0</v>
      </c>
      <c r="S240" s="659">
        <v>0</v>
      </c>
      <c r="U240" s="2128">
        <v>55332000</v>
      </c>
    </row>
    <row r="241" spans="1:21" x14ac:dyDescent="0.2">
      <c r="B241" s="2965" t="s">
        <v>760</v>
      </c>
      <c r="C241" s="2965"/>
      <c r="D241" s="2965"/>
      <c r="E241" s="2965"/>
      <c r="F241" s="661">
        <f>SUM(F222:F240)</f>
        <v>0</v>
      </c>
      <c r="H241" s="661">
        <f t="shared" ref="H241:S241" si="34">SUM(H222:H240)</f>
        <v>0</v>
      </c>
      <c r="I241" s="661">
        <f t="shared" si="34"/>
        <v>0</v>
      </c>
      <c r="J241" s="661">
        <f t="shared" si="34"/>
        <v>0</v>
      </c>
      <c r="K241" s="661">
        <f t="shared" si="34"/>
        <v>0</v>
      </c>
      <c r="L241" s="661">
        <f t="shared" si="34"/>
        <v>0</v>
      </c>
      <c r="M241" s="661">
        <f t="shared" si="34"/>
        <v>0</v>
      </c>
      <c r="N241" s="661">
        <f t="shared" si="34"/>
        <v>0</v>
      </c>
      <c r="O241" s="661">
        <f t="shared" si="34"/>
        <v>0</v>
      </c>
      <c r="P241" s="661">
        <f t="shared" si="34"/>
        <v>0</v>
      </c>
      <c r="Q241" s="661">
        <f t="shared" si="34"/>
        <v>0</v>
      </c>
      <c r="R241" s="661">
        <f t="shared" si="34"/>
        <v>0</v>
      </c>
      <c r="S241" s="661">
        <f t="shared" si="34"/>
        <v>0</v>
      </c>
      <c r="T241" t="str">
        <f>IF(SUM(H241:S241)=F241,"OK ","Crossfoot error: sum of Col H thru S must equal total in Col F")</f>
        <v xml:space="preserve">OK </v>
      </c>
      <c r="U241" s="2188"/>
    </row>
    <row r="242" spans="1:21" x14ac:dyDescent="0.2">
      <c r="B242" s="2965" t="s">
        <v>761</v>
      </c>
      <c r="C242" s="2965"/>
      <c r="D242" s="2965"/>
      <c r="E242" s="2965"/>
      <c r="F242" s="661">
        <f>F219+F241</f>
        <v>0</v>
      </c>
      <c r="H242" s="661">
        <f t="shared" ref="H242:S242" si="35">H219+H241</f>
        <v>0</v>
      </c>
      <c r="I242" s="661">
        <f t="shared" si="35"/>
        <v>0</v>
      </c>
      <c r="J242" s="661">
        <f t="shared" si="35"/>
        <v>0</v>
      </c>
      <c r="K242" s="661">
        <f t="shared" si="35"/>
        <v>0</v>
      </c>
      <c r="L242" s="661">
        <f t="shared" si="35"/>
        <v>0</v>
      </c>
      <c r="M242" s="661">
        <f t="shared" si="35"/>
        <v>0</v>
      </c>
      <c r="N242" s="661">
        <f t="shared" si="35"/>
        <v>0</v>
      </c>
      <c r="O242" s="661">
        <f t="shared" si="35"/>
        <v>0</v>
      </c>
      <c r="P242" s="661">
        <f t="shared" si="35"/>
        <v>0</v>
      </c>
      <c r="Q242" s="661">
        <f t="shared" si="35"/>
        <v>0</v>
      </c>
      <c r="R242" s="661">
        <f t="shared" si="35"/>
        <v>0</v>
      </c>
      <c r="S242" s="661">
        <f t="shared" si="35"/>
        <v>0</v>
      </c>
      <c r="T242" t="str">
        <f>IF(SUM(H242:S242)=F242,"OK ","Crossfoot error: sum of Col H thru S must equal total in Col F")</f>
        <v xml:space="preserve">OK </v>
      </c>
      <c r="U242" s="2188"/>
    </row>
    <row r="243" spans="1:21" x14ac:dyDescent="0.2">
      <c r="A243" s="937">
        <v>2870</v>
      </c>
      <c r="B243" s="2964" t="s">
        <v>762</v>
      </c>
      <c r="C243" s="2964"/>
      <c r="D243" s="2964"/>
      <c r="E243" s="2964"/>
      <c r="F243" s="649">
        <f>SUM(H243:S243)</f>
        <v>0</v>
      </c>
      <c r="G243" s="938"/>
      <c r="H243" s="659">
        <v>0</v>
      </c>
      <c r="I243" s="659">
        <v>0</v>
      </c>
      <c r="J243" s="659">
        <v>0</v>
      </c>
      <c r="K243" s="659">
        <v>0</v>
      </c>
      <c r="L243" s="659">
        <v>0</v>
      </c>
      <c r="M243" s="659">
        <v>0</v>
      </c>
      <c r="N243" s="659">
        <v>0</v>
      </c>
      <c r="O243" s="659">
        <v>0</v>
      </c>
      <c r="P243" s="659">
        <v>0</v>
      </c>
      <c r="Q243" s="659">
        <v>0</v>
      </c>
      <c r="R243" s="659">
        <v>0</v>
      </c>
      <c r="S243" s="659">
        <v>0</v>
      </c>
      <c r="U243" s="2128">
        <v>42901000</v>
      </c>
    </row>
    <row r="244" spans="1:21" x14ac:dyDescent="0.2">
      <c r="A244" s="335">
        <v>2880</v>
      </c>
      <c r="B244" s="2964" t="s">
        <v>241</v>
      </c>
      <c r="C244" s="2964"/>
      <c r="D244" s="2964"/>
      <c r="E244" s="2964"/>
      <c r="F244" s="649">
        <f>SUM(H244:S244)</f>
        <v>0</v>
      </c>
      <c r="H244" s="659">
        <v>0</v>
      </c>
      <c r="I244" s="659">
        <v>0</v>
      </c>
      <c r="J244" s="659">
        <v>0</v>
      </c>
      <c r="K244" s="659">
        <v>0</v>
      </c>
      <c r="L244" s="659">
        <v>0</v>
      </c>
      <c r="M244" s="659">
        <v>0</v>
      </c>
      <c r="N244" s="659">
        <v>0</v>
      </c>
      <c r="O244" s="659">
        <v>0</v>
      </c>
      <c r="P244" s="659">
        <v>0</v>
      </c>
      <c r="Q244" s="659">
        <v>0</v>
      </c>
      <c r="R244" s="659">
        <v>0</v>
      </c>
      <c r="S244" s="659">
        <v>0</v>
      </c>
      <c r="U244" s="2193" t="s">
        <v>5119</v>
      </c>
    </row>
    <row r="245" spans="1:21" x14ac:dyDescent="0.2">
      <c r="A245" s="335">
        <v>2890</v>
      </c>
      <c r="B245" s="2964" t="s">
        <v>242</v>
      </c>
      <c r="C245" s="2964"/>
      <c r="D245" s="2964"/>
      <c r="E245" s="2964"/>
      <c r="F245" s="649">
        <f>SUM(H245:S245)</f>
        <v>0</v>
      </c>
      <c r="H245" s="659">
        <v>0</v>
      </c>
      <c r="I245" s="659">
        <v>0</v>
      </c>
      <c r="J245" s="659">
        <v>0</v>
      </c>
      <c r="K245" s="659">
        <v>0</v>
      </c>
      <c r="L245" s="659">
        <v>0</v>
      </c>
      <c r="M245" s="659">
        <v>0</v>
      </c>
      <c r="N245" s="659">
        <v>0</v>
      </c>
      <c r="O245" s="659">
        <v>0</v>
      </c>
      <c r="P245" s="659">
        <v>0</v>
      </c>
      <c r="Q245" s="659">
        <v>0</v>
      </c>
      <c r="R245" s="659">
        <v>0</v>
      </c>
      <c r="S245" s="659">
        <v>0</v>
      </c>
      <c r="U245" s="2128">
        <v>46203000</v>
      </c>
    </row>
    <row r="246" spans="1:21" x14ac:dyDescent="0.2">
      <c r="A246" s="335">
        <v>2900</v>
      </c>
      <c r="B246" s="2876" t="s">
        <v>1432</v>
      </c>
      <c r="C246" s="2876"/>
      <c r="D246" s="2876"/>
      <c r="E246" s="2876"/>
      <c r="F246" s="649">
        <f>SUM(H246:S246)</f>
        <v>0</v>
      </c>
      <c r="G246" s="14"/>
      <c r="H246" s="659">
        <v>0</v>
      </c>
      <c r="I246" s="659">
        <v>0</v>
      </c>
      <c r="J246" s="659">
        <v>0</v>
      </c>
      <c r="K246" s="659">
        <v>0</v>
      </c>
      <c r="L246" s="659">
        <v>0</v>
      </c>
      <c r="M246" s="659">
        <v>0</v>
      </c>
      <c r="N246" s="659">
        <v>0</v>
      </c>
      <c r="O246" s="659">
        <v>0</v>
      </c>
      <c r="P246" s="659">
        <v>0</v>
      </c>
      <c r="Q246" s="659">
        <v>0</v>
      </c>
      <c r="R246" s="659">
        <v>0</v>
      </c>
      <c r="S246" s="659">
        <v>0</v>
      </c>
      <c r="U246" s="2128">
        <v>46205000</v>
      </c>
    </row>
    <row r="247" spans="1:21" x14ac:dyDescent="0.2">
      <c r="A247" s="1129">
        <v>2940</v>
      </c>
      <c r="B247" s="2876" t="s">
        <v>1433</v>
      </c>
      <c r="C247" s="2876"/>
      <c r="D247" s="2876"/>
      <c r="E247" s="2876"/>
      <c r="F247" s="1036">
        <f>'565'!H29</f>
        <v>0</v>
      </c>
      <c r="G247" t="str">
        <f>IF(F247='565'!H29," ","Problem: Must agree to ws 565 total Interinstitutional transfers")</f>
        <v xml:space="preserve"> </v>
      </c>
      <c r="H247" s="1079">
        <v>0</v>
      </c>
      <c r="I247" s="1079">
        <v>0</v>
      </c>
      <c r="J247" s="1079">
        <v>0</v>
      </c>
      <c r="K247" s="1079">
        <v>0</v>
      </c>
      <c r="L247" s="1079">
        <v>0</v>
      </c>
      <c r="M247" s="1079">
        <v>0</v>
      </c>
      <c r="N247" s="1079">
        <v>0</v>
      </c>
      <c r="O247" s="1079">
        <v>0</v>
      </c>
      <c r="P247" s="1079">
        <v>0</v>
      </c>
      <c r="Q247" s="1079">
        <v>0</v>
      </c>
      <c r="R247" s="1079">
        <v>0</v>
      </c>
      <c r="S247" s="1079">
        <v>0</v>
      </c>
      <c r="U247" s="2128">
        <v>48700000</v>
      </c>
    </row>
    <row r="248" spans="1:21" x14ac:dyDescent="0.2">
      <c r="A248" s="335">
        <v>2950</v>
      </c>
      <c r="B248" s="2964" t="s">
        <v>243</v>
      </c>
      <c r="C248" s="2964"/>
      <c r="D248" s="2964"/>
      <c r="E248" s="2964"/>
      <c r="F248" s="1071">
        <f>SUM(H248:S248)</f>
        <v>0</v>
      </c>
      <c r="G248" s="864" t="str">
        <f>IF(AND(ABS(F248)&gt;=1,ABS(F248)&lt;10000000),"Problem: Under $10 million threshold - reclassify to another rev or exp"," ")</f>
        <v xml:space="preserve"> </v>
      </c>
      <c r="H248" s="659">
        <v>0</v>
      </c>
      <c r="I248" s="659">
        <v>0</v>
      </c>
      <c r="J248" s="659">
        <v>0</v>
      </c>
      <c r="K248" s="659">
        <v>0</v>
      </c>
      <c r="L248" s="659">
        <v>0</v>
      </c>
      <c r="M248" s="659">
        <v>0</v>
      </c>
      <c r="N248" s="659">
        <v>0</v>
      </c>
      <c r="O248" s="659">
        <v>0</v>
      </c>
      <c r="P248" s="659">
        <v>0</v>
      </c>
      <c r="Q248" s="659">
        <v>0</v>
      </c>
      <c r="R248" s="659">
        <v>0</v>
      </c>
      <c r="S248" s="659">
        <v>0</v>
      </c>
      <c r="U248" s="2128">
        <v>47750000</v>
      </c>
    </row>
    <row r="249" spans="1:21" x14ac:dyDescent="0.2">
      <c r="A249" s="335">
        <v>2960</v>
      </c>
      <c r="B249" s="2964" t="s">
        <v>244</v>
      </c>
      <c r="C249" s="2964"/>
      <c r="D249" s="2964"/>
      <c r="E249" s="2964"/>
      <c r="F249" s="1071">
        <f>SUM(H249:S249)</f>
        <v>0</v>
      </c>
      <c r="G249" s="864" t="str">
        <f>IF(AND(ABS(F249)&gt;=1,ABS(F249)&lt;10000000),"Problem: Under $10 million threshold - reclassify to another rev or exp"," ")</f>
        <v xml:space="preserve"> </v>
      </c>
      <c r="H249" s="659">
        <v>0</v>
      </c>
      <c r="I249" s="659">
        <v>0</v>
      </c>
      <c r="J249" s="659">
        <v>0</v>
      </c>
      <c r="K249" s="659">
        <v>0</v>
      </c>
      <c r="L249" s="659">
        <v>0</v>
      </c>
      <c r="M249" s="659">
        <v>0</v>
      </c>
      <c r="N249" s="659">
        <v>0</v>
      </c>
      <c r="O249" s="659">
        <v>0</v>
      </c>
      <c r="P249" s="659">
        <v>0</v>
      </c>
      <c r="Q249" s="659">
        <v>0</v>
      </c>
      <c r="R249" s="659">
        <v>0</v>
      </c>
      <c r="S249" s="659">
        <v>0</v>
      </c>
      <c r="U249" s="2128">
        <v>47700000</v>
      </c>
    </row>
    <row r="250" spans="1:21" x14ac:dyDescent="0.2">
      <c r="B250" s="2965" t="s">
        <v>1898</v>
      </c>
      <c r="C250" s="2965"/>
      <c r="D250" s="2965"/>
      <c r="E250" s="2965"/>
      <c r="F250" s="1072">
        <f>SUM(F242:F249)</f>
        <v>0</v>
      </c>
      <c r="H250" s="1072">
        <f t="shared" ref="H250:M250" si="36">SUM(H242:H249)</f>
        <v>0</v>
      </c>
      <c r="I250" s="1072">
        <f t="shared" si="36"/>
        <v>0</v>
      </c>
      <c r="J250" s="1072">
        <f t="shared" si="36"/>
        <v>0</v>
      </c>
      <c r="K250" s="1072">
        <f t="shared" si="36"/>
        <v>0</v>
      </c>
      <c r="L250" s="1072">
        <f t="shared" si="36"/>
        <v>0</v>
      </c>
      <c r="M250" s="1072">
        <f t="shared" si="36"/>
        <v>0</v>
      </c>
      <c r="N250" s="1072">
        <f t="shared" ref="N250:S250" si="37">SUM(N242:N249)</f>
        <v>0</v>
      </c>
      <c r="O250" s="1072">
        <f t="shared" si="37"/>
        <v>0</v>
      </c>
      <c r="P250" s="1072">
        <f t="shared" si="37"/>
        <v>0</v>
      </c>
      <c r="Q250" s="1072">
        <f t="shared" si="37"/>
        <v>0</v>
      </c>
      <c r="R250" s="1072">
        <f t="shared" si="37"/>
        <v>0</v>
      </c>
      <c r="S250" s="1072">
        <f t="shared" si="37"/>
        <v>0</v>
      </c>
      <c r="U250" s="2128"/>
    </row>
    <row r="251" spans="1:21" x14ac:dyDescent="0.2">
      <c r="A251" s="785">
        <v>2980</v>
      </c>
      <c r="B251" s="2964" t="s">
        <v>1896</v>
      </c>
      <c r="C251" s="2964"/>
      <c r="D251" s="2964"/>
      <c r="E251" s="2964"/>
      <c r="F251" s="1036">
        <f>SUM(H251:S251)</f>
        <v>2194239572.1999998</v>
      </c>
      <c r="H251" s="1036">
        <v>0</v>
      </c>
      <c r="I251" s="1036">
        <f>INDEX(NetAssetsData,MATCH('905Hosp'!$I$9,NetAssetsDataRow,0),3)</f>
        <v>965313253.44000006</v>
      </c>
      <c r="J251" s="1036">
        <f>INDEX(NetAssetsData,MATCH('905Hosp'!$J$9,NetAssetsDataRow,0),3)</f>
        <v>129352347.98999999</v>
      </c>
      <c r="K251" s="1036">
        <f>INDEX(NetAssetsData,MATCH('905Hosp'!$K$9,NetAssetsDataRow,0),3)</f>
        <v>31789089</v>
      </c>
      <c r="L251" s="1036">
        <f>INDEX(NetAssetsData,MATCH('905Hosp'!$L$9,NetAssetsDataRow,0),3)</f>
        <v>944825557.21000004</v>
      </c>
      <c r="M251" s="1036">
        <f>INDEX(NetAssetsData,MATCH('905Hosp'!$M$9,NetAssetsDataRow,0),3)</f>
        <v>-882532.79</v>
      </c>
      <c r="N251" s="1036">
        <f>INDEX(NetAssetsData,MATCH('905Hosp'!$N$9,NetAssetsDataRow,0),3)</f>
        <v>37257576.869999997</v>
      </c>
      <c r="O251" s="1036">
        <f>INDEX(NetAssetsData,MATCH('905Hosp'!$O$9,NetAssetsDataRow,0),3)</f>
        <v>14154557.119999999</v>
      </c>
      <c r="P251" s="1036">
        <f>INDEX(NetAssetsData,MATCH('905Hosp'!$P$9,NetAssetsDataRow,0),3)</f>
        <v>72429723.359999999</v>
      </c>
      <c r="Q251" s="1036">
        <f>INDEX(NetAssetsData,MATCH('905Hosp'!$Q$9,NetAssetsDataRow,0),3)</f>
        <v>0</v>
      </c>
      <c r="R251" s="1036">
        <v>0</v>
      </c>
      <c r="S251" s="1036">
        <v>0</v>
      </c>
      <c r="T251" t="str">
        <f>IF(SUM(H251:S251)=F251,"OK ","Crossfoot error: sum of Col H thru S must equal total in Col F")</f>
        <v xml:space="preserve">OK </v>
      </c>
      <c r="U251" s="2128"/>
    </row>
    <row r="252" spans="1:21" x14ac:dyDescent="0.2">
      <c r="A252" s="785">
        <v>2990</v>
      </c>
      <c r="B252" s="2964" t="s">
        <v>1054</v>
      </c>
      <c r="C252" s="2964"/>
      <c r="D252" s="2964"/>
      <c r="E252" s="2964"/>
      <c r="F252" s="649">
        <f>SUM(H252:S252)</f>
        <v>0</v>
      </c>
      <c r="H252" s="659">
        <v>0</v>
      </c>
      <c r="I252" s="659">
        <v>0</v>
      </c>
      <c r="J252" s="659">
        <v>0</v>
      </c>
      <c r="K252" s="659">
        <v>0</v>
      </c>
      <c r="L252" s="659">
        <v>0</v>
      </c>
      <c r="M252" s="659">
        <v>0</v>
      </c>
      <c r="N252" s="659">
        <v>0</v>
      </c>
      <c r="O252" s="659">
        <v>0</v>
      </c>
      <c r="P252" s="659">
        <v>0</v>
      </c>
      <c r="Q252" s="659">
        <v>0</v>
      </c>
      <c r="R252" s="659">
        <v>0</v>
      </c>
      <c r="S252" s="659">
        <v>0</v>
      </c>
      <c r="U252" s="2128">
        <v>33000100</v>
      </c>
    </row>
    <row r="253" spans="1:21" ht="13.5" thickBot="1" x14ac:dyDescent="0.25">
      <c r="A253" s="785"/>
      <c r="B253" s="2964" t="s">
        <v>1895</v>
      </c>
      <c r="C253" s="2964"/>
      <c r="D253" s="2964"/>
      <c r="E253" s="2964"/>
      <c r="F253" s="804">
        <f>SUM(F250:F252)</f>
        <v>2194239572.1999998</v>
      </c>
      <c r="H253" s="804">
        <f t="shared" ref="H253:M253" si="38">SUM(H250:H252)</f>
        <v>0</v>
      </c>
      <c r="I253" s="804">
        <f t="shared" si="38"/>
        <v>965313253.44000006</v>
      </c>
      <c r="J253" s="804">
        <f t="shared" si="38"/>
        <v>129352347.98999999</v>
      </c>
      <c r="K253" s="804">
        <f t="shared" si="38"/>
        <v>31789089</v>
      </c>
      <c r="L253" s="804">
        <f t="shared" si="38"/>
        <v>944825557.21000004</v>
      </c>
      <c r="M253" s="804">
        <f t="shared" si="38"/>
        <v>-882532.79</v>
      </c>
      <c r="N253" s="804">
        <f t="shared" ref="N253:S253" si="39">SUM(N250:N252)</f>
        <v>37257576.869999997</v>
      </c>
      <c r="O253" s="804">
        <f t="shared" si="39"/>
        <v>14154557.119999999</v>
      </c>
      <c r="P253" s="804">
        <f t="shared" si="39"/>
        <v>72429723.359999999</v>
      </c>
      <c r="Q253" s="804">
        <f t="shared" si="39"/>
        <v>0</v>
      </c>
      <c r="R253" s="804">
        <f t="shared" si="39"/>
        <v>0</v>
      </c>
      <c r="S253" s="804">
        <f t="shared" si="39"/>
        <v>0</v>
      </c>
      <c r="T253" t="str">
        <f>IF(SUM(H253:S253)=F253,"OK ","Crossfoot error: sum of Col H thru S must equal total in Col F")</f>
        <v xml:space="preserve">OK </v>
      </c>
      <c r="U253" s="2188"/>
    </row>
    <row r="254" spans="1:21" ht="9.75" customHeight="1" thickTop="1" x14ac:dyDescent="0.2">
      <c r="U254" s="2188"/>
    </row>
    <row r="255" spans="1:21" x14ac:dyDescent="0.2">
      <c r="B255" s="335" t="s">
        <v>1897</v>
      </c>
      <c r="F255" s="805" t="str">
        <f>IF(ROUND(F186-F253,2)=0,"OK", "Error")</f>
        <v>Error</v>
      </c>
      <c r="H255" s="805" t="str">
        <f t="shared" ref="H255:S255" si="40">IF(ROUND(H186-H253,2)=0,"OK", "Error")</f>
        <v>OK</v>
      </c>
      <c r="I255" s="805" t="str">
        <f t="shared" si="40"/>
        <v>Error</v>
      </c>
      <c r="J255" s="805" t="str">
        <f t="shared" si="40"/>
        <v>Error</v>
      </c>
      <c r="K255" s="805" t="str">
        <f t="shared" si="40"/>
        <v>Error</v>
      </c>
      <c r="L255" s="805" t="str">
        <f t="shared" si="40"/>
        <v>Error</v>
      </c>
      <c r="M255" s="805" t="str">
        <f t="shared" si="40"/>
        <v>Error</v>
      </c>
      <c r="N255" s="805" t="str">
        <f t="shared" si="40"/>
        <v>Error</v>
      </c>
      <c r="O255" s="805" t="str">
        <f t="shared" si="40"/>
        <v>Error</v>
      </c>
      <c r="P255" s="805" t="str">
        <f t="shared" si="40"/>
        <v>Error</v>
      </c>
      <c r="Q255" s="805" t="str">
        <f t="shared" si="40"/>
        <v>OK</v>
      </c>
      <c r="R255" s="805" t="str">
        <f t="shared" si="40"/>
        <v>OK</v>
      </c>
      <c r="S255" s="805" t="str">
        <f t="shared" si="40"/>
        <v>OK</v>
      </c>
    </row>
    <row r="257" spans="1:7" x14ac:dyDescent="0.2">
      <c r="B257" s="330" t="s">
        <v>4943</v>
      </c>
      <c r="F257" s="1077" t="str">
        <f>IF(ROUND(SUM(H251:S251),2)=F251,"OK","Problem: Sum of beginning net assets must equal total prior year ending per CAFR")</f>
        <v>OK</v>
      </c>
    </row>
    <row r="258" spans="1:7" ht="13.5" thickBot="1" x14ac:dyDescent="0.25"/>
    <row r="259" spans="1:7" x14ac:dyDescent="0.2">
      <c r="A259" s="1557" t="s">
        <v>4036</v>
      </c>
      <c r="B259" s="1020"/>
      <c r="C259" s="1020"/>
      <c r="D259" s="1020"/>
      <c r="E259" s="1020"/>
      <c r="F259" s="1021"/>
      <c r="G259" s="1022"/>
    </row>
    <row r="260" spans="1:7" x14ac:dyDescent="0.2">
      <c r="A260" s="1556" t="s">
        <v>4040</v>
      </c>
      <c r="B260" s="1024"/>
      <c r="C260" s="1024"/>
      <c r="D260" s="1024"/>
      <c r="E260" s="1024"/>
      <c r="F260" s="1025"/>
      <c r="G260" s="1026"/>
    </row>
    <row r="261" spans="1:7" x14ac:dyDescent="0.2">
      <c r="A261" s="1556" t="s">
        <v>4041</v>
      </c>
      <c r="B261" s="1024"/>
      <c r="C261" s="1024"/>
      <c r="D261" s="1024"/>
      <c r="E261" s="1024"/>
      <c r="F261" s="1025"/>
      <c r="G261" s="1026"/>
    </row>
    <row r="262" spans="1:7" x14ac:dyDescent="0.2">
      <c r="A262" s="1556" t="s">
        <v>4944</v>
      </c>
      <c r="B262" s="1024"/>
      <c r="C262" s="1024"/>
      <c r="D262" s="1024"/>
      <c r="E262" s="1024"/>
      <c r="F262" s="1025"/>
      <c r="G262" s="1026"/>
    </row>
    <row r="263" spans="1:7" x14ac:dyDescent="0.2">
      <c r="A263" s="1556" t="s">
        <v>4077</v>
      </c>
      <c r="B263" s="1024"/>
      <c r="C263" s="1024"/>
      <c r="D263" s="1024"/>
      <c r="E263" s="1024"/>
      <c r="F263" s="1025"/>
      <c r="G263" s="1026"/>
    </row>
    <row r="264" spans="1:7" x14ac:dyDescent="0.2">
      <c r="A264" s="1556"/>
      <c r="B264" s="1024"/>
      <c r="C264" s="1024"/>
      <c r="D264" s="1024"/>
      <c r="E264" s="1024"/>
      <c r="F264" s="1025"/>
      <c r="G264" s="1026"/>
    </row>
    <row r="265" spans="1:7" x14ac:dyDescent="0.2">
      <c r="A265" s="2966"/>
      <c r="B265" s="2967"/>
      <c r="C265" s="2967"/>
      <c r="D265" s="2967"/>
      <c r="E265" s="1024"/>
      <c r="F265" s="2970"/>
      <c r="G265" s="2971"/>
    </row>
    <row r="266" spans="1:7" x14ac:dyDescent="0.2">
      <c r="A266" s="1023" t="s">
        <v>1451</v>
      </c>
      <c r="B266" s="1024"/>
      <c r="C266" s="1024"/>
      <c r="D266" s="1024"/>
      <c r="E266" s="1024"/>
      <c r="F266" s="1025" t="s">
        <v>1307</v>
      </c>
      <c r="G266" s="1026"/>
    </row>
    <row r="267" spans="1:7" ht="13.5" thickBot="1" x14ac:dyDescent="0.25">
      <c r="A267" s="1028"/>
      <c r="B267" s="1029"/>
      <c r="C267" s="1029"/>
      <c r="D267" s="1029"/>
      <c r="E267" s="1029"/>
      <c r="F267" s="1030"/>
      <c r="G267" s="1031"/>
    </row>
    <row r="269" spans="1:7" x14ac:dyDescent="0.2">
      <c r="A269" s="272" t="s">
        <v>3586</v>
      </c>
    </row>
    <row r="273" spans="1:1" x14ac:dyDescent="0.2">
      <c r="A273" s="272"/>
    </row>
  </sheetData>
  <sheetProtection algorithmName="SHA-512" hashValue="Rg2dlAfl2aRilKW5db/rlpdeVWjn1V6pKf2igMayHiJoPhIA2cBddCB3ENhnffa73dgZSBivY4oMCmC+Hjn0Xg==" saltValue="BjvHtoRrMCXohjxNPGHFtQ==" spinCount="100000" sheet="1" objects="1" scenarios="1" autoFilter="0"/>
  <customSheetViews>
    <customSheetView guid="{B08879A4-635B-4C39-9937-AC7883D562FC}">
      <pane xSplit="6" ySplit="8" topLeftCell="G36" activePane="bottomRight" state="frozen"/>
      <selection pane="bottomRight" activeCell="B45" sqref="B45:E45"/>
      <pageMargins left="0.5" right="0.5" top="0.5" bottom="0.5" header="0.5" footer="0.25"/>
      <printOptions headings="1" gridLines="1"/>
      <pageSetup scale="95" fitToHeight="3" orientation="portrait" r:id="rId1"/>
      <headerFooter alignWithMargins="0">
        <oddFooter>&amp;R&amp;A (&amp;P of &amp;N)</oddFooter>
      </headerFooter>
    </customSheetView>
    <customSheetView guid="{9FCFC836-1CA5-48BF-958D-24D2EA94B219}">
      <pane xSplit="6" ySplit="8" topLeftCell="G36" activePane="bottomRight" state="frozen"/>
      <selection pane="bottomRight" activeCell="B45" sqref="B45:E45"/>
      <pageMargins left="0.5" right="0.5" top="0.5" bottom="0.5" header="0.5" footer="0.25"/>
      <printOptions headings="1" gridLines="1"/>
      <pageSetup scale="95" fitToHeight="3" orientation="portrait" r:id="rId2"/>
      <headerFooter alignWithMargins="0">
        <oddFooter>&amp;R&amp;A (&amp;P of &amp;N)</oddFooter>
      </headerFooter>
    </customSheetView>
  </customSheetViews>
  <mergeCells count="222">
    <mergeCell ref="B155:E155"/>
    <mergeCell ref="B167:E167"/>
    <mergeCell ref="B169:E169"/>
    <mergeCell ref="B233:E233"/>
    <mergeCell ref="A8:F8"/>
    <mergeCell ref="A265:D265"/>
    <mergeCell ref="F265:G265"/>
    <mergeCell ref="B154:E154"/>
    <mergeCell ref="B168:E168"/>
    <mergeCell ref="B170:E170"/>
    <mergeCell ref="A9:D9"/>
    <mergeCell ref="B252:E252"/>
    <mergeCell ref="B253:E253"/>
    <mergeCell ref="B246:E246"/>
    <mergeCell ref="B247:E247"/>
    <mergeCell ref="B248:E248"/>
    <mergeCell ref="B249:E249"/>
    <mergeCell ref="B250:E250"/>
    <mergeCell ref="B251:E251"/>
    <mergeCell ref="B240:E240"/>
    <mergeCell ref="B241:E241"/>
    <mergeCell ref="B242:E242"/>
    <mergeCell ref="B243:E243"/>
    <mergeCell ref="B244:E244"/>
    <mergeCell ref="B245:E245"/>
    <mergeCell ref="B232:E232"/>
    <mergeCell ref="B234:E234"/>
    <mergeCell ref="B235:E235"/>
    <mergeCell ref="B236:E236"/>
    <mergeCell ref="B237:E237"/>
    <mergeCell ref="B239:E239"/>
    <mergeCell ref="B223:E223"/>
    <mergeCell ref="B224:E224"/>
    <mergeCell ref="B226:E226"/>
    <mergeCell ref="B228:E228"/>
    <mergeCell ref="B230:E230"/>
    <mergeCell ref="B231:E231"/>
    <mergeCell ref="B225:E225"/>
    <mergeCell ref="B227:E227"/>
    <mergeCell ref="B229:E229"/>
    <mergeCell ref="B238:E238"/>
    <mergeCell ref="B216:E216"/>
    <mergeCell ref="B217:E217"/>
    <mergeCell ref="B218:E218"/>
    <mergeCell ref="B219:E219"/>
    <mergeCell ref="B222:E222"/>
    <mergeCell ref="B210:E210"/>
    <mergeCell ref="B211:E211"/>
    <mergeCell ref="B212:E212"/>
    <mergeCell ref="B213:E213"/>
    <mergeCell ref="B215:E215"/>
    <mergeCell ref="B202:E202"/>
    <mergeCell ref="B203:E203"/>
    <mergeCell ref="B206:E206"/>
    <mergeCell ref="B207:E207"/>
    <mergeCell ref="B208:E208"/>
    <mergeCell ref="B209:E209"/>
    <mergeCell ref="B196:E196"/>
    <mergeCell ref="B197:E197"/>
    <mergeCell ref="B198:E198"/>
    <mergeCell ref="B199:E199"/>
    <mergeCell ref="B200:E200"/>
    <mergeCell ref="B201:E201"/>
    <mergeCell ref="B186:E186"/>
    <mergeCell ref="B190:E190"/>
    <mergeCell ref="B192:E192"/>
    <mergeCell ref="B193:E193"/>
    <mergeCell ref="B194:E194"/>
    <mergeCell ref="B195:E195"/>
    <mergeCell ref="B179:E179"/>
    <mergeCell ref="B180:E180"/>
    <mergeCell ref="B182:E182"/>
    <mergeCell ref="B183:E183"/>
    <mergeCell ref="B184:E184"/>
    <mergeCell ref="B185:E185"/>
    <mergeCell ref="B156:E156"/>
    <mergeCell ref="B157:E157"/>
    <mergeCell ref="B158:E158"/>
    <mergeCell ref="B160:E160"/>
    <mergeCell ref="B176:E176"/>
    <mergeCell ref="B178:E178"/>
    <mergeCell ref="B163:E163"/>
    <mergeCell ref="B164:E164"/>
    <mergeCell ref="B173:E173"/>
    <mergeCell ref="B172:E172"/>
    <mergeCell ref="B165:E165"/>
    <mergeCell ref="B166:E166"/>
    <mergeCell ref="B171:E171"/>
    <mergeCell ref="B146:E146"/>
    <mergeCell ref="B147:E147"/>
    <mergeCell ref="B148:E148"/>
    <mergeCell ref="B150:E150"/>
    <mergeCell ref="B151:E151"/>
    <mergeCell ref="B153:E153"/>
    <mergeCell ref="B149:E149"/>
    <mergeCell ref="B141:E141"/>
    <mergeCell ref="B142:E142"/>
    <mergeCell ref="B143:E143"/>
    <mergeCell ref="B144:E144"/>
    <mergeCell ref="B152:E152"/>
    <mergeCell ref="B145:E145"/>
    <mergeCell ref="B132:E132"/>
    <mergeCell ref="B133:E133"/>
    <mergeCell ref="B137:E137"/>
    <mergeCell ref="B138:E138"/>
    <mergeCell ref="B139:E139"/>
    <mergeCell ref="B140:E140"/>
    <mergeCell ref="B122:E122"/>
    <mergeCell ref="B123:E123"/>
    <mergeCell ref="B125:E125"/>
    <mergeCell ref="B126:E126"/>
    <mergeCell ref="B128:E128"/>
    <mergeCell ref="B131:E131"/>
    <mergeCell ref="B124:E124"/>
    <mergeCell ref="B129:E129"/>
    <mergeCell ref="B130:E130"/>
    <mergeCell ref="B127:E127"/>
    <mergeCell ref="B117:E117"/>
    <mergeCell ref="B118:E118"/>
    <mergeCell ref="B119:E119"/>
    <mergeCell ref="B121:E121"/>
    <mergeCell ref="B111:E111"/>
    <mergeCell ref="B112:E112"/>
    <mergeCell ref="B113:E113"/>
    <mergeCell ref="B114:E114"/>
    <mergeCell ref="B115:E115"/>
    <mergeCell ref="B116:E116"/>
    <mergeCell ref="B120:E120"/>
    <mergeCell ref="B102:E102"/>
    <mergeCell ref="B103:E103"/>
    <mergeCell ref="B104:E104"/>
    <mergeCell ref="B106:E106"/>
    <mergeCell ref="B107:E107"/>
    <mergeCell ref="B110:E110"/>
    <mergeCell ref="B81:E81"/>
    <mergeCell ref="B82:E82"/>
    <mergeCell ref="B83:E83"/>
    <mergeCell ref="B85:E85"/>
    <mergeCell ref="B100:E100"/>
    <mergeCell ref="B101:E101"/>
    <mergeCell ref="B88:E88"/>
    <mergeCell ref="B92:E92"/>
    <mergeCell ref="B93:E93"/>
    <mergeCell ref="B94:E94"/>
    <mergeCell ref="B95:E95"/>
    <mergeCell ref="B91:E91"/>
    <mergeCell ref="B90:E90"/>
    <mergeCell ref="B108:E108"/>
    <mergeCell ref="B109:E109"/>
    <mergeCell ref="B71:E71"/>
    <mergeCell ref="B72:E72"/>
    <mergeCell ref="B73:E73"/>
    <mergeCell ref="B78:E78"/>
    <mergeCell ref="B79:E79"/>
    <mergeCell ref="B80:E80"/>
    <mergeCell ref="B64:E64"/>
    <mergeCell ref="B65:E65"/>
    <mergeCell ref="B66:E66"/>
    <mergeCell ref="B68:E68"/>
    <mergeCell ref="B69:E69"/>
    <mergeCell ref="B70:E70"/>
    <mergeCell ref="B67:E67"/>
    <mergeCell ref="B74:E74"/>
    <mergeCell ref="B75:E75"/>
    <mergeCell ref="B76:E76"/>
    <mergeCell ref="B77:E77"/>
    <mergeCell ref="B57:E57"/>
    <mergeCell ref="B60:E60"/>
    <mergeCell ref="B61:E61"/>
    <mergeCell ref="B62:E62"/>
    <mergeCell ref="B63:E63"/>
    <mergeCell ref="B51:E51"/>
    <mergeCell ref="B52:E52"/>
    <mergeCell ref="B53:E53"/>
    <mergeCell ref="B54:E54"/>
    <mergeCell ref="B55:E55"/>
    <mergeCell ref="B56:E56"/>
    <mergeCell ref="B58:E58"/>
    <mergeCell ref="B59:E59"/>
    <mergeCell ref="B23:E23"/>
    <mergeCell ref="B25:E25"/>
    <mergeCell ref="B26:E26"/>
    <mergeCell ref="B44:E44"/>
    <mergeCell ref="B45:E45"/>
    <mergeCell ref="B46:E46"/>
    <mergeCell ref="B47:E47"/>
    <mergeCell ref="B48:E48"/>
    <mergeCell ref="B50:E50"/>
    <mergeCell ref="B34:E34"/>
    <mergeCell ref="B37:E37"/>
    <mergeCell ref="B38:E38"/>
    <mergeCell ref="B41:E41"/>
    <mergeCell ref="B42:E42"/>
    <mergeCell ref="B35:E35"/>
    <mergeCell ref="B36:E36"/>
    <mergeCell ref="B24:E24"/>
    <mergeCell ref="B31:E31"/>
    <mergeCell ref="B49:E49"/>
    <mergeCell ref="A1:G1"/>
    <mergeCell ref="A2:G2"/>
    <mergeCell ref="A4:G4"/>
    <mergeCell ref="F5:G5"/>
    <mergeCell ref="C6:D6"/>
    <mergeCell ref="F6:G6"/>
    <mergeCell ref="A3:G3"/>
    <mergeCell ref="A10:D10"/>
    <mergeCell ref="B89:E89"/>
    <mergeCell ref="B11:E11"/>
    <mergeCell ref="B14:E14"/>
    <mergeCell ref="B15:E15"/>
    <mergeCell ref="B16:E16"/>
    <mergeCell ref="B27:E27"/>
    <mergeCell ref="B28:E28"/>
    <mergeCell ref="B29:E29"/>
    <mergeCell ref="B30:E30"/>
    <mergeCell ref="B32:E32"/>
    <mergeCell ref="B17:E17"/>
    <mergeCell ref="B18:E18"/>
    <mergeCell ref="B33:E33"/>
    <mergeCell ref="B20:E20"/>
    <mergeCell ref="B21:E21"/>
    <mergeCell ref="B22:E22"/>
  </mergeCells>
  <hyperlinks>
    <hyperlink ref="A1:G1" location="Index!A1" display="Index!A1" xr:uid="{00000000-0004-0000-4C00-000000000000}"/>
  </hyperlinks>
  <printOptions headings="1" gridLines="1"/>
  <pageMargins left="0.5" right="0.5" top="0.5" bottom="0.5" header="0.5" footer="0.25"/>
  <pageSetup scale="59" fitToHeight="3" orientation="portrait" r:id="rId3"/>
  <headerFooter alignWithMargins="0">
    <oddFooter xml:space="preserve">&amp;L&amp;D &amp;T&amp;R&amp;A </oddFooter>
  </headerFooter>
  <rowBreaks count="4" manualBreakCount="4">
    <brk id="60" max="18" man="1"/>
    <brk id="133" max="18" man="1"/>
    <brk id="189" max="18" man="1"/>
    <brk id="258" max="18" man="1"/>
  </rowBreaks>
  <colBreaks count="2" manualBreakCount="2">
    <brk id="7" max="241" man="1"/>
    <brk id="13" max="241" man="1"/>
  </colBreaks>
  <legacyDrawing r:id="rId4"/>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3"/>
  <dimension ref="B1:W169"/>
  <sheetViews>
    <sheetView zoomScaleNormal="100" workbookViewId="0">
      <selection sqref="A1:XFD1"/>
    </sheetView>
  </sheetViews>
  <sheetFormatPr defaultColWidth="9.42578125" defaultRowHeight="12.75" x14ac:dyDescent="0.2"/>
  <cols>
    <col min="1" max="1" width="3.5703125" style="675" customWidth="1"/>
    <col min="2" max="2" width="9.42578125" style="675"/>
    <col min="3" max="3" width="5.5703125" style="675" customWidth="1"/>
    <col min="4" max="6" width="9.42578125" style="675"/>
    <col min="7" max="7" width="5.5703125" style="675" customWidth="1"/>
    <col min="8" max="8" width="1.5703125" style="675" customWidth="1"/>
    <col min="9" max="9" width="9.42578125" style="675"/>
    <col min="10" max="10" width="19.42578125" style="397" customWidth="1"/>
    <col min="11" max="12" width="4.5703125" style="675" customWidth="1"/>
    <col min="13" max="13" width="18.5703125" style="675" customWidth="1"/>
    <col min="14" max="15" width="9.42578125" style="675"/>
    <col min="16" max="16" width="15.5703125" style="2176" bestFit="1" customWidth="1"/>
    <col min="17" max="17" width="14.140625" bestFit="1" customWidth="1"/>
    <col min="18" max="18" width="11.42578125" customWidth="1"/>
    <col min="20" max="16384" width="9.42578125" style="675"/>
  </cols>
  <sheetData>
    <row r="1" spans="2:23" ht="25.15" customHeight="1" x14ac:dyDescent="0.25">
      <c r="B1" s="2449" t="str">
        <f>+Index!$A$1</f>
        <v xml:space="preserve">                                                               Office of the State Controller                                                                </v>
      </c>
      <c r="C1" s="2449"/>
      <c r="D1" s="2449"/>
      <c r="E1" s="2449"/>
      <c r="F1" s="2449"/>
      <c r="G1" s="2449"/>
      <c r="H1" s="2449"/>
      <c r="I1" s="2449"/>
      <c r="J1" s="2449"/>
      <c r="K1" s="2339" t="str">
        <f>IF(Index!$B$104="na","NA","")</f>
        <v/>
      </c>
      <c r="L1" s="674"/>
      <c r="M1" s="674"/>
      <c r="N1" s="674"/>
      <c r="O1" s="674"/>
      <c r="P1" s="2130"/>
      <c r="Q1" s="622"/>
      <c r="R1" s="2174" t="s">
        <v>5104</v>
      </c>
      <c r="S1" s="2174" t="s">
        <v>5122</v>
      </c>
      <c r="T1" s="674"/>
      <c r="U1" s="674"/>
      <c r="V1" s="674"/>
    </row>
    <row r="2" spans="2:23" ht="16.5" x14ac:dyDescent="0.3">
      <c r="B2" s="2431" t="str">
        <f>+Index!$A$2</f>
        <v>2022 ACFR Worksheets</v>
      </c>
      <c r="C2" s="2431"/>
      <c r="D2" s="2431"/>
      <c r="E2" s="2431"/>
      <c r="F2" s="2431"/>
      <c r="G2" s="2431"/>
      <c r="H2" s="2431"/>
      <c r="I2" s="2431"/>
      <c r="J2" s="2431"/>
      <c r="K2" s="2339"/>
      <c r="L2" s="676"/>
      <c r="M2" s="676"/>
      <c r="N2" s="676"/>
      <c r="O2" s="677"/>
      <c r="P2" s="2175"/>
      <c r="Q2" s="632"/>
      <c r="R2" s="2174" t="s">
        <v>5106</v>
      </c>
      <c r="S2" s="2174" t="s">
        <v>5123</v>
      </c>
      <c r="T2" s="677"/>
      <c r="U2" s="677"/>
      <c r="V2" s="677"/>
    </row>
    <row r="3" spans="2:23" ht="33" customHeight="1" x14ac:dyDescent="0.3">
      <c r="B3" s="2993" t="s">
        <v>1948</v>
      </c>
      <c r="C3" s="2993"/>
      <c r="D3" s="2993"/>
      <c r="E3" s="2993"/>
      <c r="F3" s="2993"/>
      <c r="G3" s="2993"/>
      <c r="H3" s="2993"/>
      <c r="I3" s="2993"/>
      <c r="J3" s="2993"/>
      <c r="K3" s="2339"/>
      <c r="L3" s="676"/>
      <c r="M3" s="676"/>
      <c r="N3" s="676"/>
      <c r="O3" s="677"/>
      <c r="P3" s="2175"/>
      <c r="Q3" s="632"/>
      <c r="R3" s="632"/>
      <c r="S3" s="632"/>
      <c r="T3" s="677"/>
      <c r="U3" s="677"/>
      <c r="V3" s="677"/>
    </row>
    <row r="4" spans="2:23" x14ac:dyDescent="0.2">
      <c r="B4" s="1295" t="s">
        <v>3689</v>
      </c>
      <c r="C4" s="1291"/>
      <c r="D4" s="1291"/>
      <c r="E4" s="1291"/>
      <c r="F4" s="1291"/>
      <c r="G4" s="1291"/>
      <c r="H4" s="1291"/>
      <c r="I4" s="1291"/>
      <c r="J4" s="1292"/>
    </row>
    <row r="5" spans="2:23" s="678" customFormat="1" ht="15" customHeight="1" x14ac:dyDescent="0.2">
      <c r="B5" s="200" t="s">
        <v>327</v>
      </c>
      <c r="C5" s="200"/>
      <c r="D5" s="636" t="s">
        <v>1093</v>
      </c>
      <c r="E5" s="635"/>
      <c r="F5" s="200" t="s">
        <v>972</v>
      </c>
      <c r="G5" s="200"/>
      <c r="H5" s="2977" t="str">
        <f>+CONCATENATE(Index!$E$12," ",Index!$E$14)</f>
        <v xml:space="preserve"> </v>
      </c>
      <c r="I5" s="2977"/>
      <c r="J5" s="2977"/>
      <c r="O5" s="679"/>
      <c r="P5" s="2177"/>
      <c r="Q5" s="200"/>
      <c r="R5" s="200"/>
      <c r="S5" s="200"/>
      <c r="W5" s="680"/>
    </row>
    <row r="6" spans="2:23" s="678" customFormat="1" ht="15" customHeight="1" x14ac:dyDescent="0.2">
      <c r="B6" s="200" t="s">
        <v>1154</v>
      </c>
      <c r="C6" s="200"/>
      <c r="D6" s="2992" t="s">
        <v>1938</v>
      </c>
      <c r="E6" s="2992"/>
      <c r="F6" s="2992"/>
      <c r="G6" s="2992"/>
      <c r="H6" s="200"/>
      <c r="I6" s="200"/>
      <c r="J6" s="200"/>
      <c r="O6" s="681"/>
      <c r="P6" s="2178"/>
      <c r="Q6" s="634"/>
      <c r="R6" s="634"/>
      <c r="S6" s="634"/>
      <c r="T6" s="681"/>
      <c r="U6" s="681"/>
      <c r="V6" s="682"/>
      <c r="W6" s="680"/>
    </row>
    <row r="7" spans="2:23" s="678" customFormat="1" ht="15" customHeight="1" x14ac:dyDescent="0.2">
      <c r="B7" s="200" t="s">
        <v>477</v>
      </c>
      <c r="D7" s="1066">
        <f>INDEX(NetAssetsData,MATCH('906-6B'!$D$5,NetAssetsDataRow,0),4)</f>
        <v>3324</v>
      </c>
      <c r="F7" s="813" t="s">
        <v>348</v>
      </c>
      <c r="G7" s="2986">
        <f>+Index!$E$13</f>
        <v>0</v>
      </c>
      <c r="H7" s="2986"/>
      <c r="I7" s="2986"/>
      <c r="J7" s="2986"/>
      <c r="P7" s="2177"/>
      <c r="Q7" s="200"/>
      <c r="R7" s="200"/>
      <c r="S7" s="200"/>
      <c r="W7" s="680"/>
    </row>
    <row r="8" spans="2:23" s="684" customFormat="1" ht="12" customHeight="1" x14ac:dyDescent="0.2">
      <c r="B8" s="2989" t="s">
        <v>1834</v>
      </c>
      <c r="C8" s="2990"/>
      <c r="D8" s="2990"/>
      <c r="E8" s="2990"/>
      <c r="F8" s="2990"/>
      <c r="G8" s="2990"/>
      <c r="H8" s="2990"/>
      <c r="I8" s="2990"/>
      <c r="J8" s="2991"/>
      <c r="P8" s="2179"/>
      <c r="Q8" s="38"/>
      <c r="R8" s="38"/>
      <c r="S8" s="38"/>
    </row>
    <row r="9" spans="2:23" x14ac:dyDescent="0.2">
      <c r="B9" s="726"/>
      <c r="C9" s="38"/>
      <c r="D9" s="38"/>
      <c r="E9" s="38"/>
      <c r="F9" s="38"/>
      <c r="G9" s="1254"/>
      <c r="H9" s="38"/>
      <c r="J9" s="2224" t="s">
        <v>1833</v>
      </c>
      <c r="M9" s="1229" t="s">
        <v>1819</v>
      </c>
    </row>
    <row r="10" spans="2:23" x14ac:dyDescent="0.2">
      <c r="B10" s="1298" t="s">
        <v>303</v>
      </c>
      <c r="C10" s="819"/>
      <c r="D10" s="819"/>
      <c r="E10"/>
      <c r="F10"/>
      <c r="G10"/>
      <c r="H10"/>
      <c r="I10"/>
      <c r="J10" s="1087" t="str">
        <f>TEXT(Data!$A$2,"mmmm d,yyyy")</f>
        <v>June 30,2022</v>
      </c>
      <c r="K10" s="687"/>
      <c r="L10" s="687"/>
      <c r="M10" s="1087" t="str">
        <f>TEXT(Data!$A$4,"mmmm d,yyyy")</f>
        <v>June 30,2021</v>
      </c>
      <c r="N10" s="687"/>
    </row>
    <row r="11" spans="2:23" x14ac:dyDescent="0.2">
      <c r="B11" s="2987" t="s">
        <v>630</v>
      </c>
      <c r="C11" s="2987"/>
      <c r="D11" s="2987"/>
      <c r="E11" s="2987"/>
      <c r="F11" s="2987"/>
      <c r="G11" s="2987"/>
      <c r="H11" s="2987"/>
      <c r="I11" s="2987"/>
      <c r="J11" s="396">
        <v>0</v>
      </c>
      <c r="K11" s="688"/>
      <c r="L11" s="688"/>
      <c r="M11" s="842">
        <f>HLOOKUP($D$5,PriorYr906!$J$9:$K$87,3,FALSE)</f>
        <v>0</v>
      </c>
      <c r="N11" s="688"/>
      <c r="P11" s="2180">
        <v>11111000</v>
      </c>
    </row>
    <row r="12" spans="2:23" x14ac:dyDescent="0.2">
      <c r="B12" s="567" t="s">
        <v>483</v>
      </c>
      <c r="C12" s="819"/>
      <c r="D12"/>
      <c r="E12"/>
      <c r="F12"/>
      <c r="G12"/>
      <c r="H12"/>
      <c r="I12"/>
      <c r="J12" s="689"/>
      <c r="K12" s="688"/>
      <c r="L12" s="688"/>
      <c r="M12" s="643"/>
      <c r="N12" s="690"/>
    </row>
    <row r="13" spans="2:23" x14ac:dyDescent="0.2">
      <c r="B13" s="2987" t="s">
        <v>1219</v>
      </c>
      <c r="C13" s="2987"/>
      <c r="D13" s="2987"/>
      <c r="E13" s="2987"/>
      <c r="F13" s="2987"/>
      <c r="G13" s="2987"/>
      <c r="H13" s="2987"/>
      <c r="I13" s="2987"/>
      <c r="J13" s="397">
        <v>0</v>
      </c>
      <c r="K13" s="688"/>
      <c r="L13" s="688"/>
      <c r="M13" s="393">
        <f>HLOOKUP($D$5,PriorYr906!$J$9:$K$87,5,FALSE)</f>
        <v>0</v>
      </c>
      <c r="N13" s="690"/>
      <c r="P13" s="2180">
        <v>11210100</v>
      </c>
    </row>
    <row r="14" spans="2:23" x14ac:dyDescent="0.2">
      <c r="B14" s="2987" t="s">
        <v>1217</v>
      </c>
      <c r="C14" s="2987"/>
      <c r="D14" s="2987"/>
      <c r="E14" s="2987"/>
      <c r="F14" s="2987"/>
      <c r="G14" s="2987"/>
      <c r="H14" s="2987"/>
      <c r="I14" s="2987"/>
      <c r="J14" s="397">
        <v>0</v>
      </c>
      <c r="K14" s="688"/>
      <c r="L14" s="688"/>
      <c r="M14" s="393">
        <f>HLOOKUP($D$5,PriorYr906!$J$9:$K$87,6,FALSE)</f>
        <v>0</v>
      </c>
      <c r="N14" s="690"/>
      <c r="R14" s="272" t="s">
        <v>5124</v>
      </c>
    </row>
    <row r="15" spans="2:23" x14ac:dyDescent="0.2">
      <c r="B15" s="2987" t="s">
        <v>1218</v>
      </c>
      <c r="C15" s="2987"/>
      <c r="D15" s="2987"/>
      <c r="E15" s="2987"/>
      <c r="F15" s="2987"/>
      <c r="G15" s="2987"/>
      <c r="H15" s="2987"/>
      <c r="I15" s="2987"/>
      <c r="J15" s="397">
        <v>0</v>
      </c>
      <c r="K15" s="688"/>
      <c r="L15" s="688"/>
      <c r="M15" s="393">
        <f>HLOOKUP($D$5,PriorYr906!$J$9:$K$87,7,FALSE)</f>
        <v>0</v>
      </c>
      <c r="N15" s="690"/>
      <c r="P15" s="2176">
        <v>11212400</v>
      </c>
      <c r="R15" s="272"/>
    </row>
    <row r="16" spans="2:23" x14ac:dyDescent="0.2">
      <c r="B16" s="2987" t="s">
        <v>1220</v>
      </c>
      <c r="C16" s="2987"/>
      <c r="D16" s="2987"/>
      <c r="E16" s="2987"/>
      <c r="F16" s="2987"/>
      <c r="G16" s="2987"/>
      <c r="H16" s="2987"/>
      <c r="I16" s="2987"/>
      <c r="J16" s="397">
        <v>0</v>
      </c>
      <c r="K16" s="688"/>
      <c r="L16" s="688"/>
      <c r="M16" s="393">
        <f>HLOOKUP($D$5,PriorYr906!$J$9:$K$87,8,FALSE)</f>
        <v>0</v>
      </c>
      <c r="N16" s="690"/>
      <c r="P16" s="2180">
        <v>11211100</v>
      </c>
    </row>
    <row r="17" spans="2:18" x14ac:dyDescent="0.2">
      <c r="B17" s="2987" t="s">
        <v>1215</v>
      </c>
      <c r="C17" s="2987"/>
      <c r="D17" s="2987"/>
      <c r="E17" s="2987"/>
      <c r="F17" s="2987"/>
      <c r="G17" s="2987"/>
      <c r="H17" s="2987"/>
      <c r="I17" s="2987"/>
      <c r="J17" s="397">
        <v>0</v>
      </c>
      <c r="K17" s="688"/>
      <c r="L17" s="688"/>
      <c r="M17" s="393">
        <f>HLOOKUP($D$5,PriorYr906!$J$9:$K$87,9,FALSE)</f>
        <v>0</v>
      </c>
      <c r="N17" s="690"/>
      <c r="R17" s="272" t="s">
        <v>5124</v>
      </c>
    </row>
    <row r="18" spans="2:18" x14ac:dyDescent="0.2">
      <c r="B18" s="2987" t="s">
        <v>1566</v>
      </c>
      <c r="C18" s="2987"/>
      <c r="D18" s="2987"/>
      <c r="E18" s="2987"/>
      <c r="F18" s="2987"/>
      <c r="G18" s="2987"/>
      <c r="H18" s="2987"/>
      <c r="I18" s="2987"/>
      <c r="J18" s="397">
        <v>0</v>
      </c>
      <c r="K18" s="688"/>
      <c r="L18" s="688"/>
      <c r="M18" s="393">
        <f>HLOOKUP($D$5,PriorYr906!$J$9:$K$87,10,FALSE)</f>
        <v>0</v>
      </c>
      <c r="N18" s="690"/>
      <c r="R18" s="272" t="s">
        <v>5124</v>
      </c>
    </row>
    <row r="19" spans="2:18" x14ac:dyDescent="0.2">
      <c r="B19" s="2987" t="s">
        <v>1216</v>
      </c>
      <c r="C19" s="2987"/>
      <c r="D19" s="2987"/>
      <c r="E19" s="2987"/>
      <c r="F19" s="2987"/>
      <c r="G19" s="2987"/>
      <c r="H19" s="2987"/>
      <c r="I19" s="2987"/>
      <c r="J19" s="397">
        <v>0</v>
      </c>
      <c r="K19" s="688"/>
      <c r="L19" s="688"/>
      <c r="M19" s="393">
        <f>HLOOKUP($D$5,PriorYr906!$J$9:$K$87,11,FALSE)</f>
        <v>0</v>
      </c>
      <c r="N19" s="690"/>
      <c r="P19" s="2180">
        <v>11210500</v>
      </c>
    </row>
    <row r="20" spans="2:18" x14ac:dyDescent="0.2">
      <c r="B20" s="2987" t="s">
        <v>492</v>
      </c>
      <c r="C20" s="2987"/>
      <c r="D20" s="2987"/>
      <c r="E20" s="2987"/>
      <c r="F20" s="2987"/>
      <c r="G20" s="2987"/>
      <c r="H20" s="2987"/>
      <c r="I20" s="2987"/>
      <c r="J20" s="397">
        <v>0</v>
      </c>
      <c r="K20" s="688"/>
      <c r="L20" s="688"/>
      <c r="M20" s="393">
        <f>HLOOKUP($D$5,PriorYr906!$J$9:$K$87,12,FALSE)</f>
        <v>0</v>
      </c>
      <c r="N20" s="690"/>
      <c r="P20" s="2180">
        <v>11210600</v>
      </c>
    </row>
    <row r="21" spans="2:18" x14ac:dyDescent="0.2">
      <c r="B21" s="2987" t="s">
        <v>487</v>
      </c>
      <c r="C21" s="2987"/>
      <c r="D21" s="2987"/>
      <c r="E21" s="2987"/>
      <c r="F21" s="2987"/>
      <c r="G21" s="2987"/>
      <c r="H21" s="2987"/>
      <c r="I21" s="2987"/>
      <c r="J21" s="397">
        <v>0</v>
      </c>
      <c r="K21" s="688"/>
      <c r="L21" s="688"/>
      <c r="M21" s="393">
        <f>HLOOKUP($D$5,PriorYr906!$J$9:$K$87,13,FALSE)</f>
        <v>0</v>
      </c>
      <c r="N21" s="690"/>
      <c r="P21" s="2176">
        <v>11210800</v>
      </c>
    </row>
    <row r="22" spans="2:18" x14ac:dyDescent="0.2">
      <c r="B22" s="2987" t="s">
        <v>491</v>
      </c>
      <c r="C22" s="2987"/>
      <c r="D22" s="2987"/>
      <c r="E22" s="2987"/>
      <c r="F22" s="2987"/>
      <c r="G22" s="2987"/>
      <c r="H22" s="2987"/>
      <c r="I22" s="2987"/>
      <c r="J22" s="397">
        <v>0</v>
      </c>
      <c r="K22" s="688"/>
      <c r="L22" s="688"/>
      <c r="M22" s="393">
        <f>HLOOKUP($D$5,PriorYr906!$J$9:$K$87,14,FALSE)</f>
        <v>0</v>
      </c>
      <c r="N22" s="690"/>
      <c r="P22" s="2176">
        <v>11211000</v>
      </c>
    </row>
    <row r="23" spans="2:18" x14ac:dyDescent="0.2">
      <c r="B23" s="2987" t="s">
        <v>495</v>
      </c>
      <c r="C23" s="2987"/>
      <c r="D23" s="2987"/>
      <c r="E23" s="2987"/>
      <c r="F23" s="2987"/>
      <c r="G23" s="2987"/>
      <c r="H23" s="2987"/>
      <c r="I23" s="2987"/>
      <c r="J23" s="397">
        <v>0</v>
      </c>
      <c r="K23" s="688"/>
      <c r="L23" s="688"/>
      <c r="M23" s="393">
        <f>HLOOKUP($D$5,PriorYr906!$J$9:$K$87,15,FALSE)</f>
        <v>0</v>
      </c>
      <c r="N23" s="690"/>
      <c r="P23" s="2176">
        <v>11211300</v>
      </c>
    </row>
    <row r="24" spans="2:18" x14ac:dyDescent="0.2">
      <c r="B24" s="2988" t="s">
        <v>1850</v>
      </c>
      <c r="C24" s="2987"/>
      <c r="D24" s="2987"/>
      <c r="E24" s="2987"/>
      <c r="F24" s="2987"/>
      <c r="G24" s="2987"/>
      <c r="H24" s="2987"/>
      <c r="I24" s="2987"/>
      <c r="J24" s="397">
        <v>0</v>
      </c>
      <c r="K24" s="688"/>
      <c r="L24" s="688"/>
      <c r="M24" s="393">
        <f>HLOOKUP($D$5,PriorYr906!$J$9:$K$87,16,FALSE)</f>
        <v>7988892.4299999997</v>
      </c>
      <c r="N24" s="690"/>
      <c r="P24" s="2176" t="s">
        <v>5125</v>
      </c>
    </row>
    <row r="25" spans="2:18" x14ac:dyDescent="0.2">
      <c r="B25" s="2987" t="s">
        <v>1681</v>
      </c>
      <c r="C25" s="2987"/>
      <c r="D25" s="2987"/>
      <c r="E25" s="2987"/>
      <c r="F25" s="2987"/>
      <c r="G25" s="2987"/>
      <c r="H25" s="2987"/>
      <c r="I25" s="2987"/>
      <c r="J25" s="397">
        <v>0</v>
      </c>
      <c r="K25" s="688"/>
      <c r="L25" s="688"/>
      <c r="M25" s="393">
        <f>HLOOKUP($D$5,PriorYr906!$J$9:$K$87,17,FALSE)</f>
        <v>0</v>
      </c>
      <c r="N25" s="690"/>
      <c r="R25" s="272" t="s">
        <v>5124</v>
      </c>
    </row>
    <row r="26" spans="2:18" x14ac:dyDescent="0.2">
      <c r="B26" s="2987" t="s">
        <v>1691</v>
      </c>
      <c r="C26" s="2987"/>
      <c r="D26" s="2987"/>
      <c r="E26" s="2987"/>
      <c r="F26" s="2987"/>
      <c r="G26" s="2987"/>
      <c r="H26" s="2987"/>
      <c r="I26" s="2987"/>
      <c r="J26" s="397">
        <v>0</v>
      </c>
      <c r="K26" s="688"/>
      <c r="L26" s="688"/>
      <c r="M26" s="393">
        <f>HLOOKUP($D$5,PriorYr906!$J$9:$K$87,18,FALSE)</f>
        <v>40639376.659999996</v>
      </c>
      <c r="N26" s="690"/>
      <c r="P26" s="2176" t="s">
        <v>5126</v>
      </c>
    </row>
    <row r="27" spans="2:18" x14ac:dyDescent="0.2">
      <c r="B27" s="2987" t="s">
        <v>1692</v>
      </c>
      <c r="C27" s="2987"/>
      <c r="D27" s="2987"/>
      <c r="E27" s="2987"/>
      <c r="F27" s="2987"/>
      <c r="G27" s="2987"/>
      <c r="H27" s="2987"/>
      <c r="I27" s="2987"/>
      <c r="J27" s="397">
        <v>0</v>
      </c>
      <c r="K27" s="688"/>
      <c r="L27" s="688"/>
      <c r="M27" s="393">
        <f>HLOOKUP($D$5,PriorYr906!$J$9:$K$87,19,FALSE)</f>
        <v>343463706.67000002</v>
      </c>
      <c r="N27" s="690"/>
      <c r="P27" s="2176" t="s">
        <v>5127</v>
      </c>
    </row>
    <row r="28" spans="2:18" x14ac:dyDescent="0.2">
      <c r="B28" s="2987" t="s">
        <v>1401</v>
      </c>
      <c r="C28" s="2987"/>
      <c r="D28" s="2987"/>
      <c r="E28" s="2987"/>
      <c r="F28" s="2987"/>
      <c r="G28" s="2987"/>
      <c r="H28" s="2987"/>
      <c r="I28" s="2987"/>
      <c r="J28" s="397">
        <v>0</v>
      </c>
      <c r="K28" s="688"/>
      <c r="L28" s="688"/>
      <c r="M28" s="393">
        <f>HLOOKUP($D$5,PriorYr906!$J$9:$K$87,20,FALSE)</f>
        <v>1381533393.1400001</v>
      </c>
      <c r="N28" s="690"/>
      <c r="P28" s="2176">
        <v>11212300</v>
      </c>
    </row>
    <row r="29" spans="2:18" x14ac:dyDescent="0.2">
      <c r="B29" s="2987" t="s">
        <v>1403</v>
      </c>
      <c r="C29" s="2987"/>
      <c r="D29" s="2987"/>
      <c r="E29" s="2987"/>
      <c r="F29" s="2987"/>
      <c r="G29" s="2987"/>
      <c r="H29" s="2987"/>
      <c r="I29" s="2987"/>
      <c r="J29" s="397">
        <v>0</v>
      </c>
      <c r="K29" s="688"/>
      <c r="L29" s="688"/>
      <c r="M29" s="393">
        <f>HLOOKUP($D$5,PriorYr906!$J$9:$K$87,21,FALSE)</f>
        <v>0</v>
      </c>
      <c r="N29" s="690"/>
      <c r="P29" s="2176">
        <v>11230000</v>
      </c>
    </row>
    <row r="30" spans="2:18" x14ac:dyDescent="0.2">
      <c r="B30" s="819" t="s">
        <v>198</v>
      </c>
      <c r="C30" s="819"/>
      <c r="D30"/>
      <c r="E30"/>
      <c r="F30"/>
      <c r="G30"/>
      <c r="H30"/>
      <c r="I30"/>
      <c r="K30" s="688"/>
      <c r="L30" s="688"/>
      <c r="M30" s="393">
        <f>HLOOKUP($D$5,PriorYr906!$J$9:$K$87,22,FALSE)</f>
        <v>0</v>
      </c>
      <c r="N30" s="690"/>
    </row>
    <row r="31" spans="2:18" x14ac:dyDescent="0.2">
      <c r="B31" s="2987" t="s">
        <v>829</v>
      </c>
      <c r="C31" s="2987"/>
      <c r="D31" s="2987"/>
      <c r="E31" s="2987"/>
      <c r="F31" s="2987"/>
      <c r="G31" s="2987"/>
      <c r="H31" s="2987"/>
      <c r="I31" s="2987"/>
      <c r="J31" s="397">
        <v>0</v>
      </c>
      <c r="K31" s="688"/>
      <c r="L31" s="688"/>
      <c r="M31" s="393">
        <f>HLOOKUP($D$5,PriorYr906!$J$9:$K$87,23,FALSE)</f>
        <v>86.19</v>
      </c>
      <c r="N31" s="690"/>
      <c r="P31" s="2176">
        <v>11320000</v>
      </c>
    </row>
    <row r="32" spans="2:18" x14ac:dyDescent="0.2">
      <c r="B32" s="2987" t="s">
        <v>830</v>
      </c>
      <c r="C32" s="2987"/>
      <c r="D32" s="2987"/>
      <c r="E32" s="2987"/>
      <c r="F32" s="2987"/>
      <c r="G32" s="2987"/>
      <c r="H32" s="2987"/>
      <c r="I32" s="2987"/>
      <c r="J32" s="397">
        <v>0</v>
      </c>
      <c r="K32" s="688"/>
      <c r="L32" s="688"/>
      <c r="M32" s="393">
        <f>HLOOKUP($D$5,PriorYr906!$J$9:$K$87,24,FALSE)</f>
        <v>0</v>
      </c>
      <c r="N32" s="690"/>
      <c r="P32" s="2176">
        <v>11352000</v>
      </c>
    </row>
    <row r="33" spans="2:18" x14ac:dyDescent="0.2">
      <c r="B33" s="2987" t="s">
        <v>831</v>
      </c>
      <c r="C33" s="2987"/>
      <c r="D33" s="2987"/>
      <c r="E33" s="2987"/>
      <c r="F33" s="2987"/>
      <c r="G33" s="2987"/>
      <c r="H33" s="2987"/>
      <c r="I33" s="2987"/>
      <c r="J33" s="397">
        <v>0</v>
      </c>
      <c r="K33" s="688"/>
      <c r="L33" s="688"/>
      <c r="M33" s="393">
        <f>HLOOKUP($D$5,PriorYr906!$J$9:$K$87,25,FALSE)</f>
        <v>1061351.3999999999</v>
      </c>
      <c r="N33" s="690"/>
      <c r="P33" s="2176">
        <v>11370000</v>
      </c>
    </row>
    <row r="34" spans="2:18" x14ac:dyDescent="0.2">
      <c r="B34" s="2987" t="s">
        <v>549</v>
      </c>
      <c r="C34" s="2987"/>
      <c r="D34" s="2987"/>
      <c r="E34" s="2987"/>
      <c r="F34" s="2987"/>
      <c r="G34" s="2987"/>
      <c r="H34" s="2987"/>
      <c r="I34" s="2987"/>
      <c r="J34" s="397">
        <v>0</v>
      </c>
      <c r="K34" s="688"/>
      <c r="L34" s="688"/>
      <c r="M34" s="393">
        <f>HLOOKUP($D$5,PriorYr906!$J$9:$K$87,26,FALSE)</f>
        <v>21588810.329999998</v>
      </c>
      <c r="N34" s="690"/>
      <c r="P34" s="2176">
        <v>11510000</v>
      </c>
    </row>
    <row r="35" spans="2:18" x14ac:dyDescent="0.2">
      <c r="B35" s="2987" t="s">
        <v>931</v>
      </c>
      <c r="C35" s="2987"/>
      <c r="D35" s="2987"/>
      <c r="E35" s="2987"/>
      <c r="F35" s="2987"/>
      <c r="G35" s="2987"/>
      <c r="H35" s="2987"/>
      <c r="I35" s="2987"/>
      <c r="J35" s="397">
        <v>0</v>
      </c>
      <c r="K35" s="688"/>
      <c r="L35" s="688"/>
      <c r="M35" s="393">
        <f>HLOOKUP($D$5,PriorYr906!$J$9:$K$87,27,FALSE)</f>
        <v>0</v>
      </c>
      <c r="N35" s="690"/>
      <c r="P35" s="2176">
        <v>11699000</v>
      </c>
    </row>
    <row r="36" spans="2:18" x14ac:dyDescent="0.2">
      <c r="B36" s="2987" t="s">
        <v>1095</v>
      </c>
      <c r="C36" s="2987"/>
      <c r="D36" s="2987"/>
      <c r="E36" s="2987"/>
      <c r="F36" s="2987"/>
      <c r="G36" s="2987"/>
      <c r="H36" s="2987"/>
      <c r="I36" s="2987"/>
      <c r="J36" s="397">
        <v>0</v>
      </c>
      <c r="K36" s="688"/>
      <c r="L36" s="688"/>
      <c r="M36" s="393">
        <f>HLOOKUP($D$5,PriorYr906!$J$9:$K$87,28,FALSE)</f>
        <v>0</v>
      </c>
      <c r="N36" s="690"/>
      <c r="P36" s="2176">
        <v>11930000</v>
      </c>
      <c r="R36" s="272"/>
    </row>
    <row r="37" spans="2:18" x14ac:dyDescent="0.2">
      <c r="B37" s="2987" t="s">
        <v>484</v>
      </c>
      <c r="C37" s="2987"/>
      <c r="D37" s="2987"/>
      <c r="E37" s="2987"/>
      <c r="F37" s="2987"/>
      <c r="G37" s="2987"/>
      <c r="H37" s="2987"/>
      <c r="I37" s="2987"/>
      <c r="J37" s="397">
        <v>0</v>
      </c>
      <c r="K37" s="688"/>
      <c r="L37" s="688"/>
      <c r="M37" s="393">
        <f>HLOOKUP($D$5,PriorYr906!$J$9:$K$87,29,FALSE)</f>
        <v>0</v>
      </c>
      <c r="N37" s="690"/>
      <c r="P37" s="2176">
        <v>12700000</v>
      </c>
    </row>
    <row r="38" spans="2:18" x14ac:dyDescent="0.2">
      <c r="B38" s="2987" t="s">
        <v>485</v>
      </c>
      <c r="C38" s="2987"/>
      <c r="D38" s="2987"/>
      <c r="E38" s="2987"/>
      <c r="F38" s="2987"/>
      <c r="G38" s="2987"/>
      <c r="H38" s="2987"/>
      <c r="I38" s="2987"/>
      <c r="J38" s="644">
        <v>0</v>
      </c>
      <c r="K38" s="688"/>
      <c r="L38" s="688"/>
      <c r="M38" s="393">
        <f>HLOOKUP($D$5,PriorYr906!$J$9:$K$87,30,FALSE)</f>
        <v>0</v>
      </c>
      <c r="N38" s="690"/>
      <c r="P38" s="2176">
        <v>12710000</v>
      </c>
    </row>
    <row r="39" spans="2:18" x14ac:dyDescent="0.2">
      <c r="B39" s="2987" t="s">
        <v>272</v>
      </c>
      <c r="C39" s="2987"/>
      <c r="D39" s="2987"/>
      <c r="E39" s="2987"/>
      <c r="F39" s="2987"/>
      <c r="G39" s="2987"/>
      <c r="H39" s="2987"/>
      <c r="I39" s="2987"/>
      <c r="J39" s="706">
        <f>SUM(J10:J38)</f>
        <v>0</v>
      </c>
      <c r="K39" s="688"/>
      <c r="L39" s="688"/>
      <c r="M39" s="706">
        <f>SUM(M10:M38)</f>
        <v>1796275616.8199999</v>
      </c>
      <c r="N39" s="690"/>
    </row>
    <row r="40" spans="2:18" x14ac:dyDescent="0.2">
      <c r="B40" s="1300"/>
      <c r="C40" s="819"/>
      <c r="D40"/>
      <c r="E40"/>
      <c r="F40"/>
      <c r="G40"/>
      <c r="H40"/>
      <c r="I40"/>
      <c r="J40" s="695"/>
      <c r="K40" s="688"/>
      <c r="L40" s="688"/>
      <c r="M40" s="643"/>
      <c r="N40" s="690"/>
    </row>
    <row r="41" spans="2:18" x14ac:dyDescent="0.2">
      <c r="B41" s="1298" t="s">
        <v>486</v>
      </c>
      <c r="C41" s="819"/>
      <c r="D41"/>
      <c r="E41"/>
      <c r="F41"/>
      <c r="G41"/>
      <c r="H41"/>
      <c r="I41"/>
      <c r="J41" s="695"/>
      <c r="K41" s="688"/>
      <c r="L41" s="688"/>
      <c r="M41" s="643"/>
      <c r="N41" s="690"/>
    </row>
    <row r="42" spans="2:18" x14ac:dyDescent="0.2">
      <c r="B42" s="1301" t="s">
        <v>275</v>
      </c>
      <c r="C42" s="819"/>
      <c r="D42"/>
      <c r="E42"/>
      <c r="F42"/>
      <c r="G42"/>
      <c r="H42"/>
      <c r="I42"/>
      <c r="J42" s="695"/>
      <c r="K42" s="688"/>
      <c r="L42" s="688"/>
      <c r="M42" s="643"/>
      <c r="N42" s="690"/>
    </row>
    <row r="43" spans="2:18" x14ac:dyDescent="0.2">
      <c r="B43" s="2994" t="s">
        <v>1060</v>
      </c>
      <c r="C43" s="2994"/>
      <c r="D43" s="2994"/>
      <c r="E43" s="2994"/>
      <c r="F43" s="2994"/>
      <c r="G43" s="2994"/>
      <c r="H43" s="2994"/>
      <c r="I43" s="2994"/>
      <c r="J43" s="397">
        <v>0</v>
      </c>
      <c r="K43" s="688"/>
      <c r="L43" s="688"/>
      <c r="M43" s="393">
        <f>HLOOKUP($D$5,PriorYr906!$J$9:$K$87,35,FALSE)</f>
        <v>248343.51</v>
      </c>
      <c r="N43" s="690"/>
      <c r="P43" s="2180">
        <v>21110000</v>
      </c>
    </row>
    <row r="44" spans="2:18" x14ac:dyDescent="0.2">
      <c r="B44" s="2994" t="s">
        <v>816</v>
      </c>
      <c r="C44" s="2994"/>
      <c r="D44" s="2994"/>
      <c r="E44" s="2994"/>
      <c r="F44" s="2994"/>
      <c r="G44" s="2994"/>
      <c r="H44" s="2994"/>
      <c r="I44" s="2994"/>
      <c r="J44" s="397">
        <v>0</v>
      </c>
      <c r="K44" s="688"/>
      <c r="L44" s="688"/>
      <c r="M44" s="393">
        <f>HLOOKUP($D$5,PriorYr906!$J$9:$K$87,36,FALSE)</f>
        <v>0</v>
      </c>
      <c r="N44" s="690"/>
      <c r="P44" s="2180">
        <v>21131000</v>
      </c>
    </row>
    <row r="45" spans="2:18" x14ac:dyDescent="0.2">
      <c r="B45" s="2994" t="s">
        <v>1078</v>
      </c>
      <c r="C45" s="2994"/>
      <c r="D45" s="2994"/>
      <c r="E45" s="2994"/>
      <c r="F45" s="2994"/>
      <c r="G45" s="2994"/>
      <c r="H45" s="2994"/>
      <c r="I45" s="2994"/>
      <c r="J45" s="397">
        <v>0</v>
      </c>
      <c r="K45" s="688"/>
      <c r="L45" s="688"/>
      <c r="M45" s="393">
        <f>HLOOKUP($D$5,PriorYr906!$J$9:$K$87,37,FALSE)</f>
        <v>0</v>
      </c>
      <c r="N45" s="690"/>
      <c r="P45" s="2180">
        <v>21511000</v>
      </c>
    </row>
    <row r="46" spans="2:18" x14ac:dyDescent="0.2">
      <c r="B46" s="2997" t="s">
        <v>1402</v>
      </c>
      <c r="C46" s="2997"/>
      <c r="D46" s="2997"/>
      <c r="E46" s="2997"/>
      <c r="F46" s="2997"/>
      <c r="G46" s="2997"/>
      <c r="H46" s="2997"/>
      <c r="I46" s="2997"/>
      <c r="J46" s="397">
        <v>0</v>
      </c>
      <c r="K46" s="688"/>
      <c r="L46" s="688"/>
      <c r="M46" s="393">
        <f>HLOOKUP($D$5,PriorYr906!$J$9:$K$87,38,FALSE)</f>
        <v>0</v>
      </c>
      <c r="N46" s="690"/>
      <c r="P46" s="2180">
        <v>21315000</v>
      </c>
    </row>
    <row r="47" spans="2:18" x14ac:dyDescent="0.2">
      <c r="B47" s="2997" t="s">
        <v>569</v>
      </c>
      <c r="C47" s="2997"/>
      <c r="D47" s="2997"/>
      <c r="E47" s="2997"/>
      <c r="F47" s="2997"/>
      <c r="G47" s="2997"/>
      <c r="H47" s="2997"/>
      <c r="I47" s="2997"/>
      <c r="J47" s="397">
        <v>0</v>
      </c>
      <c r="K47" s="688"/>
      <c r="L47" s="688"/>
      <c r="M47" s="393">
        <f>HLOOKUP($D$5,PriorYr906!$J$9:$K$87,39,FALSE)</f>
        <v>0</v>
      </c>
      <c r="N47" s="690"/>
      <c r="P47" s="2180">
        <v>21811000</v>
      </c>
    </row>
    <row r="48" spans="2:18" x14ac:dyDescent="0.2">
      <c r="B48" s="2997" t="s">
        <v>739</v>
      </c>
      <c r="C48" s="2997"/>
      <c r="D48" s="2997"/>
      <c r="E48" s="2997"/>
      <c r="F48" s="2997"/>
      <c r="G48" s="2997"/>
      <c r="H48" s="2997"/>
      <c r="I48" s="2997"/>
      <c r="J48" s="397">
        <v>0</v>
      </c>
      <c r="K48" s="688"/>
      <c r="L48" s="688"/>
      <c r="M48" s="393">
        <f>HLOOKUP($D$5,PriorYr906!$J$9:$K$87,40,FALSE)</f>
        <v>0</v>
      </c>
      <c r="N48" s="690"/>
      <c r="P48" s="2180">
        <v>21712000</v>
      </c>
    </row>
    <row r="49" spans="2:17" x14ac:dyDescent="0.2">
      <c r="B49" s="2987" t="s">
        <v>701</v>
      </c>
      <c r="C49" s="2987"/>
      <c r="D49" s="2987"/>
      <c r="E49" s="2987"/>
      <c r="F49" s="2987"/>
      <c r="G49" s="2987"/>
      <c r="H49" s="2987"/>
      <c r="I49" s="2987"/>
      <c r="J49" s="397">
        <v>0</v>
      </c>
      <c r="K49" s="688"/>
      <c r="L49" s="688"/>
      <c r="M49" s="393">
        <f>HLOOKUP($D$5,PriorYr906!$J$9:$K$87,41,FALSE)</f>
        <v>0</v>
      </c>
      <c r="N49" s="690"/>
      <c r="P49" s="2180">
        <v>21719000</v>
      </c>
    </row>
    <row r="50" spans="2:17" x14ac:dyDescent="0.2">
      <c r="B50" s="2997" t="s">
        <v>80</v>
      </c>
      <c r="C50" s="2997"/>
      <c r="D50" s="2997"/>
      <c r="E50" s="2997"/>
      <c r="F50" s="2997"/>
      <c r="G50" s="2997"/>
      <c r="H50" s="2997"/>
      <c r="I50" s="2997"/>
      <c r="J50" s="644">
        <v>0</v>
      </c>
      <c r="K50" s="688"/>
      <c r="L50" s="688"/>
      <c r="M50" s="393">
        <f>HLOOKUP($D$5,PriorYr906!$J$9:$K$87,42,FALSE)</f>
        <v>0</v>
      </c>
      <c r="N50" s="690"/>
      <c r="P50" s="2180">
        <v>21192000</v>
      </c>
    </row>
    <row r="51" spans="2:17" x14ac:dyDescent="0.2">
      <c r="B51" s="2987" t="s">
        <v>791</v>
      </c>
      <c r="C51" s="2987"/>
      <c r="D51" s="2987"/>
      <c r="E51" s="2987"/>
      <c r="F51" s="2987"/>
      <c r="G51" s="2987"/>
      <c r="H51" s="2987"/>
      <c r="I51" s="2987"/>
      <c r="J51" s="706">
        <f>SUM(J42:J50)</f>
        <v>0</v>
      </c>
      <c r="K51" s="688"/>
      <c r="L51" s="688"/>
      <c r="M51" s="706">
        <f>SUM(M42:M50)</f>
        <v>248343.51</v>
      </c>
      <c r="N51" s="690"/>
      <c r="P51" s="2180"/>
    </row>
    <row r="52" spans="2:17" x14ac:dyDescent="0.2">
      <c r="B52" s="1302"/>
      <c r="C52" s="1302"/>
      <c r="D52"/>
      <c r="E52"/>
      <c r="F52"/>
      <c r="G52"/>
      <c r="H52"/>
      <c r="I52"/>
      <c r="J52" s="698"/>
      <c r="K52" s="688"/>
      <c r="L52" s="688"/>
      <c r="M52" s="399"/>
      <c r="N52" s="690"/>
      <c r="P52" s="2180"/>
    </row>
    <row r="53" spans="2:17" x14ac:dyDescent="0.2">
      <c r="B53" s="1434" t="s">
        <v>1888</v>
      </c>
      <c r="C53"/>
      <c r="D53"/>
      <c r="E53"/>
      <c r="F53"/>
      <c r="G53"/>
      <c r="H53"/>
      <c r="I53"/>
      <c r="K53" s="688"/>
      <c r="L53" s="688"/>
      <c r="M53" s="399"/>
      <c r="N53" s="690"/>
      <c r="P53" s="2180"/>
    </row>
    <row r="54" spans="2:17" x14ac:dyDescent="0.2">
      <c r="B54" s="3002" t="s">
        <v>792</v>
      </c>
      <c r="C54" s="3003"/>
      <c r="D54" s="3003"/>
      <c r="E54" s="3003"/>
      <c r="F54" s="3003"/>
      <c r="G54" s="3003"/>
      <c r="H54" s="3003"/>
      <c r="I54" s="3003"/>
      <c r="K54" s="688"/>
      <c r="L54" s="688"/>
      <c r="M54" s="399"/>
      <c r="N54" s="690"/>
      <c r="P54" s="2180"/>
    </row>
    <row r="55" spans="2:17" x14ac:dyDescent="0.2">
      <c r="B55" s="2999" t="s">
        <v>3839</v>
      </c>
      <c r="C55" s="2997"/>
      <c r="D55" s="2997"/>
      <c r="E55" s="2997"/>
      <c r="F55" s="2997"/>
      <c r="G55" s="2997"/>
      <c r="H55" s="2997"/>
      <c r="I55" s="2997"/>
      <c r="J55" s="397">
        <v>0</v>
      </c>
      <c r="K55" s="688"/>
      <c r="L55" s="688"/>
      <c r="M55" s="393">
        <f>HLOOKUP($D$5,PriorYr906!$J$9:$K$87,47,FALSE)</f>
        <v>1796027273.3099999</v>
      </c>
      <c r="N55" s="690"/>
      <c r="P55" s="2180" t="s">
        <v>5128</v>
      </c>
      <c r="Q55" s="2128"/>
    </row>
    <row r="56" spans="2:17" ht="13.5" thickBot="1" x14ac:dyDescent="0.25">
      <c r="B56" s="2995" t="s">
        <v>1889</v>
      </c>
      <c r="C56" s="2996"/>
      <c r="D56" s="2996"/>
      <c r="E56" s="2996"/>
      <c r="F56" s="2996"/>
      <c r="G56" s="2996"/>
      <c r="H56" s="2996"/>
      <c r="I56" s="2996"/>
      <c r="J56" s="707">
        <f>SUM(J54:J55)</f>
        <v>0</v>
      </c>
      <c r="K56" s="688"/>
      <c r="L56" s="688"/>
      <c r="M56" s="707">
        <f>SUM(M54:M55)</f>
        <v>1796027273.3099999</v>
      </c>
      <c r="N56" s="690"/>
      <c r="P56" s="2180"/>
    </row>
    <row r="57" spans="2:17" ht="13.5" thickTop="1" x14ac:dyDescent="0.2">
      <c r="B57" s="1303"/>
      <c r="C57" s="1303"/>
      <c r="D57" s="1303"/>
      <c r="E57" s="1303"/>
      <c r="F57" s="1303"/>
      <c r="G57" s="1303"/>
      <c r="H57" s="1303"/>
      <c r="I57" s="1303"/>
      <c r="K57" s="688"/>
      <c r="L57" s="688"/>
      <c r="M57" s="398"/>
      <c r="N57" s="690"/>
      <c r="P57" s="2180"/>
    </row>
    <row r="58" spans="2:17" x14ac:dyDescent="0.2">
      <c r="B58" s="2995" t="s">
        <v>1899</v>
      </c>
      <c r="C58" s="2996"/>
      <c r="D58" s="2996"/>
      <c r="E58" s="2996"/>
      <c r="F58" s="2996"/>
      <c r="G58" s="2996"/>
      <c r="H58" s="2996"/>
      <c r="I58" s="2996"/>
      <c r="J58" s="1258" t="str">
        <f>IF(J39-J51=J56,"In Balance","NOT BALANCED")</f>
        <v>In Balance</v>
      </c>
      <c r="K58" s="688"/>
      <c r="L58" s="688"/>
      <c r="M58" s="1258" t="str">
        <f>IF(M39-M51=M56,"In Balance","NOT BALANCED")</f>
        <v>In Balance</v>
      </c>
      <c r="N58" s="690"/>
      <c r="P58" s="2180"/>
    </row>
    <row r="59" spans="2:17" x14ac:dyDescent="0.2">
      <c r="B59"/>
      <c r="C59"/>
      <c r="D59"/>
      <c r="E59"/>
      <c r="F59"/>
      <c r="G59"/>
      <c r="H59"/>
      <c r="I59"/>
      <c r="K59" s="688"/>
      <c r="L59" s="688"/>
      <c r="M59" s="398"/>
      <c r="N59" s="690"/>
      <c r="P59" s="2180"/>
    </row>
    <row r="60" spans="2:17" x14ac:dyDescent="0.2">
      <c r="B60" s="1304" t="s">
        <v>986</v>
      </c>
      <c r="C60"/>
      <c r="D60"/>
      <c r="E60"/>
      <c r="F60"/>
      <c r="G60"/>
      <c r="H60"/>
      <c r="I60"/>
      <c r="J60" s="1253" t="str">
        <f>CONCATENATE("FYE ",+TEXT(Data!$A$2,"mmmm d,yyyy"))</f>
        <v>FYE June 30,2022</v>
      </c>
      <c r="K60" s="688"/>
      <c r="L60" s="688"/>
      <c r="M60" s="1255" t="str">
        <f>CONCATENATE("FYE ",+TEXT(Data!$A$4,"mmmm d,yyyy"))</f>
        <v>FYE June 30,2021</v>
      </c>
      <c r="N60" s="690"/>
      <c r="P60" s="2180"/>
    </row>
    <row r="61" spans="2:17" x14ac:dyDescent="0.2">
      <c r="B61" s="3001" t="s">
        <v>463</v>
      </c>
      <c r="C61" s="3001"/>
      <c r="D61" s="3001"/>
      <c r="E61" s="3001"/>
      <c r="F61" s="3001"/>
      <c r="G61" s="3001"/>
      <c r="H61" s="3001"/>
      <c r="I61" s="3001"/>
      <c r="K61" s="688"/>
      <c r="L61" s="688"/>
      <c r="M61" s="398"/>
      <c r="N61" s="690"/>
      <c r="P61" s="2180"/>
    </row>
    <row r="62" spans="2:17" x14ac:dyDescent="0.2">
      <c r="B62" s="3000" t="s">
        <v>1081</v>
      </c>
      <c r="C62" s="3000"/>
      <c r="D62" s="3000"/>
      <c r="E62" s="3000"/>
      <c r="F62" s="3000"/>
      <c r="G62" s="3000"/>
      <c r="H62" s="3000"/>
      <c r="I62" s="3000"/>
      <c r="J62" s="396">
        <v>0</v>
      </c>
      <c r="K62" s="688"/>
      <c r="L62" s="688"/>
      <c r="M62" s="842">
        <f>HLOOKUP($D$5,PriorYr906!$J$9:$K$87,54,FALSE)</f>
        <v>4301073.83</v>
      </c>
      <c r="N62" s="690"/>
      <c r="P62" s="2180">
        <v>46110000</v>
      </c>
    </row>
    <row r="63" spans="2:17" x14ac:dyDescent="0.2">
      <c r="B63" s="3000" t="s">
        <v>1082</v>
      </c>
      <c r="C63" s="3000"/>
      <c r="D63" s="3000"/>
      <c r="E63" s="3000"/>
      <c r="F63" s="3000"/>
      <c r="G63" s="3000"/>
      <c r="H63" s="3000"/>
      <c r="I63" s="3000"/>
      <c r="J63" s="397">
        <v>0</v>
      </c>
      <c r="K63" s="688"/>
      <c r="L63" s="688"/>
      <c r="M63" s="393">
        <f>HLOOKUP($D$5,PriorYr906!$J$9:$K$87,55,FALSE)</f>
        <v>79969153.569999993</v>
      </c>
      <c r="N63" s="690"/>
      <c r="P63" s="2180">
        <v>46120000</v>
      </c>
    </row>
    <row r="64" spans="2:17" x14ac:dyDescent="0.2">
      <c r="B64" s="3004" t="s">
        <v>1083</v>
      </c>
      <c r="C64" s="3004"/>
      <c r="D64" s="3004"/>
      <c r="E64" s="3004"/>
      <c r="F64" s="3004"/>
      <c r="G64" s="3004"/>
      <c r="H64" s="3004"/>
      <c r="I64" s="3004"/>
      <c r="J64" s="397">
        <v>0</v>
      </c>
      <c r="K64" s="688"/>
      <c r="L64" s="688"/>
      <c r="M64" s="393">
        <f>HLOOKUP($D$5,PriorYr906!$J$9:$K$87,56,FALSE)</f>
        <v>0</v>
      </c>
      <c r="N64" s="690"/>
      <c r="P64" s="2180">
        <v>46160000</v>
      </c>
    </row>
    <row r="65" spans="2:16" x14ac:dyDescent="0.2">
      <c r="B65" s="3000" t="s">
        <v>1084</v>
      </c>
      <c r="C65" s="3000"/>
      <c r="D65" s="3000"/>
      <c r="E65" s="3000"/>
      <c r="F65" s="3000"/>
      <c r="G65" s="3000"/>
      <c r="H65" s="3000"/>
      <c r="I65" s="3000"/>
      <c r="J65" s="644">
        <v>0</v>
      </c>
      <c r="K65" s="688"/>
      <c r="L65" s="688"/>
      <c r="M65" s="393">
        <f>HLOOKUP($D$5,PriorYr906!$J$9:$K$87,57,FALSE)</f>
        <v>0</v>
      </c>
      <c r="N65" s="690"/>
      <c r="P65" s="2180">
        <v>42990000</v>
      </c>
    </row>
    <row r="66" spans="2:16" x14ac:dyDescent="0.2">
      <c r="B66" s="3000" t="s">
        <v>1080</v>
      </c>
      <c r="C66" s="3000"/>
      <c r="D66" s="3000"/>
      <c r="E66" s="3000"/>
      <c r="F66" s="3000"/>
      <c r="G66" s="3000"/>
      <c r="H66" s="3000"/>
      <c r="I66" s="3000"/>
      <c r="J66" s="706">
        <f>SUM(J62:J65)</f>
        <v>0</v>
      </c>
      <c r="K66" s="688"/>
      <c r="L66" s="688"/>
      <c r="M66" s="706">
        <f>SUM(M62:M65)</f>
        <v>84270227.400000006</v>
      </c>
      <c r="N66" s="690"/>
      <c r="P66" s="2180"/>
    </row>
    <row r="67" spans="2:16" x14ac:dyDescent="0.2">
      <c r="B67" s="3001" t="s">
        <v>464</v>
      </c>
      <c r="C67" s="3001"/>
      <c r="D67" s="3001"/>
      <c r="E67" s="3001"/>
      <c r="F67" s="3001"/>
      <c r="G67" s="3001"/>
      <c r="H67" s="3001"/>
      <c r="I67" s="3001"/>
      <c r="K67" s="688"/>
      <c r="L67" s="688"/>
      <c r="M67" s="643"/>
      <c r="N67" s="690"/>
      <c r="P67" s="2180"/>
    </row>
    <row r="68" spans="2:16" x14ac:dyDescent="0.2">
      <c r="B68" s="3000" t="s">
        <v>1085</v>
      </c>
      <c r="C68" s="3000"/>
      <c r="D68" s="3000"/>
      <c r="E68" s="3000"/>
      <c r="F68" s="3000"/>
      <c r="G68" s="3000"/>
      <c r="H68" s="3000"/>
      <c r="I68" s="3000"/>
      <c r="J68" s="397">
        <v>0</v>
      </c>
      <c r="K68" s="688"/>
      <c r="L68" s="688"/>
      <c r="M68" s="393">
        <f>HLOOKUP($D$5,PriorYr906!$J$9:$K$87,60,FALSE)</f>
        <v>207403402.94999999</v>
      </c>
      <c r="N68" s="690"/>
      <c r="P68" s="2180">
        <v>43110000</v>
      </c>
    </row>
    <row r="69" spans="2:16" x14ac:dyDescent="0.2">
      <c r="B69" s="3000" t="s">
        <v>1086</v>
      </c>
      <c r="C69" s="3000"/>
      <c r="D69" s="3000"/>
      <c r="E69" s="3000"/>
      <c r="F69" s="3000"/>
      <c r="G69" s="3000"/>
      <c r="H69" s="3000"/>
      <c r="I69" s="3000"/>
      <c r="J69" s="644">
        <v>0</v>
      </c>
      <c r="K69" s="688"/>
      <c r="L69" s="688"/>
      <c r="M69" s="393">
        <f>HLOOKUP($D$5,PriorYr906!$J$9:$K$87,61,FALSE)</f>
        <v>0</v>
      </c>
      <c r="N69" s="690"/>
      <c r="P69" s="2180">
        <v>52120110</v>
      </c>
    </row>
    <row r="70" spans="2:16" x14ac:dyDescent="0.2">
      <c r="B70" s="3000" t="s">
        <v>1087</v>
      </c>
      <c r="C70" s="3000"/>
      <c r="D70" s="3000"/>
      <c r="E70" s="3000"/>
      <c r="F70" s="3000"/>
      <c r="G70" s="3000"/>
      <c r="H70" s="3000"/>
      <c r="I70" s="3000"/>
      <c r="J70" s="706">
        <f>SUM(J68:J69)</f>
        <v>0</v>
      </c>
      <c r="K70" s="688"/>
      <c r="L70" s="688"/>
      <c r="M70" s="706">
        <f>SUM(M68:M69)</f>
        <v>207403402.94999999</v>
      </c>
      <c r="N70" s="690"/>
      <c r="P70" s="2180"/>
    </row>
    <row r="71" spans="2:16" x14ac:dyDescent="0.2">
      <c r="B71" s="3001" t="s">
        <v>465</v>
      </c>
      <c r="C71" s="3001"/>
      <c r="D71" s="3001"/>
      <c r="E71" s="3001"/>
      <c r="F71" s="3001"/>
      <c r="G71" s="3001"/>
      <c r="H71" s="3001"/>
      <c r="I71" s="3001"/>
      <c r="K71" s="688"/>
      <c r="L71" s="688"/>
      <c r="M71" s="399"/>
      <c r="N71" s="690"/>
      <c r="P71" s="2180"/>
    </row>
    <row r="72" spans="2:16" x14ac:dyDescent="0.2">
      <c r="B72" s="3000" t="s">
        <v>1088</v>
      </c>
      <c r="C72" s="3000"/>
      <c r="D72" s="3000"/>
      <c r="E72" s="3000"/>
      <c r="F72" s="3000"/>
      <c r="G72" s="3000"/>
      <c r="H72" s="3000"/>
      <c r="I72" s="3000"/>
      <c r="J72" s="397">
        <v>0</v>
      </c>
      <c r="K72" s="688"/>
      <c r="L72" s="688"/>
      <c r="M72" s="393">
        <f>HLOOKUP($D$5,PriorYr906!$J$9:$K$87,64,FALSE)</f>
        <v>0</v>
      </c>
      <c r="N72" s="690"/>
      <c r="P72" s="2180">
        <v>45100000</v>
      </c>
    </row>
    <row r="73" spans="2:16" x14ac:dyDescent="0.2">
      <c r="B73" s="3000" t="s">
        <v>944</v>
      </c>
      <c r="C73" s="3000"/>
      <c r="D73" s="3000"/>
      <c r="E73" s="3000"/>
      <c r="F73" s="3000"/>
      <c r="G73" s="3000"/>
      <c r="H73" s="3000"/>
      <c r="I73" s="3000"/>
      <c r="J73" s="397">
        <v>0</v>
      </c>
      <c r="K73" s="688"/>
      <c r="L73" s="688"/>
      <c r="M73" s="393">
        <f>HLOOKUP($D$5,PriorYr906!$J$9:$K$87,65,FALSE)</f>
        <v>1247575.3400000001</v>
      </c>
      <c r="N73" s="690"/>
      <c r="P73" s="2180">
        <v>43200000</v>
      </c>
    </row>
    <row r="74" spans="2:16" x14ac:dyDescent="0.2">
      <c r="B74" s="3000" t="s">
        <v>945</v>
      </c>
      <c r="C74" s="3000"/>
      <c r="D74" s="3000"/>
      <c r="E74" s="3000"/>
      <c r="F74" s="3000"/>
      <c r="G74" s="3000"/>
      <c r="H74" s="3000"/>
      <c r="I74" s="3000"/>
      <c r="J74" s="397">
        <v>0</v>
      </c>
      <c r="K74" s="688"/>
      <c r="L74" s="688"/>
      <c r="M74" s="393">
        <f>HLOOKUP($D$5,PriorYr906!$J$9:$K$87,66,FALSE)</f>
        <v>24399.67</v>
      </c>
      <c r="N74" s="690"/>
      <c r="P74" s="2180">
        <v>47111000</v>
      </c>
    </row>
    <row r="75" spans="2:16" x14ac:dyDescent="0.2">
      <c r="B75" s="3000" t="s">
        <v>503</v>
      </c>
      <c r="C75" s="3000"/>
      <c r="D75" s="3000"/>
      <c r="E75" s="3000"/>
      <c r="F75" s="3000"/>
      <c r="G75" s="3000"/>
      <c r="H75" s="3000"/>
      <c r="I75" s="3000"/>
      <c r="J75" s="706">
        <f>SUM(J72:J74)</f>
        <v>0</v>
      </c>
      <c r="K75" s="688"/>
      <c r="L75" s="688"/>
      <c r="M75" s="706">
        <f>SUM(M72:M74)</f>
        <v>1271975.01</v>
      </c>
      <c r="N75" s="690"/>
      <c r="P75" s="2180"/>
    </row>
    <row r="76" spans="2:16" x14ac:dyDescent="0.2">
      <c r="B76" s="3000" t="s">
        <v>466</v>
      </c>
      <c r="C76" s="3000"/>
      <c r="D76" s="3000"/>
      <c r="E76" s="3000"/>
      <c r="F76" s="3000"/>
      <c r="G76" s="3000"/>
      <c r="H76" s="3000"/>
      <c r="I76" s="3000"/>
      <c r="J76" s="706">
        <f>J66+J70+J75</f>
        <v>0</v>
      </c>
      <c r="K76" s="688"/>
      <c r="L76" s="688"/>
      <c r="M76" s="706">
        <f>M66+M70+M75</f>
        <v>292945605.36000001</v>
      </c>
      <c r="N76" s="690"/>
      <c r="P76" s="2180"/>
    </row>
    <row r="77" spans="2:16" x14ac:dyDescent="0.2">
      <c r="B77" s="643"/>
      <c r="C77"/>
      <c r="D77"/>
      <c r="E77"/>
      <c r="F77"/>
      <c r="G77"/>
      <c r="H77"/>
      <c r="I77"/>
      <c r="K77" s="688"/>
      <c r="L77" s="688"/>
      <c r="M77" s="398"/>
      <c r="N77" s="690"/>
      <c r="P77" s="2180"/>
    </row>
    <row r="78" spans="2:16" x14ac:dyDescent="0.2">
      <c r="B78" s="2998" t="s">
        <v>467</v>
      </c>
      <c r="C78" s="2998"/>
      <c r="D78" s="2998"/>
      <c r="E78" s="2998"/>
      <c r="F78" s="2998"/>
      <c r="G78" s="2998"/>
      <c r="H78" s="2998"/>
      <c r="I78" s="2998"/>
      <c r="K78" s="688"/>
      <c r="L78" s="688"/>
      <c r="M78" s="398"/>
      <c r="N78" s="690"/>
      <c r="P78" s="2180"/>
    </row>
    <row r="79" spans="2:16" x14ac:dyDescent="0.2">
      <c r="B79" s="3000" t="s">
        <v>1171</v>
      </c>
      <c r="C79" s="3000"/>
      <c r="D79" s="3000"/>
      <c r="E79" s="3000"/>
      <c r="F79" s="3000"/>
      <c r="G79" s="3000"/>
      <c r="H79" s="3000"/>
      <c r="I79" s="3000"/>
      <c r="J79" s="397">
        <v>0</v>
      </c>
      <c r="K79" s="688"/>
      <c r="L79" s="688"/>
      <c r="M79" s="393">
        <f>HLOOKUP($D$5,PriorYr906!$J$9:$K$87,71,FALSE)</f>
        <v>81117303.370000005</v>
      </c>
      <c r="N79" s="690"/>
      <c r="P79" s="2180">
        <v>55210000</v>
      </c>
    </row>
    <row r="80" spans="2:16" x14ac:dyDescent="0.2">
      <c r="B80" s="3000" t="s">
        <v>468</v>
      </c>
      <c r="C80" s="3000"/>
      <c r="D80" s="3000"/>
      <c r="E80" s="3000"/>
      <c r="F80" s="3000"/>
      <c r="G80" s="3000"/>
      <c r="H80" s="3000"/>
      <c r="I80" s="3000"/>
      <c r="J80" s="397">
        <v>0</v>
      </c>
      <c r="K80" s="688"/>
      <c r="L80" s="688"/>
      <c r="M80" s="393">
        <f>HLOOKUP($D$5,PriorYr906!$J$9:$K$87,72,FALSE)</f>
        <v>0</v>
      </c>
      <c r="N80" s="690"/>
      <c r="P80" s="2180">
        <v>55218000</v>
      </c>
    </row>
    <row r="81" spans="2:16" x14ac:dyDescent="0.2">
      <c r="B81" s="3000" t="s">
        <v>469</v>
      </c>
      <c r="C81" s="3000"/>
      <c r="D81" s="3000"/>
      <c r="E81" s="3000"/>
      <c r="F81" s="3000"/>
      <c r="G81" s="3000"/>
      <c r="H81" s="3000"/>
      <c r="I81" s="3000"/>
      <c r="J81" s="397">
        <v>0</v>
      </c>
      <c r="K81" s="688"/>
      <c r="L81" s="688"/>
      <c r="M81" s="393">
        <f>HLOOKUP($D$5,PriorYr906!$J$9:$K$87,73,FALSE)</f>
        <v>2119514.67</v>
      </c>
      <c r="N81" s="690"/>
      <c r="P81" s="2180" t="s">
        <v>5129</v>
      </c>
    </row>
    <row r="82" spans="2:16" x14ac:dyDescent="0.2">
      <c r="B82" s="3000" t="s">
        <v>470</v>
      </c>
      <c r="C82" s="3000"/>
      <c r="D82" s="3000"/>
      <c r="E82" s="3000"/>
      <c r="F82" s="3000"/>
      <c r="G82" s="3000"/>
      <c r="H82" s="3000"/>
      <c r="I82" s="3000"/>
      <c r="J82" s="644">
        <v>0</v>
      </c>
      <c r="K82" s="688"/>
      <c r="L82" s="688"/>
      <c r="M82" s="393">
        <f>HLOOKUP($D$5,PriorYr906!$J$9:$K$87,74,FALSE)</f>
        <v>0</v>
      </c>
      <c r="N82" s="690"/>
      <c r="P82" s="2180">
        <v>55610000</v>
      </c>
    </row>
    <row r="83" spans="2:16" x14ac:dyDescent="0.2">
      <c r="B83" s="3000" t="s">
        <v>504</v>
      </c>
      <c r="C83" s="3000"/>
      <c r="D83" s="3000"/>
      <c r="E83" s="3000"/>
      <c r="F83" s="3000"/>
      <c r="G83" s="3000"/>
      <c r="H83" s="3000"/>
      <c r="I83" s="3000"/>
      <c r="J83" s="706">
        <f>SUM(J79:J82)</f>
        <v>0</v>
      </c>
      <c r="K83" s="688"/>
      <c r="L83" s="688"/>
      <c r="M83" s="706">
        <f>SUM(M79:M82)</f>
        <v>83236818.040000007</v>
      </c>
      <c r="N83" s="690"/>
      <c r="P83" s="2180"/>
    </row>
    <row r="84" spans="2:16" x14ac:dyDescent="0.2">
      <c r="B84" s="2964" t="s">
        <v>1900</v>
      </c>
      <c r="C84" s="3000"/>
      <c r="D84" s="3000"/>
      <c r="E84" s="3000"/>
      <c r="F84" s="3000"/>
      <c r="G84" s="3000"/>
      <c r="H84" s="3000"/>
      <c r="I84" s="3000"/>
      <c r="J84" s="1252">
        <f>J76-J83</f>
        <v>0</v>
      </c>
      <c r="K84" s="688"/>
      <c r="L84" s="688"/>
      <c r="M84" s="1252">
        <f>M76-M83</f>
        <v>209708787.31999999</v>
      </c>
      <c r="N84" s="690"/>
      <c r="P84" s="2180"/>
    </row>
    <row r="85" spans="2:16" x14ac:dyDescent="0.2">
      <c r="B85" s="2999" t="s">
        <v>1901</v>
      </c>
      <c r="C85" s="2997"/>
      <c r="D85" s="2997"/>
      <c r="E85" s="2997"/>
      <c r="F85" s="2997"/>
      <c r="G85" s="2997"/>
      <c r="H85" s="2997"/>
      <c r="I85" s="2997"/>
      <c r="J85" s="1065">
        <f>INDEX(NetAssetsData,MATCH('906-6B'!$D$5,NetAssetsDataRow,0),3)</f>
        <v>1796027273.3099999</v>
      </c>
      <c r="K85" s="688"/>
      <c r="L85" s="688"/>
      <c r="M85" s="1065">
        <f>HLOOKUP($D$5,PriorYr906!$J$9:$K$87,77,FALSE)</f>
        <v>1586318485.99</v>
      </c>
      <c r="N85" s="690"/>
      <c r="P85" s="2180"/>
    </row>
    <row r="86" spans="2:16" x14ac:dyDescent="0.2">
      <c r="B86" s="2997" t="s">
        <v>645</v>
      </c>
      <c r="C86" s="2997"/>
      <c r="D86" s="2997"/>
      <c r="E86" s="2997"/>
      <c r="F86" s="2997"/>
      <c r="G86" s="2997"/>
      <c r="H86" s="2997"/>
      <c r="I86" s="2997"/>
      <c r="J86" s="644">
        <v>0</v>
      </c>
      <c r="K86" s="688"/>
      <c r="L86" s="688"/>
      <c r="M86" s="393">
        <f>HLOOKUP($D$5,PriorYr906!$J$9:$K$87,78,FALSE)</f>
        <v>0</v>
      </c>
      <c r="N86" s="690"/>
      <c r="P86" s="2180">
        <v>33000100</v>
      </c>
    </row>
    <row r="87" spans="2:16" ht="13.5" thickBot="1" x14ac:dyDescent="0.25">
      <c r="B87" s="2999" t="s">
        <v>1902</v>
      </c>
      <c r="C87" s="2997"/>
      <c r="D87" s="2997"/>
      <c r="E87" s="2997"/>
      <c r="F87" s="2997"/>
      <c r="G87" s="2997"/>
      <c r="H87" s="2997"/>
      <c r="I87" s="2997"/>
      <c r="J87" s="708">
        <f>SUM(J84:J86)</f>
        <v>1796027273.3099999</v>
      </c>
      <c r="K87" s="688"/>
      <c r="L87" s="688"/>
      <c r="M87" s="708">
        <f>SUM(M84:M86)</f>
        <v>1796027273.3099999</v>
      </c>
      <c r="N87" s="692"/>
    </row>
    <row r="88" spans="2:16" ht="13.5" thickTop="1" x14ac:dyDescent="0.2">
      <c r="B88"/>
      <c r="C88"/>
      <c r="D88"/>
      <c r="E88"/>
      <c r="F88"/>
      <c r="G88"/>
      <c r="H88"/>
      <c r="I88"/>
      <c r="K88" s="704"/>
      <c r="L88" s="704"/>
      <c r="M88" s="403"/>
      <c r="N88" s="704"/>
    </row>
    <row r="89" spans="2:16" x14ac:dyDescent="0.2">
      <c r="B89"/>
      <c r="C89"/>
      <c r="D89"/>
      <c r="E89"/>
      <c r="F89"/>
      <c r="G89"/>
      <c r="H89"/>
      <c r="I89"/>
      <c r="K89" s="692"/>
      <c r="L89" s="692"/>
      <c r="M89" s="335"/>
      <c r="N89" s="692"/>
    </row>
    <row r="90" spans="2:16" x14ac:dyDescent="0.2">
      <c r="B90" s="2995" t="s">
        <v>1903</v>
      </c>
      <c r="C90" s="2996"/>
      <c r="D90" s="2996"/>
      <c r="E90" s="2996"/>
      <c r="F90" s="2996"/>
      <c r="G90" s="2996"/>
      <c r="H90" s="2996"/>
      <c r="I90" s="2996"/>
      <c r="J90" s="1258" t="str">
        <f>IF(J56=J87,"In Balance","NOT BALANCED")</f>
        <v>NOT BALANCED</v>
      </c>
      <c r="K90" s="693"/>
      <c r="L90" s="693"/>
      <c r="M90" s="1258" t="str">
        <f>IF(M56=M87,"In Balance","NOT BALANCED")</f>
        <v>In Balance</v>
      </c>
      <c r="N90" s="693"/>
    </row>
    <row r="91" spans="2:16" x14ac:dyDescent="0.2">
      <c r="K91" s="693"/>
      <c r="L91" s="693"/>
      <c r="M91" s="693"/>
      <c r="N91" s="693"/>
    </row>
    <row r="92" spans="2:16" x14ac:dyDescent="0.2">
      <c r="K92" s="691"/>
      <c r="L92" s="691"/>
      <c r="M92" s="691"/>
      <c r="N92" s="691"/>
    </row>
    <row r="93" spans="2:16" x14ac:dyDescent="0.2">
      <c r="K93" s="691"/>
      <c r="L93" s="691"/>
      <c r="M93" s="691"/>
      <c r="N93" s="691"/>
    </row>
    <row r="94" spans="2:16" x14ac:dyDescent="0.2">
      <c r="K94" s="691"/>
      <c r="L94" s="691"/>
      <c r="M94" s="691"/>
      <c r="N94" s="691"/>
    </row>
    <row r="95" spans="2:16" x14ac:dyDescent="0.2">
      <c r="K95" s="691"/>
      <c r="L95" s="691"/>
      <c r="M95" s="691"/>
      <c r="N95" s="691"/>
    </row>
    <row r="96" spans="2:16" x14ac:dyDescent="0.2">
      <c r="K96" s="691"/>
      <c r="L96" s="691"/>
      <c r="M96" s="691"/>
      <c r="N96" s="691"/>
    </row>
    <row r="97" spans="11:14" x14ac:dyDescent="0.2">
      <c r="K97" s="691"/>
      <c r="L97" s="691"/>
      <c r="M97" s="691"/>
      <c r="N97" s="691"/>
    </row>
    <row r="98" spans="11:14" x14ac:dyDescent="0.2">
      <c r="K98" s="691"/>
      <c r="L98" s="691"/>
      <c r="M98" s="691"/>
      <c r="N98" s="691"/>
    </row>
    <row r="99" spans="11:14" x14ac:dyDescent="0.2">
      <c r="K99" s="691"/>
      <c r="L99" s="691"/>
      <c r="M99" s="691"/>
      <c r="N99" s="691"/>
    </row>
    <row r="100" spans="11:14" x14ac:dyDescent="0.2">
      <c r="K100" s="691"/>
      <c r="L100" s="691"/>
      <c r="M100" s="691"/>
      <c r="N100" s="691"/>
    </row>
    <row r="101" spans="11:14" x14ac:dyDescent="0.2">
      <c r="K101" s="691"/>
      <c r="L101" s="691"/>
      <c r="M101" s="691"/>
      <c r="N101" s="691"/>
    </row>
    <row r="102" spans="11:14" x14ac:dyDescent="0.2">
      <c r="K102" s="692"/>
      <c r="L102" s="692"/>
      <c r="M102" s="692"/>
      <c r="N102" s="692"/>
    </row>
    <row r="103" spans="11:14" x14ac:dyDescent="0.2">
      <c r="K103" s="688"/>
      <c r="L103" s="688"/>
      <c r="M103" s="688"/>
      <c r="N103" s="688"/>
    </row>
    <row r="104" spans="11:14" x14ac:dyDescent="0.2">
      <c r="K104" s="691"/>
      <c r="L104" s="691"/>
      <c r="M104" s="691"/>
      <c r="N104" s="691"/>
    </row>
    <row r="105" spans="11:14" x14ac:dyDescent="0.2">
      <c r="K105" s="692"/>
      <c r="L105" s="692"/>
      <c r="M105" s="692"/>
      <c r="N105" s="692"/>
    </row>
    <row r="106" spans="11:14" x14ac:dyDescent="0.2">
      <c r="K106" s="692"/>
      <c r="L106" s="692"/>
      <c r="M106" s="692"/>
      <c r="N106" s="692"/>
    </row>
    <row r="107" spans="11:14" x14ac:dyDescent="0.2">
      <c r="K107" s="691"/>
      <c r="L107" s="691"/>
      <c r="M107" s="691"/>
      <c r="N107" s="691"/>
    </row>
    <row r="108" spans="11:14" x14ac:dyDescent="0.2">
      <c r="K108" s="692"/>
      <c r="L108" s="692"/>
      <c r="M108" s="692"/>
      <c r="N108" s="692"/>
    </row>
    <row r="109" spans="11:14" x14ac:dyDescent="0.2">
      <c r="K109" s="691"/>
      <c r="L109" s="691"/>
      <c r="M109" s="691"/>
      <c r="N109" s="691"/>
    </row>
    <row r="110" spans="11:14" x14ac:dyDescent="0.2">
      <c r="K110" s="691"/>
      <c r="L110" s="691"/>
      <c r="M110" s="691"/>
      <c r="N110" s="691"/>
    </row>
    <row r="111" spans="11:14" x14ac:dyDescent="0.2">
      <c r="K111" s="691"/>
      <c r="L111" s="691"/>
      <c r="M111" s="691"/>
      <c r="N111" s="691"/>
    </row>
    <row r="112" spans="11:14" x14ac:dyDescent="0.2">
      <c r="K112" s="691"/>
      <c r="L112" s="691"/>
      <c r="M112" s="691"/>
      <c r="N112" s="691"/>
    </row>
    <row r="113" spans="11:14" x14ac:dyDescent="0.2">
      <c r="K113" s="691"/>
      <c r="L113" s="691"/>
      <c r="M113" s="691"/>
      <c r="N113" s="691"/>
    </row>
    <row r="114" spans="11:14" x14ac:dyDescent="0.2">
      <c r="K114" s="691"/>
      <c r="L114" s="691"/>
      <c r="M114" s="691"/>
      <c r="N114" s="691"/>
    </row>
    <row r="115" spans="11:14" x14ac:dyDescent="0.2">
      <c r="K115" s="691"/>
      <c r="L115" s="691"/>
      <c r="M115" s="691"/>
      <c r="N115" s="691"/>
    </row>
    <row r="116" spans="11:14" x14ac:dyDescent="0.2">
      <c r="K116" s="691"/>
      <c r="L116" s="691"/>
      <c r="M116" s="691"/>
      <c r="N116" s="691"/>
    </row>
    <row r="117" spans="11:14" x14ac:dyDescent="0.2">
      <c r="K117" s="672"/>
      <c r="L117" s="672"/>
      <c r="M117" s="672"/>
      <c r="N117" s="672"/>
    </row>
    <row r="118" spans="11:14" x14ac:dyDescent="0.2">
      <c r="K118" s="672"/>
      <c r="L118" s="672"/>
      <c r="M118" s="672"/>
      <c r="N118" s="672"/>
    </row>
    <row r="120" spans="11:14" x14ac:dyDescent="0.2">
      <c r="K120" s="703"/>
      <c r="L120" s="703"/>
      <c r="M120" s="703"/>
      <c r="N120" s="703"/>
    </row>
    <row r="121" spans="11:14" x14ac:dyDescent="0.2">
      <c r="K121" s="703"/>
      <c r="L121" s="703"/>
      <c r="M121" s="703"/>
      <c r="N121" s="703"/>
    </row>
    <row r="122" spans="11:14" x14ac:dyDescent="0.2">
      <c r="K122" s="703"/>
      <c r="L122" s="703"/>
      <c r="M122" s="703"/>
      <c r="N122" s="703"/>
    </row>
    <row r="123" spans="11:14" x14ac:dyDescent="0.2">
      <c r="K123" s="703"/>
      <c r="L123" s="703"/>
      <c r="M123" s="703"/>
      <c r="N123" s="703"/>
    </row>
    <row r="124" spans="11:14" x14ac:dyDescent="0.2">
      <c r="K124" s="691"/>
      <c r="L124" s="691"/>
      <c r="M124" s="691"/>
      <c r="N124" s="691"/>
    </row>
    <row r="125" spans="11:14" x14ac:dyDescent="0.2">
      <c r="K125" s="705"/>
      <c r="L125" s="705"/>
      <c r="M125" s="705"/>
      <c r="N125" s="705"/>
    </row>
    <row r="126" spans="11:14" x14ac:dyDescent="0.2">
      <c r="K126" s="691"/>
      <c r="L126" s="691"/>
      <c r="M126" s="691"/>
      <c r="N126" s="691"/>
    </row>
    <row r="127" spans="11:14" x14ac:dyDescent="0.2">
      <c r="K127" s="691"/>
      <c r="L127" s="691"/>
      <c r="M127" s="691"/>
      <c r="N127" s="691"/>
    </row>
    <row r="128" spans="11:14" x14ac:dyDescent="0.2">
      <c r="K128" s="691"/>
      <c r="L128" s="691"/>
      <c r="M128" s="691"/>
      <c r="N128" s="691"/>
    </row>
    <row r="129" spans="11:14" x14ac:dyDescent="0.2">
      <c r="K129" s="691"/>
      <c r="L129" s="691"/>
      <c r="M129" s="691"/>
      <c r="N129" s="691"/>
    </row>
    <row r="130" spans="11:14" x14ac:dyDescent="0.2">
      <c r="K130" s="691"/>
      <c r="L130" s="691"/>
      <c r="M130" s="691"/>
      <c r="N130" s="691"/>
    </row>
    <row r="131" spans="11:14" x14ac:dyDescent="0.2">
      <c r="K131" s="691"/>
      <c r="L131" s="691"/>
      <c r="M131" s="691"/>
      <c r="N131" s="691"/>
    </row>
    <row r="132" spans="11:14" x14ac:dyDescent="0.2">
      <c r="K132" s="691"/>
      <c r="L132" s="691"/>
      <c r="M132" s="691"/>
      <c r="N132" s="691"/>
    </row>
    <row r="133" spans="11:14" x14ac:dyDescent="0.2">
      <c r="K133" s="691"/>
      <c r="L133" s="691"/>
      <c r="M133" s="691"/>
      <c r="N133" s="691"/>
    </row>
    <row r="134" spans="11:14" x14ac:dyDescent="0.2">
      <c r="K134" s="691"/>
      <c r="L134" s="691"/>
      <c r="M134" s="691"/>
      <c r="N134" s="691"/>
    </row>
    <row r="135" spans="11:14" x14ac:dyDescent="0.2">
      <c r="K135" s="705"/>
      <c r="L135" s="705"/>
      <c r="M135" s="705"/>
      <c r="N135" s="705"/>
    </row>
    <row r="136" spans="11:14" x14ac:dyDescent="0.2">
      <c r="K136" s="691"/>
      <c r="L136" s="691"/>
      <c r="M136" s="691"/>
      <c r="N136" s="691"/>
    </row>
    <row r="137" spans="11:14" x14ac:dyDescent="0.2">
      <c r="K137" s="691"/>
      <c r="L137" s="691"/>
      <c r="M137" s="691"/>
      <c r="N137" s="691"/>
    </row>
    <row r="138" spans="11:14" x14ac:dyDescent="0.2">
      <c r="K138" s="691"/>
      <c r="L138" s="691"/>
      <c r="M138" s="691"/>
      <c r="N138" s="691"/>
    </row>
    <row r="139" spans="11:14" x14ac:dyDescent="0.2">
      <c r="K139" s="691"/>
      <c r="L139" s="691"/>
      <c r="M139" s="691"/>
      <c r="N139" s="691"/>
    </row>
    <row r="140" spans="11:14" x14ac:dyDescent="0.2">
      <c r="K140" s="691"/>
      <c r="L140" s="691"/>
      <c r="M140" s="691"/>
      <c r="N140" s="691"/>
    </row>
    <row r="141" spans="11:14" x14ac:dyDescent="0.2">
      <c r="K141" s="691"/>
      <c r="L141" s="691"/>
      <c r="M141" s="691"/>
      <c r="N141" s="691"/>
    </row>
    <row r="142" spans="11:14" x14ac:dyDescent="0.2">
      <c r="K142" s="691"/>
      <c r="L142" s="691"/>
      <c r="M142" s="691"/>
      <c r="N142" s="691"/>
    </row>
    <row r="143" spans="11:14" x14ac:dyDescent="0.2">
      <c r="K143" s="691"/>
      <c r="L143" s="691"/>
      <c r="M143" s="691"/>
      <c r="N143" s="691"/>
    </row>
    <row r="144" spans="11:14" x14ac:dyDescent="0.2">
      <c r="K144" s="691"/>
      <c r="L144" s="691"/>
      <c r="M144" s="691"/>
      <c r="N144" s="691"/>
    </row>
    <row r="145" spans="11:14" x14ac:dyDescent="0.2">
      <c r="K145" s="691"/>
      <c r="L145" s="691"/>
      <c r="M145" s="691"/>
      <c r="N145" s="691"/>
    </row>
    <row r="146" spans="11:14" x14ac:dyDescent="0.2">
      <c r="K146" s="691"/>
      <c r="L146" s="691"/>
      <c r="M146" s="691"/>
      <c r="N146" s="691"/>
    </row>
    <row r="147" spans="11:14" x14ac:dyDescent="0.2">
      <c r="K147" s="688"/>
      <c r="L147" s="688"/>
      <c r="M147" s="688"/>
      <c r="N147" s="688"/>
    </row>
    <row r="148" spans="11:14" x14ac:dyDescent="0.2">
      <c r="K148" s="691"/>
      <c r="L148" s="691"/>
      <c r="M148" s="691"/>
      <c r="N148" s="691"/>
    </row>
    <row r="149" spans="11:14" x14ac:dyDescent="0.2">
      <c r="K149" s="691"/>
      <c r="L149" s="691"/>
      <c r="M149" s="691"/>
      <c r="N149" s="691"/>
    </row>
    <row r="150" spans="11:14" x14ac:dyDescent="0.2">
      <c r="K150" s="691"/>
      <c r="L150" s="691"/>
      <c r="M150" s="691"/>
      <c r="N150" s="691"/>
    </row>
    <row r="151" spans="11:14" x14ac:dyDescent="0.2">
      <c r="K151" s="691"/>
      <c r="L151" s="691"/>
      <c r="M151" s="691"/>
      <c r="N151" s="691"/>
    </row>
    <row r="152" spans="11:14" x14ac:dyDescent="0.2">
      <c r="K152" s="691"/>
      <c r="L152" s="691"/>
      <c r="M152" s="691"/>
      <c r="N152" s="691"/>
    </row>
    <row r="153" spans="11:14" x14ac:dyDescent="0.2">
      <c r="K153" s="691"/>
      <c r="L153" s="691"/>
      <c r="M153" s="691"/>
      <c r="N153" s="691"/>
    </row>
    <row r="154" spans="11:14" x14ac:dyDescent="0.2">
      <c r="K154" s="691"/>
      <c r="L154" s="691"/>
      <c r="M154" s="691"/>
      <c r="N154" s="691"/>
    </row>
    <row r="155" spans="11:14" x14ac:dyDescent="0.2">
      <c r="K155" s="691"/>
      <c r="L155" s="691"/>
      <c r="M155" s="691"/>
      <c r="N155" s="691"/>
    </row>
    <row r="156" spans="11:14" x14ac:dyDescent="0.2">
      <c r="K156" s="691"/>
      <c r="L156" s="691"/>
      <c r="M156" s="691"/>
      <c r="N156" s="691"/>
    </row>
    <row r="157" spans="11:14" x14ac:dyDescent="0.2">
      <c r="K157" s="691"/>
      <c r="L157" s="691"/>
      <c r="M157" s="691"/>
      <c r="N157" s="691"/>
    </row>
    <row r="158" spans="11:14" x14ac:dyDescent="0.2">
      <c r="K158" s="691"/>
      <c r="L158" s="691"/>
      <c r="M158" s="691"/>
      <c r="N158" s="691"/>
    </row>
    <row r="159" spans="11:14" x14ac:dyDescent="0.2">
      <c r="K159" s="691"/>
      <c r="L159" s="691"/>
      <c r="M159" s="691"/>
      <c r="N159" s="691"/>
    </row>
    <row r="160" spans="11:14" x14ac:dyDescent="0.2">
      <c r="K160" s="691"/>
      <c r="L160" s="691"/>
      <c r="M160" s="691"/>
      <c r="N160" s="691"/>
    </row>
    <row r="161" spans="11:14" x14ac:dyDescent="0.2">
      <c r="K161" s="691"/>
      <c r="L161" s="691"/>
      <c r="M161" s="691"/>
      <c r="N161" s="691"/>
    </row>
    <row r="162" spans="11:14" x14ac:dyDescent="0.2">
      <c r="K162" s="691"/>
      <c r="L162" s="691"/>
      <c r="M162" s="691"/>
      <c r="N162" s="691"/>
    </row>
    <row r="163" spans="11:14" x14ac:dyDescent="0.2">
      <c r="K163" s="691"/>
      <c r="L163" s="691"/>
      <c r="M163" s="691"/>
      <c r="N163" s="691"/>
    </row>
    <row r="164" spans="11:14" x14ac:dyDescent="0.2">
      <c r="K164" s="691"/>
      <c r="L164" s="691"/>
      <c r="M164" s="691"/>
      <c r="N164" s="691"/>
    </row>
    <row r="165" spans="11:14" x14ac:dyDescent="0.2">
      <c r="K165" s="691"/>
      <c r="L165" s="691"/>
      <c r="M165" s="691"/>
      <c r="N165" s="691"/>
    </row>
    <row r="166" spans="11:14" x14ac:dyDescent="0.2">
      <c r="K166" s="691"/>
      <c r="L166" s="691"/>
      <c r="M166" s="691"/>
      <c r="N166" s="691"/>
    </row>
    <row r="167" spans="11:14" x14ac:dyDescent="0.2">
      <c r="K167" s="691"/>
      <c r="L167" s="691"/>
      <c r="M167" s="691"/>
      <c r="N167" s="691"/>
    </row>
    <row r="168" spans="11:14" x14ac:dyDescent="0.2">
      <c r="K168" s="691"/>
      <c r="L168" s="691"/>
      <c r="M168" s="691"/>
      <c r="N168" s="691"/>
    </row>
    <row r="169" spans="11:14" x14ac:dyDescent="0.2">
      <c r="K169" s="691"/>
      <c r="L169" s="691"/>
      <c r="M169" s="691"/>
      <c r="N169" s="691"/>
    </row>
  </sheetData>
  <sheetProtection algorithmName="SHA-512" hashValue="kQdGB1UzprKjIpN35U/PXksnAxMCnBe01Ki5DSagK0bQjYEcoZMohOD+UA/RQiSaW9MX1sn3JZVgJ+8zjMrOKQ==" saltValue="B4Ntft3tl9pmA+3moR6bdQ==" spinCount="100000" sheet="1" objects="1" scenarios="1" autoFilter="0"/>
  <customSheetViews>
    <customSheetView guid="{B08879A4-635B-4C39-9937-AC7883D562FC}" showGridLines="0" fitToPage="1" topLeftCell="A73">
      <selection activeCell="B12" sqref="B12"/>
      <rowBreaks count="1" manualBreakCount="1">
        <brk id="59" max="16383" man="1"/>
      </rowBreaks>
      <pageMargins left="0.75" right="0.5" top="0.5" bottom="0.5" header="0.5" footer="0.25"/>
      <pageSetup scale="98" fitToHeight="2" orientation="portrait" r:id="rId1"/>
      <headerFooter alignWithMargins="0">
        <oddFooter>&amp;R&amp;A (&amp;P of &amp;N)</oddFooter>
      </headerFooter>
    </customSheetView>
    <customSheetView guid="{9FCFC836-1CA5-48BF-958D-24D2EA94B219}" showGridLines="0" fitToPage="1" topLeftCell="A73">
      <selection activeCell="B12" sqref="B12"/>
      <rowBreaks count="1" manualBreakCount="1">
        <brk id="59" max="16383" man="1"/>
      </rowBreaks>
      <pageMargins left="0.75" right="0.5" top="0.5" bottom="0.5" header="0.5" footer="0.25"/>
      <pageSetup scale="98" fitToHeight="2" orientation="portrait" r:id="rId2"/>
      <headerFooter alignWithMargins="0">
        <oddFooter>&amp;R&amp;A (&amp;P of &amp;N)</oddFooter>
      </headerFooter>
    </customSheetView>
  </customSheetViews>
  <mergeCells count="74">
    <mergeCell ref="B54:I54"/>
    <mergeCell ref="B65:I65"/>
    <mergeCell ref="B86:I86"/>
    <mergeCell ref="B82:I82"/>
    <mergeCell ref="B85:I85"/>
    <mergeCell ref="B84:I84"/>
    <mergeCell ref="B81:I81"/>
    <mergeCell ref="B58:I58"/>
    <mergeCell ref="B83:I83"/>
    <mergeCell ref="B72:I72"/>
    <mergeCell ref="B75:I75"/>
    <mergeCell ref="B80:I80"/>
    <mergeCell ref="B79:I79"/>
    <mergeCell ref="B64:I64"/>
    <mergeCell ref="B62:I62"/>
    <mergeCell ref="B61:I61"/>
    <mergeCell ref="B69:I69"/>
    <mergeCell ref="B74:I74"/>
    <mergeCell ref="B63:I63"/>
    <mergeCell ref="B71:I71"/>
    <mergeCell ref="B19:I19"/>
    <mergeCell ref="B38:I38"/>
    <mergeCell ref="B20:I20"/>
    <mergeCell ref="B21:I21"/>
    <mergeCell ref="B28:I28"/>
    <mergeCell ref="B29:I29"/>
    <mergeCell ref="B37:I37"/>
    <mergeCell ref="B32:I32"/>
    <mergeCell ref="B35:I35"/>
    <mergeCell ref="B34:I34"/>
    <mergeCell ref="B36:I36"/>
    <mergeCell ref="B46:I46"/>
    <mergeCell ref="B90:I90"/>
    <mergeCell ref="B47:I47"/>
    <mergeCell ref="B48:I48"/>
    <mergeCell ref="B50:I50"/>
    <mergeCell ref="B56:I56"/>
    <mergeCell ref="B78:I78"/>
    <mergeCell ref="B87:I87"/>
    <mergeCell ref="B76:I76"/>
    <mergeCell ref="B51:I51"/>
    <mergeCell ref="B55:I55"/>
    <mergeCell ref="B73:I73"/>
    <mergeCell ref="B67:I67"/>
    <mergeCell ref="B68:I68"/>
    <mergeCell ref="B66:I66"/>
    <mergeCell ref="B70:I70"/>
    <mergeCell ref="B49:I49"/>
    <mergeCell ref="B39:I39"/>
    <mergeCell ref="B45:I45"/>
    <mergeCell ref="B44:I44"/>
    <mergeCell ref="B43:I43"/>
    <mergeCell ref="B11:I11"/>
    <mergeCell ref="B23:I23"/>
    <mergeCell ref="B13:I13"/>
    <mergeCell ref="B18:I18"/>
    <mergeCell ref="B16:I16"/>
    <mergeCell ref="B17:I17"/>
    <mergeCell ref="B22:I22"/>
    <mergeCell ref="H5:J5"/>
    <mergeCell ref="D6:G6"/>
    <mergeCell ref="B1:J1"/>
    <mergeCell ref="B2:J2"/>
    <mergeCell ref="B3:J3"/>
    <mergeCell ref="G7:J7"/>
    <mergeCell ref="B31:I31"/>
    <mergeCell ref="B15:I15"/>
    <mergeCell ref="B33:I33"/>
    <mergeCell ref="B14:I14"/>
    <mergeCell ref="B24:I24"/>
    <mergeCell ref="B25:I25"/>
    <mergeCell ref="B26:I26"/>
    <mergeCell ref="B27:I27"/>
    <mergeCell ref="B8:J8"/>
  </mergeCells>
  <phoneticPr fontId="15" type="noConversion"/>
  <conditionalFormatting sqref="K1:K3">
    <cfRule type="cellIs" dxfId="10" priority="1" stopIfTrue="1" operator="equal">
      <formula>"na"</formula>
    </cfRule>
  </conditionalFormatting>
  <hyperlinks>
    <hyperlink ref="B1:J1" location="Index!A1" display="Index!A1" xr:uid="{00000000-0004-0000-4D00-000000000000}"/>
  </hyperlinks>
  <pageMargins left="0.5" right="0.5" top="0.5" bottom="0.5" header="0.5" footer="0.25"/>
  <pageSetup scale="95" fitToHeight="2" orientation="portrait" r:id="rId3"/>
  <headerFooter alignWithMargins="0">
    <oddFooter xml:space="preserve">&amp;L&amp;D &amp;T&amp;R&amp;A </oddFooter>
  </headerFooter>
  <rowBreaks count="1" manualBreakCount="1">
    <brk id="58" max="11" man="1"/>
  </rowBreaks>
  <legacyDrawing r:id="rId4"/>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4"/>
  <dimension ref="B1:W169"/>
  <sheetViews>
    <sheetView zoomScaleNormal="100" workbookViewId="0">
      <selection activeCell="O5" sqref="O5"/>
    </sheetView>
  </sheetViews>
  <sheetFormatPr defaultColWidth="9.42578125" defaultRowHeight="12.75" x14ac:dyDescent="0.2"/>
  <cols>
    <col min="1" max="1" width="3.5703125" style="675" customWidth="1"/>
    <col min="2" max="2" width="9.42578125" style="675"/>
    <col min="3" max="3" width="5.5703125" style="675" customWidth="1"/>
    <col min="4" max="6" width="9.42578125" style="675"/>
    <col min="7" max="7" width="5.5703125" style="675" customWidth="1"/>
    <col min="8" max="8" width="1.5703125" style="675" customWidth="1"/>
    <col min="9" max="9" width="9.42578125" style="675"/>
    <col min="10" max="10" width="19.42578125" style="397" customWidth="1"/>
    <col min="11" max="12" width="4.5703125" style="675" customWidth="1"/>
    <col min="13" max="13" width="18.5703125" style="675" customWidth="1"/>
    <col min="14" max="15" width="9.42578125" style="675"/>
    <col min="16" max="16" width="15.5703125" style="2176" bestFit="1" customWidth="1"/>
    <col min="17" max="17" width="9.5703125" customWidth="1"/>
    <col min="18" max="18" width="11.42578125" customWidth="1"/>
    <col min="20" max="16384" width="9.42578125" style="675"/>
  </cols>
  <sheetData>
    <row r="1" spans="2:23" ht="25.15" customHeight="1" x14ac:dyDescent="0.25">
      <c r="B1" s="2449" t="str">
        <f>+Index!$A$1</f>
        <v xml:space="preserve">                                                               Office of the State Controller                                                                </v>
      </c>
      <c r="C1" s="2449"/>
      <c r="D1" s="2449"/>
      <c r="E1" s="2449"/>
      <c r="F1" s="2449"/>
      <c r="G1" s="2449"/>
      <c r="H1" s="2449"/>
      <c r="I1" s="2449"/>
      <c r="J1" s="2449"/>
      <c r="K1" s="2339" t="str">
        <f>IF(Index!$B$105="na","NA","")</f>
        <v/>
      </c>
      <c r="L1" s="674"/>
      <c r="M1" s="674"/>
      <c r="N1" s="674"/>
      <c r="O1" s="674"/>
      <c r="P1" s="2130"/>
      <c r="Q1" s="622"/>
      <c r="R1" s="2174" t="s">
        <v>5104</v>
      </c>
      <c r="S1" s="2174" t="s">
        <v>5130</v>
      </c>
      <c r="T1" s="674"/>
      <c r="U1" s="674"/>
      <c r="V1" s="674"/>
    </row>
    <row r="2" spans="2:23" ht="16.5" x14ac:dyDescent="0.3">
      <c r="B2" s="2431" t="str">
        <f>+Index!$A$2</f>
        <v>2022 ACFR Worksheets</v>
      </c>
      <c r="C2" s="2431"/>
      <c r="D2" s="2431"/>
      <c r="E2" s="2431"/>
      <c r="F2" s="2431"/>
      <c r="G2" s="2431"/>
      <c r="H2" s="2431"/>
      <c r="I2" s="2431"/>
      <c r="J2" s="2431"/>
      <c r="K2" s="2339"/>
      <c r="L2" s="676"/>
      <c r="M2" s="676"/>
      <c r="N2" s="676"/>
      <c r="O2" s="677"/>
      <c r="P2" s="2175"/>
      <c r="Q2" s="632"/>
      <c r="R2" s="2174" t="s">
        <v>5106</v>
      </c>
      <c r="S2" s="2174" t="s">
        <v>5123</v>
      </c>
      <c r="T2" s="677"/>
      <c r="U2" s="677"/>
      <c r="V2" s="677"/>
    </row>
    <row r="3" spans="2:23" ht="33" customHeight="1" x14ac:dyDescent="0.3">
      <c r="B3" s="2993" t="s">
        <v>1947</v>
      </c>
      <c r="C3" s="2993"/>
      <c r="D3" s="2993"/>
      <c r="E3" s="2993"/>
      <c r="F3" s="2993"/>
      <c r="G3" s="2993"/>
      <c r="H3" s="2993"/>
      <c r="I3" s="2993"/>
      <c r="J3" s="2993"/>
      <c r="K3" s="2339"/>
      <c r="L3" s="676"/>
      <c r="M3" s="676"/>
      <c r="N3" s="676"/>
      <c r="O3" s="677"/>
      <c r="P3" s="2175"/>
      <c r="Q3" s="632"/>
      <c r="R3" s="632"/>
      <c r="S3" s="632"/>
      <c r="T3" s="677"/>
      <c r="U3" s="677"/>
      <c r="V3" s="677"/>
    </row>
    <row r="4" spans="2:23" x14ac:dyDescent="0.2">
      <c r="B4" s="1295" t="s">
        <v>3717</v>
      </c>
      <c r="C4" s="1291"/>
      <c r="D4" s="1291"/>
      <c r="E4" s="1291"/>
      <c r="F4" s="1291"/>
      <c r="G4" s="1291"/>
      <c r="H4" s="1291"/>
      <c r="I4" s="1291"/>
      <c r="J4" s="1292"/>
    </row>
    <row r="5" spans="2:23" s="678" customFormat="1" ht="15" customHeight="1" x14ac:dyDescent="0.2">
      <c r="B5" s="200" t="s">
        <v>327</v>
      </c>
      <c r="C5" s="200"/>
      <c r="D5" s="636" t="s">
        <v>149</v>
      </c>
      <c r="E5" s="635"/>
      <c r="F5" s="200" t="s">
        <v>972</v>
      </c>
      <c r="G5" s="200"/>
      <c r="H5" s="2977" t="str">
        <f>+CONCATENATE(Index!$E$12," ",Index!$E$14)</f>
        <v xml:space="preserve"> </v>
      </c>
      <c r="I5" s="2977"/>
      <c r="J5" s="2977"/>
      <c r="O5" s="679"/>
      <c r="P5" s="2177"/>
      <c r="Q5" s="200"/>
      <c r="R5" s="200"/>
      <c r="S5" s="200"/>
      <c r="W5" s="680"/>
    </row>
    <row r="6" spans="2:23" s="678" customFormat="1" ht="15" customHeight="1" x14ac:dyDescent="0.2">
      <c r="B6" s="200" t="s">
        <v>1154</v>
      </c>
      <c r="C6" s="200"/>
      <c r="D6" s="2992" t="s">
        <v>1020</v>
      </c>
      <c r="E6" s="2992"/>
      <c r="F6" s="2992"/>
      <c r="G6" s="2992"/>
      <c r="H6" s="200"/>
      <c r="I6" s="200"/>
      <c r="J6" s="200"/>
      <c r="O6" s="681"/>
      <c r="P6" s="2178"/>
      <c r="Q6" s="634"/>
      <c r="R6" s="634"/>
      <c r="S6" s="634"/>
      <c r="T6" s="681"/>
      <c r="U6" s="681"/>
      <c r="V6" s="682"/>
      <c r="W6" s="680"/>
    </row>
    <row r="7" spans="2:23" s="678" customFormat="1" ht="15" customHeight="1" x14ac:dyDescent="0.2">
      <c r="B7" s="200" t="s">
        <v>477</v>
      </c>
      <c r="D7" s="1066">
        <f>INDEX(NetAssetsData,MATCH('906-6C'!$D$5,NetAssetsDataRow,0),4)</f>
        <v>3318</v>
      </c>
      <c r="F7" s="813" t="s">
        <v>348</v>
      </c>
      <c r="G7" s="2986">
        <f>+Index!$E$13</f>
        <v>0</v>
      </c>
      <c r="H7" s="2986"/>
      <c r="I7" s="2986"/>
      <c r="J7" s="2986"/>
      <c r="P7" s="2177"/>
      <c r="Q7" s="200"/>
      <c r="R7" s="200"/>
      <c r="S7" s="200"/>
      <c r="W7" s="680"/>
    </row>
    <row r="8" spans="2:23" s="684" customFormat="1" ht="12" customHeight="1" x14ac:dyDescent="0.2">
      <c r="B8" s="2989" t="s">
        <v>1834</v>
      </c>
      <c r="C8" s="2990"/>
      <c r="D8" s="2990"/>
      <c r="E8" s="2990"/>
      <c r="F8" s="2990"/>
      <c r="G8" s="2990"/>
      <c r="H8" s="2990"/>
      <c r="I8" s="2990"/>
      <c r="J8" s="2991"/>
      <c r="P8" s="2179"/>
      <c r="Q8" s="38"/>
      <c r="R8" s="38"/>
      <c r="S8" s="38"/>
    </row>
    <row r="9" spans="2:23" x14ac:dyDescent="0.2">
      <c r="B9" s="726"/>
      <c r="C9" s="38"/>
      <c r="D9" s="38"/>
      <c r="E9" s="38"/>
      <c r="F9" s="38"/>
      <c r="G9" s="1254"/>
      <c r="H9" s="38"/>
      <c r="J9" s="2224" t="s">
        <v>1833</v>
      </c>
      <c r="M9" s="1229" t="s">
        <v>1819</v>
      </c>
    </row>
    <row r="10" spans="2:23" x14ac:dyDescent="0.2">
      <c r="B10" s="1298" t="s">
        <v>303</v>
      </c>
      <c r="C10" s="819"/>
      <c r="D10" s="819"/>
      <c r="E10"/>
      <c r="F10"/>
      <c r="G10"/>
      <c r="H10"/>
      <c r="I10"/>
      <c r="J10" s="1087" t="str">
        <f>TEXT(Data!$A$2,"mmmm d,yyyy")</f>
        <v>June 30,2022</v>
      </c>
      <c r="K10" s="687"/>
      <c r="L10" s="687"/>
      <c r="M10" s="1087" t="str">
        <f>TEXT(Data!$A$4,"mmmm d,yyyy")</f>
        <v>June 30,2021</v>
      </c>
      <c r="N10" s="687"/>
    </row>
    <row r="11" spans="2:23" x14ac:dyDescent="0.2">
      <c r="B11" s="2987" t="s">
        <v>630</v>
      </c>
      <c r="C11" s="2987"/>
      <c r="D11" s="2987"/>
      <c r="E11" s="2987"/>
      <c r="F11" s="2987"/>
      <c r="G11" s="2987"/>
      <c r="H11" s="2987"/>
      <c r="I11" s="2987"/>
      <c r="J11" s="396">
        <v>0</v>
      </c>
      <c r="K11" s="688"/>
      <c r="L11" s="688"/>
      <c r="M11" s="842">
        <f>HLOOKUP($D$5,PriorYr906!$J$9:$K$87,3,FALSE)</f>
        <v>0</v>
      </c>
      <c r="N11" s="688"/>
      <c r="P11" s="2180">
        <v>11111000</v>
      </c>
    </row>
    <row r="12" spans="2:23" x14ac:dyDescent="0.2">
      <c r="B12" s="567" t="s">
        <v>483</v>
      </c>
      <c r="C12" s="819"/>
      <c r="D12"/>
      <c r="E12"/>
      <c r="F12"/>
      <c r="G12"/>
      <c r="H12"/>
      <c r="I12"/>
      <c r="J12" s="689"/>
      <c r="K12" s="688"/>
      <c r="L12" s="688"/>
      <c r="M12" s="643"/>
      <c r="N12" s="690"/>
    </row>
    <row r="13" spans="2:23" x14ac:dyDescent="0.2">
      <c r="B13" s="2987" t="s">
        <v>1219</v>
      </c>
      <c r="C13" s="2987"/>
      <c r="D13" s="2987"/>
      <c r="E13" s="2987"/>
      <c r="F13" s="2987"/>
      <c r="G13" s="2987"/>
      <c r="H13" s="2987"/>
      <c r="I13" s="2987"/>
      <c r="J13" s="397">
        <v>0</v>
      </c>
      <c r="K13" s="688"/>
      <c r="L13" s="688"/>
      <c r="M13" s="393">
        <f>HLOOKUP($D$5,PriorYr906!$J$9:$K$87,5,FALSE)</f>
        <v>0</v>
      </c>
      <c r="N13" s="690"/>
      <c r="P13" s="2180">
        <v>11210100</v>
      </c>
    </row>
    <row r="14" spans="2:23" x14ac:dyDescent="0.2">
      <c r="B14" s="2987" t="s">
        <v>1217</v>
      </c>
      <c r="C14" s="2987"/>
      <c r="D14" s="2987"/>
      <c r="E14" s="2987"/>
      <c r="F14" s="2987"/>
      <c r="G14" s="2987"/>
      <c r="H14" s="2987"/>
      <c r="I14" s="2987"/>
      <c r="J14" s="397">
        <v>0</v>
      </c>
      <c r="K14" s="688"/>
      <c r="L14" s="688"/>
      <c r="M14" s="393">
        <f>HLOOKUP($D$5,PriorYr906!$J$9:$K$87,6,FALSE)</f>
        <v>0</v>
      </c>
      <c r="N14" s="690"/>
      <c r="R14" s="272" t="s">
        <v>5124</v>
      </c>
    </row>
    <row r="15" spans="2:23" x14ac:dyDescent="0.2">
      <c r="B15" s="2987" t="s">
        <v>1218</v>
      </c>
      <c r="C15" s="2987"/>
      <c r="D15" s="2987"/>
      <c r="E15" s="2987"/>
      <c r="F15" s="2987"/>
      <c r="G15" s="2987"/>
      <c r="H15" s="2987"/>
      <c r="I15" s="2987"/>
      <c r="J15" s="397">
        <v>0</v>
      </c>
      <c r="K15" s="688"/>
      <c r="L15" s="688"/>
      <c r="M15" s="393">
        <f>HLOOKUP($D$5,PriorYr906!$J$9:$K$87,7,FALSE)</f>
        <v>0</v>
      </c>
      <c r="N15" s="690"/>
      <c r="P15" s="2176">
        <v>11212400</v>
      </c>
      <c r="R15" s="272"/>
    </row>
    <row r="16" spans="2:23" x14ac:dyDescent="0.2">
      <c r="B16" s="2987" t="s">
        <v>1220</v>
      </c>
      <c r="C16" s="2987"/>
      <c r="D16" s="2987"/>
      <c r="E16" s="2987"/>
      <c r="F16" s="2987"/>
      <c r="G16" s="2987"/>
      <c r="H16" s="2987"/>
      <c r="I16" s="2987"/>
      <c r="J16" s="397">
        <v>0</v>
      </c>
      <c r="K16" s="688"/>
      <c r="L16" s="688"/>
      <c r="M16" s="393">
        <f>HLOOKUP($D$5,PriorYr906!$J$9:$K$87,8,FALSE)</f>
        <v>0</v>
      </c>
      <c r="N16" s="690"/>
      <c r="P16" s="2180">
        <v>11211100</v>
      </c>
    </row>
    <row r="17" spans="2:18" x14ac:dyDescent="0.2">
      <c r="B17" s="2987" t="s">
        <v>1215</v>
      </c>
      <c r="C17" s="2987"/>
      <c r="D17" s="2987"/>
      <c r="E17" s="2987"/>
      <c r="F17" s="2987"/>
      <c r="G17" s="2987"/>
      <c r="H17" s="2987"/>
      <c r="I17" s="2987"/>
      <c r="J17" s="397">
        <v>0</v>
      </c>
      <c r="K17" s="688"/>
      <c r="L17" s="688"/>
      <c r="M17" s="393">
        <f>HLOOKUP($D$5,PriorYr906!$J$9:$K$87,9,FALSE)</f>
        <v>0</v>
      </c>
      <c r="N17" s="690"/>
      <c r="R17" s="272" t="s">
        <v>5124</v>
      </c>
    </row>
    <row r="18" spans="2:18" x14ac:dyDescent="0.2">
      <c r="B18" s="2987" t="s">
        <v>1566</v>
      </c>
      <c r="C18" s="2987"/>
      <c r="D18" s="2987"/>
      <c r="E18" s="2987"/>
      <c r="F18" s="2987"/>
      <c r="G18" s="2987"/>
      <c r="H18" s="2987"/>
      <c r="I18" s="2987"/>
      <c r="J18" s="397">
        <v>0</v>
      </c>
      <c r="K18" s="688"/>
      <c r="L18" s="688"/>
      <c r="M18" s="393">
        <f>HLOOKUP($D$5,PriorYr906!$J$9:$K$87,10,FALSE)</f>
        <v>0</v>
      </c>
      <c r="N18" s="690"/>
      <c r="R18" s="272" t="s">
        <v>5124</v>
      </c>
    </row>
    <row r="19" spans="2:18" x14ac:dyDescent="0.2">
      <c r="B19" s="2987" t="s">
        <v>1216</v>
      </c>
      <c r="C19" s="2987"/>
      <c r="D19" s="2987"/>
      <c r="E19" s="2987"/>
      <c r="F19" s="2987"/>
      <c r="G19" s="2987"/>
      <c r="H19" s="2987"/>
      <c r="I19" s="2987"/>
      <c r="J19" s="397">
        <v>0</v>
      </c>
      <c r="K19" s="688"/>
      <c r="L19" s="688"/>
      <c r="M19" s="393">
        <f>HLOOKUP($D$5,PriorYr906!$J$9:$K$87,11,FALSE)</f>
        <v>0</v>
      </c>
      <c r="N19" s="690"/>
      <c r="P19" s="2180">
        <v>11210500</v>
      </c>
    </row>
    <row r="20" spans="2:18" x14ac:dyDescent="0.2">
      <c r="B20" s="2987" t="s">
        <v>492</v>
      </c>
      <c r="C20" s="2987"/>
      <c r="D20" s="2987"/>
      <c r="E20" s="2987"/>
      <c r="F20" s="2987"/>
      <c r="G20" s="2987"/>
      <c r="H20" s="2987"/>
      <c r="I20" s="2987"/>
      <c r="J20" s="397">
        <v>0</v>
      </c>
      <c r="K20" s="688"/>
      <c r="L20" s="688"/>
      <c r="M20" s="393">
        <f>HLOOKUP($D$5,PriorYr906!$J$9:$K$87,12,FALSE)</f>
        <v>0</v>
      </c>
      <c r="N20" s="690"/>
      <c r="P20" s="2180">
        <v>11210600</v>
      </c>
    </row>
    <row r="21" spans="2:18" x14ac:dyDescent="0.2">
      <c r="B21" s="2987" t="s">
        <v>487</v>
      </c>
      <c r="C21" s="2987"/>
      <c r="D21" s="2987"/>
      <c r="E21" s="2987"/>
      <c r="F21" s="2987"/>
      <c r="G21" s="2987"/>
      <c r="H21" s="2987"/>
      <c r="I21" s="2987"/>
      <c r="J21" s="397">
        <v>0</v>
      </c>
      <c r="K21" s="688"/>
      <c r="L21" s="688"/>
      <c r="M21" s="393">
        <f>HLOOKUP($D$5,PriorYr906!$J$9:$K$87,13,FALSE)</f>
        <v>0</v>
      </c>
      <c r="N21" s="690"/>
      <c r="P21" s="2176">
        <v>11210800</v>
      </c>
    </row>
    <row r="22" spans="2:18" x14ac:dyDescent="0.2">
      <c r="B22" s="2987" t="s">
        <v>491</v>
      </c>
      <c r="C22" s="2987"/>
      <c r="D22" s="2987"/>
      <c r="E22" s="2987"/>
      <c r="F22" s="2987"/>
      <c r="G22" s="2987"/>
      <c r="H22" s="2987"/>
      <c r="I22" s="2987"/>
      <c r="J22" s="397">
        <v>0</v>
      </c>
      <c r="K22" s="688"/>
      <c r="L22" s="688"/>
      <c r="M22" s="393">
        <f>HLOOKUP($D$5,PriorYr906!$J$9:$K$87,14,FALSE)</f>
        <v>0</v>
      </c>
      <c r="N22" s="690"/>
      <c r="P22" s="2176">
        <v>11211000</v>
      </c>
    </row>
    <row r="23" spans="2:18" x14ac:dyDescent="0.2">
      <c r="B23" s="2987" t="s">
        <v>495</v>
      </c>
      <c r="C23" s="2987"/>
      <c r="D23" s="2987"/>
      <c r="E23" s="2987"/>
      <c r="F23" s="2987"/>
      <c r="G23" s="2987"/>
      <c r="H23" s="2987"/>
      <c r="I23" s="2987"/>
      <c r="J23" s="397">
        <v>0</v>
      </c>
      <c r="K23" s="688"/>
      <c r="L23" s="688"/>
      <c r="M23" s="393">
        <f>HLOOKUP($D$5,PriorYr906!$J$9:$K$87,15,FALSE)</f>
        <v>0</v>
      </c>
      <c r="N23" s="690"/>
      <c r="P23" s="2176">
        <v>11211300</v>
      </c>
    </row>
    <row r="24" spans="2:18" x14ac:dyDescent="0.2">
      <c r="B24" s="2988" t="s">
        <v>1850</v>
      </c>
      <c r="C24" s="2987"/>
      <c r="D24" s="2987"/>
      <c r="E24" s="2987"/>
      <c r="F24" s="2987"/>
      <c r="G24" s="2987"/>
      <c r="H24" s="2987"/>
      <c r="I24" s="2987"/>
      <c r="J24" s="397">
        <v>0</v>
      </c>
      <c r="K24" s="688"/>
      <c r="L24" s="688"/>
      <c r="M24" s="393">
        <f>HLOOKUP($D$5,PriorYr906!$J$9:$K$87,16,FALSE)</f>
        <v>40136965.57</v>
      </c>
      <c r="N24" s="690"/>
      <c r="P24" s="2176" t="s">
        <v>5125</v>
      </c>
    </row>
    <row r="25" spans="2:18" x14ac:dyDescent="0.2">
      <c r="B25" s="2987" t="s">
        <v>1681</v>
      </c>
      <c r="C25" s="2987"/>
      <c r="D25" s="2987"/>
      <c r="E25" s="2987"/>
      <c r="F25" s="2987"/>
      <c r="G25" s="2987"/>
      <c r="H25" s="2987"/>
      <c r="I25" s="2987"/>
      <c r="J25" s="397">
        <v>0</v>
      </c>
      <c r="K25" s="688"/>
      <c r="L25" s="688"/>
      <c r="M25" s="393">
        <f>HLOOKUP($D$5,PriorYr906!$J$9:$K$87,17,FALSE)</f>
        <v>0</v>
      </c>
      <c r="N25" s="690"/>
      <c r="R25" s="272" t="s">
        <v>5124</v>
      </c>
    </row>
    <row r="26" spans="2:18" x14ac:dyDescent="0.2">
      <c r="B26" s="2987" t="s">
        <v>1691</v>
      </c>
      <c r="C26" s="2987"/>
      <c r="D26" s="2987"/>
      <c r="E26" s="2987"/>
      <c r="F26" s="2987"/>
      <c r="G26" s="2987"/>
      <c r="H26" s="2987"/>
      <c r="I26" s="2987"/>
      <c r="J26" s="397">
        <v>0</v>
      </c>
      <c r="K26" s="688"/>
      <c r="L26" s="688"/>
      <c r="M26" s="393">
        <f>HLOOKUP($D$5,PriorYr906!$J$9:$K$87,18,FALSE)</f>
        <v>204176145.34999999</v>
      </c>
      <c r="N26" s="690"/>
      <c r="P26" s="2176" t="s">
        <v>5126</v>
      </c>
    </row>
    <row r="27" spans="2:18" x14ac:dyDescent="0.2">
      <c r="B27" s="2987" t="s">
        <v>1692</v>
      </c>
      <c r="C27" s="2987"/>
      <c r="D27" s="2987"/>
      <c r="E27" s="2987"/>
      <c r="F27" s="2987"/>
      <c r="G27" s="2987"/>
      <c r="H27" s="2987"/>
      <c r="I27" s="2987"/>
      <c r="J27" s="397">
        <v>0</v>
      </c>
      <c r="K27" s="688"/>
      <c r="L27" s="688"/>
      <c r="M27" s="393">
        <f>HLOOKUP($D$5,PriorYr906!$J$9:$K$87,19,FALSE)</f>
        <v>1725594767.3099999</v>
      </c>
      <c r="N27" s="690"/>
      <c r="P27" s="2176" t="s">
        <v>5127</v>
      </c>
    </row>
    <row r="28" spans="2:18" x14ac:dyDescent="0.2">
      <c r="B28" s="2987" t="s">
        <v>1401</v>
      </c>
      <c r="C28" s="2987"/>
      <c r="D28" s="2987"/>
      <c r="E28" s="2987"/>
      <c r="F28" s="2987"/>
      <c r="G28" s="2987"/>
      <c r="H28" s="2987"/>
      <c r="I28" s="2987"/>
      <c r="J28" s="397">
        <v>0</v>
      </c>
      <c r="K28" s="688"/>
      <c r="L28" s="688"/>
      <c r="M28" s="393">
        <f>HLOOKUP($D$5,PriorYr906!$J$9:$K$87,20,FALSE)</f>
        <v>10839205191.65</v>
      </c>
      <c r="N28" s="690"/>
      <c r="P28" s="2176">
        <v>11212300</v>
      </c>
    </row>
    <row r="29" spans="2:18" x14ac:dyDescent="0.2">
      <c r="B29" s="2987" t="s">
        <v>1403</v>
      </c>
      <c r="C29" s="2987"/>
      <c r="D29" s="2987"/>
      <c r="E29" s="2987"/>
      <c r="F29" s="2987"/>
      <c r="G29" s="2987"/>
      <c r="H29" s="2987"/>
      <c r="I29" s="2987"/>
      <c r="J29" s="397">
        <v>0</v>
      </c>
      <c r="K29" s="688"/>
      <c r="L29" s="688"/>
      <c r="M29" s="393">
        <f>HLOOKUP($D$5,PriorYr906!$J$9:$K$87,21,FALSE)</f>
        <v>0</v>
      </c>
      <c r="N29" s="690"/>
      <c r="P29" s="2176">
        <v>11230000</v>
      </c>
    </row>
    <row r="30" spans="2:18" x14ac:dyDescent="0.2">
      <c r="B30" s="819" t="s">
        <v>198</v>
      </c>
      <c r="C30" s="819"/>
      <c r="D30"/>
      <c r="E30"/>
      <c r="F30"/>
      <c r="G30"/>
      <c r="H30"/>
      <c r="I30"/>
      <c r="K30" s="688"/>
      <c r="L30" s="688"/>
      <c r="M30" s="393">
        <f>HLOOKUP($D$5,PriorYr906!$J$9:$K$87,22,FALSE)</f>
        <v>0</v>
      </c>
      <c r="N30" s="690"/>
    </row>
    <row r="31" spans="2:18" x14ac:dyDescent="0.2">
      <c r="B31" s="2987" t="s">
        <v>829</v>
      </c>
      <c r="C31" s="2987"/>
      <c r="D31" s="2987"/>
      <c r="E31" s="2987"/>
      <c r="F31" s="2987"/>
      <c r="G31" s="2987"/>
      <c r="H31" s="2987"/>
      <c r="I31" s="2987"/>
      <c r="J31" s="397">
        <v>0</v>
      </c>
      <c r="K31" s="688"/>
      <c r="L31" s="688"/>
      <c r="M31" s="393">
        <f>HLOOKUP($D$5,PriorYr906!$J$9:$K$87,23,FALSE)</f>
        <v>3854.11</v>
      </c>
      <c r="N31" s="690"/>
      <c r="P31" s="2176">
        <v>11320000</v>
      </c>
    </row>
    <row r="32" spans="2:18" x14ac:dyDescent="0.2">
      <c r="B32" s="2987" t="s">
        <v>830</v>
      </c>
      <c r="C32" s="2987"/>
      <c r="D32" s="2987"/>
      <c r="E32" s="2987"/>
      <c r="F32" s="2987"/>
      <c r="G32" s="2987"/>
      <c r="H32" s="2987"/>
      <c r="I32" s="2987"/>
      <c r="J32" s="397">
        <v>0</v>
      </c>
      <c r="K32" s="688"/>
      <c r="L32" s="688"/>
      <c r="M32" s="393">
        <f>HLOOKUP($D$5,PriorYr906!$J$9:$K$87,24,FALSE)</f>
        <v>0</v>
      </c>
      <c r="N32" s="690"/>
      <c r="P32" s="2176">
        <v>11352000</v>
      </c>
    </row>
    <row r="33" spans="2:16" x14ac:dyDescent="0.2">
      <c r="B33" s="2987" t="s">
        <v>831</v>
      </c>
      <c r="C33" s="2987"/>
      <c r="D33" s="2987"/>
      <c r="E33" s="2987"/>
      <c r="F33" s="2987"/>
      <c r="G33" s="2987"/>
      <c r="H33" s="2987"/>
      <c r="I33" s="2987"/>
      <c r="J33" s="397">
        <v>0</v>
      </c>
      <c r="K33" s="688"/>
      <c r="L33" s="688"/>
      <c r="M33" s="393">
        <f>HLOOKUP($D$5,PriorYr906!$J$9:$K$87,25,FALSE)</f>
        <v>9805776.3100000005</v>
      </c>
      <c r="N33" s="690"/>
      <c r="P33" s="2176">
        <v>11370000</v>
      </c>
    </row>
    <row r="34" spans="2:16" x14ac:dyDescent="0.2">
      <c r="B34" s="2987" t="s">
        <v>549</v>
      </c>
      <c r="C34" s="2987"/>
      <c r="D34" s="2987"/>
      <c r="E34" s="2987"/>
      <c r="F34" s="2987"/>
      <c r="G34" s="2987"/>
      <c r="H34" s="2987"/>
      <c r="I34" s="2987"/>
      <c r="J34" s="397">
        <v>0</v>
      </c>
      <c r="K34" s="688"/>
      <c r="L34" s="688"/>
      <c r="M34" s="393">
        <f>HLOOKUP($D$5,PriorYr906!$J$9:$K$87,26,FALSE)</f>
        <v>277902600.38999999</v>
      </c>
      <c r="N34" s="690"/>
      <c r="P34" s="2176">
        <v>11510000</v>
      </c>
    </row>
    <row r="35" spans="2:16" x14ac:dyDescent="0.2">
      <c r="B35" s="2987" t="s">
        <v>931</v>
      </c>
      <c r="C35" s="2987"/>
      <c r="D35" s="2987"/>
      <c r="E35" s="2987"/>
      <c r="F35" s="2987"/>
      <c r="G35" s="2987"/>
      <c r="H35" s="2987"/>
      <c r="I35" s="2987"/>
      <c r="J35" s="397">
        <v>0</v>
      </c>
      <c r="K35" s="688"/>
      <c r="L35" s="688"/>
      <c r="M35" s="393">
        <f>HLOOKUP($D$5,PriorYr906!$J$9:$K$87,27,FALSE)</f>
        <v>0</v>
      </c>
      <c r="N35" s="690"/>
      <c r="P35" s="2176">
        <v>11699000</v>
      </c>
    </row>
    <row r="36" spans="2:16" x14ac:dyDescent="0.2">
      <c r="B36" s="2987" t="s">
        <v>1095</v>
      </c>
      <c r="C36" s="2987"/>
      <c r="D36" s="2987"/>
      <c r="E36" s="2987"/>
      <c r="F36" s="2987"/>
      <c r="G36" s="2987"/>
      <c r="H36" s="2987"/>
      <c r="I36" s="2987"/>
      <c r="J36" s="397">
        <v>0</v>
      </c>
      <c r="K36" s="688"/>
      <c r="L36" s="688"/>
      <c r="M36" s="393">
        <f>HLOOKUP($D$5,PriorYr906!$J$9:$K$87,28,FALSE)</f>
        <v>0</v>
      </c>
      <c r="N36" s="690"/>
      <c r="P36" s="2176">
        <v>11930000</v>
      </c>
    </row>
    <row r="37" spans="2:16" x14ac:dyDescent="0.2">
      <c r="B37" s="2987" t="s">
        <v>484</v>
      </c>
      <c r="C37" s="2987"/>
      <c r="D37" s="2987"/>
      <c r="E37" s="2987"/>
      <c r="F37" s="2987"/>
      <c r="G37" s="2987"/>
      <c r="H37" s="2987"/>
      <c r="I37" s="2987"/>
      <c r="J37" s="397">
        <v>0</v>
      </c>
      <c r="K37" s="688"/>
      <c r="L37" s="688"/>
      <c r="M37" s="393">
        <f>HLOOKUP($D$5,PriorYr906!$J$9:$K$87,29,FALSE)</f>
        <v>0</v>
      </c>
      <c r="N37" s="690"/>
      <c r="P37" s="2176">
        <v>12700000</v>
      </c>
    </row>
    <row r="38" spans="2:16" x14ac:dyDescent="0.2">
      <c r="B38" s="2987" t="s">
        <v>485</v>
      </c>
      <c r="C38" s="2987"/>
      <c r="D38" s="2987"/>
      <c r="E38" s="2987"/>
      <c r="F38" s="2987"/>
      <c r="G38" s="2987"/>
      <c r="H38" s="2987"/>
      <c r="I38" s="2987"/>
      <c r="J38" s="644">
        <v>0</v>
      </c>
      <c r="K38" s="688"/>
      <c r="L38" s="688"/>
      <c r="M38" s="393">
        <f>HLOOKUP($D$5,PriorYr906!$J$9:$K$87,30,FALSE)</f>
        <v>0</v>
      </c>
      <c r="N38" s="690"/>
      <c r="P38" s="2176">
        <v>12710000</v>
      </c>
    </row>
    <row r="39" spans="2:16" x14ac:dyDescent="0.2">
      <c r="B39" s="2987" t="s">
        <v>272</v>
      </c>
      <c r="C39" s="2987"/>
      <c r="D39" s="2987"/>
      <c r="E39" s="2987"/>
      <c r="F39" s="2987"/>
      <c r="G39" s="2987"/>
      <c r="H39" s="2987"/>
      <c r="I39" s="2987"/>
      <c r="J39" s="706">
        <f>SUM(J10:J38)</f>
        <v>0</v>
      </c>
      <c r="K39" s="688"/>
      <c r="L39" s="688"/>
      <c r="M39" s="706">
        <f>SUM(M10:M38)</f>
        <v>13096825300.690001</v>
      </c>
      <c r="N39" s="690"/>
    </row>
    <row r="40" spans="2:16" x14ac:dyDescent="0.2">
      <c r="B40" s="1300"/>
      <c r="C40" s="819"/>
      <c r="D40"/>
      <c r="E40"/>
      <c r="F40"/>
      <c r="G40"/>
      <c r="H40"/>
      <c r="I40"/>
      <c r="J40" s="695"/>
      <c r="K40" s="688"/>
      <c r="L40" s="688"/>
      <c r="M40" s="643"/>
      <c r="N40" s="690"/>
    </row>
    <row r="41" spans="2:16" x14ac:dyDescent="0.2">
      <c r="B41" s="1298" t="s">
        <v>486</v>
      </c>
      <c r="C41" s="819"/>
      <c r="D41"/>
      <c r="E41"/>
      <c r="F41"/>
      <c r="G41"/>
      <c r="H41"/>
      <c r="I41"/>
      <c r="J41" s="695"/>
      <c r="K41" s="688"/>
      <c r="L41" s="688"/>
      <c r="M41" s="643"/>
      <c r="N41" s="690"/>
    </row>
    <row r="42" spans="2:16" x14ac:dyDescent="0.2">
      <c r="B42" s="1301" t="s">
        <v>275</v>
      </c>
      <c r="C42" s="819"/>
      <c r="D42"/>
      <c r="E42"/>
      <c r="F42"/>
      <c r="G42"/>
      <c r="H42"/>
      <c r="I42"/>
      <c r="J42" s="695"/>
      <c r="K42" s="688"/>
      <c r="L42" s="688"/>
      <c r="M42" s="643"/>
      <c r="N42" s="690"/>
    </row>
    <row r="43" spans="2:16" x14ac:dyDescent="0.2">
      <c r="B43" s="2994" t="s">
        <v>1060</v>
      </c>
      <c r="C43" s="2994"/>
      <c r="D43" s="2994"/>
      <c r="E43" s="2994"/>
      <c r="F43" s="2994"/>
      <c r="G43" s="2994"/>
      <c r="H43" s="2994"/>
      <c r="I43" s="2994"/>
      <c r="J43" s="397">
        <v>0</v>
      </c>
      <c r="K43" s="688"/>
      <c r="L43" s="688"/>
      <c r="M43" s="393">
        <f>HLOOKUP($D$5,PriorYr906!$J$9:$K$87,35,FALSE)</f>
        <v>1247701.68</v>
      </c>
      <c r="N43" s="690"/>
      <c r="P43" s="2176">
        <v>21110000</v>
      </c>
    </row>
    <row r="44" spans="2:16" x14ac:dyDescent="0.2">
      <c r="B44" s="2994" t="s">
        <v>816</v>
      </c>
      <c r="C44" s="2994"/>
      <c r="D44" s="2994"/>
      <c r="E44" s="2994"/>
      <c r="F44" s="2994"/>
      <c r="G44" s="2994"/>
      <c r="H44" s="2994"/>
      <c r="I44" s="2994"/>
      <c r="J44" s="397">
        <v>0</v>
      </c>
      <c r="K44" s="688"/>
      <c r="L44" s="688"/>
      <c r="M44" s="393">
        <f>HLOOKUP($D$5,PriorYr906!$J$9:$K$87,36,FALSE)</f>
        <v>0</v>
      </c>
      <c r="N44" s="690"/>
      <c r="P44" s="2176">
        <v>21131000</v>
      </c>
    </row>
    <row r="45" spans="2:16" x14ac:dyDescent="0.2">
      <c r="B45" s="2994" t="s">
        <v>1078</v>
      </c>
      <c r="C45" s="2994"/>
      <c r="D45" s="2994"/>
      <c r="E45" s="2994"/>
      <c r="F45" s="2994"/>
      <c r="G45" s="2994"/>
      <c r="H45" s="2994"/>
      <c r="I45" s="2994"/>
      <c r="J45" s="397">
        <v>0</v>
      </c>
      <c r="K45" s="688"/>
      <c r="L45" s="688"/>
      <c r="M45" s="393">
        <f>HLOOKUP($D$5,PriorYr906!$J$9:$K$87,37,FALSE)</f>
        <v>0</v>
      </c>
      <c r="N45" s="690"/>
      <c r="P45" s="2176">
        <v>21511000</v>
      </c>
    </row>
    <row r="46" spans="2:16" x14ac:dyDescent="0.2">
      <c r="B46" s="2997" t="s">
        <v>1402</v>
      </c>
      <c r="C46" s="2997"/>
      <c r="D46" s="2997"/>
      <c r="E46" s="2997"/>
      <c r="F46" s="2997"/>
      <c r="G46" s="2997"/>
      <c r="H46" s="2997"/>
      <c r="I46" s="2997"/>
      <c r="J46" s="397">
        <v>0</v>
      </c>
      <c r="K46" s="688"/>
      <c r="L46" s="688"/>
      <c r="M46" s="393">
        <f>HLOOKUP($D$5,PriorYr906!$J$9:$K$87,38,FALSE)</f>
        <v>0</v>
      </c>
      <c r="N46" s="690"/>
      <c r="P46" s="2176">
        <v>21315000</v>
      </c>
    </row>
    <row r="47" spans="2:16" x14ac:dyDescent="0.2">
      <c r="B47" s="2997" t="s">
        <v>569</v>
      </c>
      <c r="C47" s="2997"/>
      <c r="D47" s="2997"/>
      <c r="E47" s="2997"/>
      <c r="F47" s="2997"/>
      <c r="G47" s="2997"/>
      <c r="H47" s="2997"/>
      <c r="I47" s="2997"/>
      <c r="J47" s="397">
        <v>0</v>
      </c>
      <c r="K47" s="688"/>
      <c r="L47" s="688"/>
      <c r="M47" s="393">
        <f>HLOOKUP($D$5,PriorYr906!$J$9:$K$87,39,FALSE)</f>
        <v>0</v>
      </c>
      <c r="N47" s="690"/>
      <c r="P47" s="2176">
        <v>21811000</v>
      </c>
    </row>
    <row r="48" spans="2:16" x14ac:dyDescent="0.2">
      <c r="B48" s="2997" t="s">
        <v>739</v>
      </c>
      <c r="C48" s="2997"/>
      <c r="D48" s="2997"/>
      <c r="E48" s="2997"/>
      <c r="F48" s="2997"/>
      <c r="G48" s="2997"/>
      <c r="H48" s="2997"/>
      <c r="I48" s="2997"/>
      <c r="J48" s="397">
        <v>0</v>
      </c>
      <c r="K48" s="688"/>
      <c r="L48" s="688"/>
      <c r="M48" s="393">
        <f>HLOOKUP($D$5,PriorYr906!$J$9:$K$87,40,FALSE)</f>
        <v>0</v>
      </c>
      <c r="N48" s="690"/>
      <c r="P48" s="2176">
        <v>21712000</v>
      </c>
    </row>
    <row r="49" spans="2:17" x14ac:dyDescent="0.2">
      <c r="B49" s="2987" t="s">
        <v>701</v>
      </c>
      <c r="C49" s="2987"/>
      <c r="D49" s="2987"/>
      <c r="E49" s="2987"/>
      <c r="F49" s="2987"/>
      <c r="G49" s="2987"/>
      <c r="H49" s="2987"/>
      <c r="I49" s="2987"/>
      <c r="J49" s="397">
        <v>0</v>
      </c>
      <c r="K49" s="688"/>
      <c r="L49" s="688"/>
      <c r="M49" s="393">
        <f>HLOOKUP($D$5,PriorYr906!$J$9:$K$87,41,FALSE)</f>
        <v>0</v>
      </c>
      <c r="N49" s="690"/>
      <c r="P49" s="2176">
        <v>21719000</v>
      </c>
    </row>
    <row r="50" spans="2:17" x14ac:dyDescent="0.2">
      <c r="B50" s="2997" t="s">
        <v>80</v>
      </c>
      <c r="C50" s="2997"/>
      <c r="D50" s="2997"/>
      <c r="E50" s="2997"/>
      <c r="F50" s="2997"/>
      <c r="G50" s="2997"/>
      <c r="H50" s="2997"/>
      <c r="I50" s="2997"/>
      <c r="J50" s="644">
        <v>0</v>
      </c>
      <c r="K50" s="688"/>
      <c r="L50" s="688"/>
      <c r="M50" s="393">
        <f>HLOOKUP($D$5,PriorYr906!$J$9:$K$87,42,FALSE)</f>
        <v>0</v>
      </c>
      <c r="N50" s="690"/>
      <c r="P50" s="2176">
        <v>21192000</v>
      </c>
    </row>
    <row r="51" spans="2:17" x14ac:dyDescent="0.2">
      <c r="B51" s="2987" t="s">
        <v>791</v>
      </c>
      <c r="C51" s="2987"/>
      <c r="D51" s="2987"/>
      <c r="E51" s="2987"/>
      <c r="F51" s="2987"/>
      <c r="G51" s="2987"/>
      <c r="H51" s="2987"/>
      <c r="I51" s="2987"/>
      <c r="J51" s="706">
        <f>SUM(J42:J50)</f>
        <v>0</v>
      </c>
      <c r="K51" s="688"/>
      <c r="L51" s="688"/>
      <c r="M51" s="706">
        <f>SUM(M42:M50)</f>
        <v>1247701.68</v>
      </c>
      <c r="N51" s="690"/>
    </row>
    <row r="52" spans="2:17" x14ac:dyDescent="0.2">
      <c r="B52" s="1302"/>
      <c r="C52" s="1302"/>
      <c r="D52"/>
      <c r="E52"/>
      <c r="F52"/>
      <c r="G52"/>
      <c r="H52"/>
      <c r="I52"/>
      <c r="J52" s="698"/>
      <c r="K52" s="688"/>
      <c r="L52" s="688"/>
      <c r="M52" s="399"/>
      <c r="N52" s="690"/>
    </row>
    <row r="53" spans="2:17" x14ac:dyDescent="0.2">
      <c r="B53" s="1434" t="s">
        <v>1888</v>
      </c>
      <c r="C53"/>
      <c r="D53"/>
      <c r="E53"/>
      <c r="F53"/>
      <c r="G53"/>
      <c r="H53"/>
      <c r="I53"/>
      <c r="K53" s="688"/>
      <c r="L53" s="688"/>
      <c r="M53" s="399"/>
      <c r="N53" s="690"/>
    </row>
    <row r="54" spans="2:17" x14ac:dyDescent="0.2">
      <c r="B54" s="3002" t="s">
        <v>792</v>
      </c>
      <c r="C54" s="3003"/>
      <c r="D54" s="3003"/>
      <c r="E54" s="3003"/>
      <c r="F54" s="3003"/>
      <c r="G54" s="3003"/>
      <c r="H54" s="3003"/>
      <c r="I54" s="3003"/>
      <c r="K54" s="688"/>
      <c r="L54" s="688"/>
      <c r="M54" s="399"/>
      <c r="N54" s="690"/>
    </row>
    <row r="55" spans="2:17" x14ac:dyDescent="0.2">
      <c r="B55" s="2999" t="s">
        <v>3840</v>
      </c>
      <c r="C55" s="2997"/>
      <c r="D55" s="2997"/>
      <c r="E55" s="2997"/>
      <c r="F55" s="2997"/>
      <c r="G55" s="2997"/>
      <c r="H55" s="2997"/>
      <c r="I55" s="2997"/>
      <c r="J55" s="397">
        <v>0</v>
      </c>
      <c r="K55" s="688"/>
      <c r="L55" s="688"/>
      <c r="M55" s="393">
        <f>HLOOKUP($D$5,PriorYr906!$J$9:$K$87,47,FALSE)</f>
        <v>13095577599.01</v>
      </c>
      <c r="N55" s="690"/>
      <c r="P55" s="2176" t="s">
        <v>5131</v>
      </c>
      <c r="Q55" s="2128"/>
    </row>
    <row r="56" spans="2:17" ht="13.5" thickBot="1" x14ac:dyDescent="0.25">
      <c r="B56" s="2995" t="s">
        <v>1889</v>
      </c>
      <c r="C56" s="2996"/>
      <c r="D56" s="2996"/>
      <c r="E56" s="2996"/>
      <c r="F56" s="2996"/>
      <c r="G56" s="2996"/>
      <c r="H56" s="2996"/>
      <c r="I56" s="2996"/>
      <c r="J56" s="707">
        <f>SUM(J54:J55)</f>
        <v>0</v>
      </c>
      <c r="K56" s="688"/>
      <c r="L56" s="688"/>
      <c r="M56" s="707">
        <f>SUM(M54:M55)</f>
        <v>13095577599.01</v>
      </c>
      <c r="N56" s="690"/>
    </row>
    <row r="57" spans="2:17" ht="13.5" thickTop="1" x14ac:dyDescent="0.2">
      <c r="B57" s="1303"/>
      <c r="C57" s="1303"/>
      <c r="D57" s="1303"/>
      <c r="E57" s="1303"/>
      <c r="F57" s="1303"/>
      <c r="G57" s="1303"/>
      <c r="H57" s="1303"/>
      <c r="I57" s="1303"/>
      <c r="K57" s="688"/>
      <c r="L57" s="688"/>
      <c r="M57" s="398"/>
      <c r="N57" s="690"/>
    </row>
    <row r="58" spans="2:17" x14ac:dyDescent="0.2">
      <c r="B58" s="2995" t="s">
        <v>1899</v>
      </c>
      <c r="C58" s="2996"/>
      <c r="D58" s="2996"/>
      <c r="E58" s="2996"/>
      <c r="F58" s="2996"/>
      <c r="G58" s="2996"/>
      <c r="H58" s="2996"/>
      <c r="I58" s="2996"/>
      <c r="J58" s="1258" t="str">
        <f>IF(J39-J51=J56,"In Balance","NOT BALANCED")</f>
        <v>In Balance</v>
      </c>
      <c r="K58" s="688"/>
      <c r="L58" s="688"/>
      <c r="M58" s="1258" t="str">
        <f>IF(M39-M51=M56,"In Balance","NOT BALANCED")</f>
        <v>In Balance</v>
      </c>
      <c r="N58" s="690"/>
    </row>
    <row r="59" spans="2:17" x14ac:dyDescent="0.2">
      <c r="B59"/>
      <c r="C59"/>
      <c r="D59"/>
      <c r="E59"/>
      <c r="F59"/>
      <c r="G59"/>
      <c r="H59"/>
      <c r="I59"/>
      <c r="K59" s="688"/>
      <c r="L59" s="688"/>
      <c r="M59" s="398"/>
      <c r="N59" s="690"/>
    </row>
    <row r="60" spans="2:17" x14ac:dyDescent="0.2">
      <c r="B60" s="1304" t="s">
        <v>986</v>
      </c>
      <c r="C60"/>
      <c r="D60"/>
      <c r="E60"/>
      <c r="F60"/>
      <c r="G60"/>
      <c r="H60"/>
      <c r="I60"/>
      <c r="J60" s="1253" t="str">
        <f>CONCATENATE("FYE ",+TEXT(Data!$A$2,"mmmm d,yyyy"))</f>
        <v>FYE June 30,2022</v>
      </c>
      <c r="K60" s="688"/>
      <c r="L60" s="688"/>
      <c r="M60" s="1255" t="str">
        <f>CONCATENATE("FYE ",+TEXT(Data!$A$4,"mmmm d,yyyy"))</f>
        <v>FYE June 30,2021</v>
      </c>
      <c r="N60" s="690"/>
    </row>
    <row r="61" spans="2:17" x14ac:dyDescent="0.2">
      <c r="B61" s="3001" t="s">
        <v>463</v>
      </c>
      <c r="C61" s="3001"/>
      <c r="D61" s="3001"/>
      <c r="E61" s="3001"/>
      <c r="F61" s="3001"/>
      <c r="G61" s="3001"/>
      <c r="H61" s="3001"/>
      <c r="I61" s="3001"/>
      <c r="K61" s="688"/>
      <c r="L61" s="688"/>
      <c r="M61" s="398"/>
      <c r="N61" s="690"/>
    </row>
    <row r="62" spans="2:17" x14ac:dyDescent="0.2">
      <c r="B62" s="3000" t="s">
        <v>1081</v>
      </c>
      <c r="C62" s="3000"/>
      <c r="D62" s="3000"/>
      <c r="E62" s="3000"/>
      <c r="F62" s="3000"/>
      <c r="G62" s="3000"/>
      <c r="H62" s="3000"/>
      <c r="I62" s="3000"/>
      <c r="J62" s="396">
        <v>0</v>
      </c>
      <c r="K62" s="688"/>
      <c r="L62" s="688"/>
      <c r="M62" s="842">
        <f>HLOOKUP($D$5,PriorYr906!$J$9:$K$87,54,FALSE)</f>
        <v>238387145.72999999</v>
      </c>
      <c r="N62" s="690"/>
      <c r="P62" s="2176">
        <v>46110000</v>
      </c>
    </row>
    <row r="63" spans="2:17" x14ac:dyDescent="0.2">
      <c r="B63" s="3000" t="s">
        <v>1082</v>
      </c>
      <c r="C63" s="3000"/>
      <c r="D63" s="3000"/>
      <c r="E63" s="3000"/>
      <c r="F63" s="3000"/>
      <c r="G63" s="3000"/>
      <c r="H63" s="3000"/>
      <c r="I63" s="3000"/>
      <c r="J63" s="397">
        <v>0</v>
      </c>
      <c r="K63" s="688"/>
      <c r="L63" s="688"/>
      <c r="M63" s="393">
        <f>HLOOKUP($D$5,PriorYr906!$J$9:$K$87,55,FALSE)</f>
        <v>393663845.70999998</v>
      </c>
      <c r="N63" s="690"/>
      <c r="P63" s="2176">
        <v>46120000</v>
      </c>
    </row>
    <row r="64" spans="2:17" x14ac:dyDescent="0.2">
      <c r="B64" s="3004" t="s">
        <v>1083</v>
      </c>
      <c r="C64" s="3004"/>
      <c r="D64" s="3004"/>
      <c r="E64" s="3004"/>
      <c r="F64" s="3004"/>
      <c r="G64" s="3004"/>
      <c r="H64" s="3004"/>
      <c r="I64" s="3004"/>
      <c r="J64" s="397">
        <v>0</v>
      </c>
      <c r="K64" s="688"/>
      <c r="L64" s="688"/>
      <c r="M64" s="393">
        <f>HLOOKUP($D$5,PriorYr906!$J$9:$K$87,56,FALSE)</f>
        <v>0</v>
      </c>
      <c r="N64" s="690"/>
      <c r="P64" s="2176">
        <v>46160000</v>
      </c>
    </row>
    <row r="65" spans="2:16" x14ac:dyDescent="0.2">
      <c r="B65" s="3000" t="s">
        <v>1084</v>
      </c>
      <c r="C65" s="3000"/>
      <c r="D65" s="3000"/>
      <c r="E65" s="3000"/>
      <c r="F65" s="3000"/>
      <c r="G65" s="3000"/>
      <c r="H65" s="3000"/>
      <c r="I65" s="3000"/>
      <c r="J65" s="644">
        <v>0</v>
      </c>
      <c r="K65" s="688"/>
      <c r="L65" s="688"/>
      <c r="M65" s="393">
        <f>HLOOKUP($D$5,PriorYr906!$J$9:$K$87,57,FALSE)</f>
        <v>0</v>
      </c>
      <c r="N65" s="690"/>
      <c r="P65" s="2176">
        <v>42990000</v>
      </c>
    </row>
    <row r="66" spans="2:16" x14ac:dyDescent="0.2">
      <c r="B66" s="3000" t="s">
        <v>1080</v>
      </c>
      <c r="C66" s="3000"/>
      <c r="D66" s="3000"/>
      <c r="E66" s="3000"/>
      <c r="F66" s="3000"/>
      <c r="G66" s="3000"/>
      <c r="H66" s="3000"/>
      <c r="I66" s="3000"/>
      <c r="J66" s="706">
        <f>SUM(J62:J65)</f>
        <v>0</v>
      </c>
      <c r="K66" s="688"/>
      <c r="L66" s="688"/>
      <c r="M66" s="706">
        <f>SUM(M62:M65)</f>
        <v>632050991.44000006</v>
      </c>
      <c r="N66" s="690"/>
    </row>
    <row r="67" spans="2:16" x14ac:dyDescent="0.2">
      <c r="B67" s="3001" t="s">
        <v>464</v>
      </c>
      <c r="C67" s="3001"/>
      <c r="D67" s="3001"/>
      <c r="E67" s="3001"/>
      <c r="F67" s="3001"/>
      <c r="G67" s="3001"/>
      <c r="H67" s="3001"/>
      <c r="I67" s="3001"/>
      <c r="K67" s="688"/>
      <c r="L67" s="688"/>
      <c r="M67" s="643"/>
      <c r="N67" s="690"/>
    </row>
    <row r="68" spans="2:16" x14ac:dyDescent="0.2">
      <c r="B68" s="3000" t="s">
        <v>1085</v>
      </c>
      <c r="C68" s="3000"/>
      <c r="D68" s="3000"/>
      <c r="E68" s="3000"/>
      <c r="F68" s="3000"/>
      <c r="G68" s="3000"/>
      <c r="H68" s="3000"/>
      <c r="I68" s="3000"/>
      <c r="J68" s="397">
        <v>0</v>
      </c>
      <c r="K68" s="688"/>
      <c r="L68" s="688"/>
      <c r="M68" s="393">
        <f>HLOOKUP($D$5,PriorYr906!$J$9:$K$87,60,FALSE)</f>
        <v>1557850091.25</v>
      </c>
      <c r="N68" s="690"/>
      <c r="P68" s="2176">
        <v>43110000</v>
      </c>
    </row>
    <row r="69" spans="2:16" x14ac:dyDescent="0.2">
      <c r="B69" s="3000" t="s">
        <v>1086</v>
      </c>
      <c r="C69" s="3000"/>
      <c r="D69" s="3000"/>
      <c r="E69" s="3000"/>
      <c r="F69" s="3000"/>
      <c r="G69" s="3000"/>
      <c r="H69" s="3000"/>
      <c r="I69" s="3000"/>
      <c r="J69" s="644">
        <v>0</v>
      </c>
      <c r="K69" s="688"/>
      <c r="L69" s="688"/>
      <c r="M69" s="393">
        <f>HLOOKUP($D$5,PriorYr906!$J$9:$K$87,61,FALSE)</f>
        <v>0</v>
      </c>
      <c r="N69" s="690"/>
      <c r="P69" s="2176">
        <v>52120110</v>
      </c>
    </row>
    <row r="70" spans="2:16" x14ac:dyDescent="0.2">
      <c r="B70" s="3000" t="s">
        <v>1087</v>
      </c>
      <c r="C70" s="3000"/>
      <c r="D70" s="3000"/>
      <c r="E70" s="3000"/>
      <c r="F70" s="3000"/>
      <c r="G70" s="3000"/>
      <c r="H70" s="3000"/>
      <c r="I70" s="3000"/>
      <c r="J70" s="706">
        <f>SUM(J68:J69)</f>
        <v>0</v>
      </c>
      <c r="K70" s="688"/>
      <c r="L70" s="688"/>
      <c r="M70" s="706">
        <f>SUM(M68:M69)</f>
        <v>1557850091.25</v>
      </c>
      <c r="N70" s="690"/>
    </row>
    <row r="71" spans="2:16" x14ac:dyDescent="0.2">
      <c r="B71" s="3001" t="s">
        <v>465</v>
      </c>
      <c r="C71" s="3001"/>
      <c r="D71" s="3001"/>
      <c r="E71" s="3001"/>
      <c r="F71" s="3001"/>
      <c r="G71" s="3001"/>
      <c r="H71" s="3001"/>
      <c r="I71" s="3001"/>
      <c r="K71" s="688"/>
      <c r="L71" s="688"/>
      <c r="M71" s="399"/>
      <c r="N71" s="690"/>
    </row>
    <row r="72" spans="2:16" x14ac:dyDescent="0.2">
      <c r="B72" s="3000" t="s">
        <v>1088</v>
      </c>
      <c r="C72" s="3000"/>
      <c r="D72" s="3000"/>
      <c r="E72" s="3000"/>
      <c r="F72" s="3000"/>
      <c r="G72" s="3000"/>
      <c r="H72" s="3000"/>
      <c r="I72" s="3000"/>
      <c r="J72" s="397">
        <v>0</v>
      </c>
      <c r="K72" s="688"/>
      <c r="L72" s="688"/>
      <c r="M72" s="393">
        <f>HLOOKUP($D$5,PriorYr906!$J$9:$K$87,64,FALSE)</f>
        <v>0</v>
      </c>
      <c r="N72" s="690"/>
      <c r="P72" s="2176">
        <v>45100000</v>
      </c>
    </row>
    <row r="73" spans="2:16" x14ac:dyDescent="0.2">
      <c r="B73" s="3000" t="s">
        <v>944</v>
      </c>
      <c r="C73" s="3000"/>
      <c r="D73" s="3000"/>
      <c r="E73" s="3000"/>
      <c r="F73" s="3000"/>
      <c r="G73" s="3000"/>
      <c r="H73" s="3000"/>
      <c r="I73" s="3000"/>
      <c r="J73" s="397">
        <v>0</v>
      </c>
      <c r="K73" s="688"/>
      <c r="L73" s="688"/>
      <c r="M73" s="393">
        <f>HLOOKUP($D$5,PriorYr906!$J$9:$K$87,65,FALSE)</f>
        <v>16099508.27</v>
      </c>
      <c r="N73" s="690"/>
      <c r="P73" s="2176">
        <v>43200000</v>
      </c>
    </row>
    <row r="74" spans="2:16" x14ac:dyDescent="0.2">
      <c r="B74" s="3000" t="s">
        <v>945</v>
      </c>
      <c r="C74" s="3000"/>
      <c r="D74" s="3000"/>
      <c r="E74" s="3000"/>
      <c r="F74" s="3000"/>
      <c r="G74" s="3000"/>
      <c r="H74" s="3000"/>
      <c r="I74" s="3000"/>
      <c r="J74" s="397">
        <v>0</v>
      </c>
      <c r="K74" s="688"/>
      <c r="L74" s="688"/>
      <c r="M74" s="393">
        <f>HLOOKUP($D$5,PriorYr906!$J$9:$K$87,66,FALSE)</f>
        <v>159235.10999999999</v>
      </c>
      <c r="N74" s="690"/>
      <c r="P74" s="2176">
        <v>47111000</v>
      </c>
    </row>
    <row r="75" spans="2:16" x14ac:dyDescent="0.2">
      <c r="B75" s="3000" t="s">
        <v>503</v>
      </c>
      <c r="C75" s="3000"/>
      <c r="D75" s="3000"/>
      <c r="E75" s="3000"/>
      <c r="F75" s="3000"/>
      <c r="G75" s="3000"/>
      <c r="H75" s="3000"/>
      <c r="I75" s="3000"/>
      <c r="J75" s="706">
        <f>SUM(J72:J74)</f>
        <v>0</v>
      </c>
      <c r="K75" s="688"/>
      <c r="L75" s="688"/>
      <c r="M75" s="706">
        <f>SUM(M72:M74)</f>
        <v>16258743.380000001</v>
      </c>
      <c r="N75" s="690"/>
    </row>
    <row r="76" spans="2:16" x14ac:dyDescent="0.2">
      <c r="B76" s="3000" t="s">
        <v>466</v>
      </c>
      <c r="C76" s="3000"/>
      <c r="D76" s="3000"/>
      <c r="E76" s="3000"/>
      <c r="F76" s="3000"/>
      <c r="G76" s="3000"/>
      <c r="H76" s="3000"/>
      <c r="I76" s="3000"/>
      <c r="J76" s="706">
        <f>J66+J70+J75</f>
        <v>0</v>
      </c>
      <c r="K76" s="688"/>
      <c r="L76" s="688"/>
      <c r="M76" s="706">
        <f>M66+M70+M75</f>
        <v>2206159826.0700002</v>
      </c>
      <c r="N76" s="690"/>
    </row>
    <row r="77" spans="2:16" x14ac:dyDescent="0.2">
      <c r="B77" s="643"/>
      <c r="C77"/>
      <c r="D77"/>
      <c r="E77"/>
      <c r="F77"/>
      <c r="G77"/>
      <c r="H77"/>
      <c r="I77"/>
      <c r="K77" s="688"/>
      <c r="L77" s="688"/>
      <c r="M77" s="398"/>
      <c r="N77" s="690"/>
    </row>
    <row r="78" spans="2:16" x14ac:dyDescent="0.2">
      <c r="B78" s="2998" t="s">
        <v>467</v>
      </c>
      <c r="C78" s="2998"/>
      <c r="D78" s="2998"/>
      <c r="E78" s="2998"/>
      <c r="F78" s="2998"/>
      <c r="G78" s="2998"/>
      <c r="H78" s="2998"/>
      <c r="I78" s="2998"/>
      <c r="K78" s="688"/>
      <c r="L78" s="688"/>
      <c r="M78" s="398"/>
      <c r="N78" s="690"/>
    </row>
    <row r="79" spans="2:16" x14ac:dyDescent="0.2">
      <c r="B79" s="3000" t="s">
        <v>1171</v>
      </c>
      <c r="C79" s="3000"/>
      <c r="D79" s="3000"/>
      <c r="E79" s="3000"/>
      <c r="F79" s="3000"/>
      <c r="G79" s="3000"/>
      <c r="H79" s="3000"/>
      <c r="I79" s="3000"/>
      <c r="J79" s="397">
        <v>0</v>
      </c>
      <c r="K79" s="688"/>
      <c r="L79" s="688"/>
      <c r="M79" s="393">
        <f>HLOOKUP($D$5,PriorYr906!$J$9:$K$87,71,FALSE)</f>
        <v>803787462.57000005</v>
      </c>
      <c r="N79" s="690"/>
      <c r="P79" s="2176">
        <v>55210000</v>
      </c>
    </row>
    <row r="80" spans="2:16" x14ac:dyDescent="0.2">
      <c r="B80" s="3000" t="s">
        <v>468</v>
      </c>
      <c r="C80" s="3000"/>
      <c r="D80" s="3000"/>
      <c r="E80" s="3000"/>
      <c r="F80" s="3000"/>
      <c r="G80" s="3000"/>
      <c r="H80" s="3000"/>
      <c r="I80" s="3000"/>
      <c r="J80" s="397">
        <v>0</v>
      </c>
      <c r="K80" s="688"/>
      <c r="L80" s="688"/>
      <c r="M80" s="393">
        <f>HLOOKUP($D$5,PriorYr906!$J$9:$K$87,72,FALSE)</f>
        <v>0</v>
      </c>
      <c r="N80" s="690"/>
      <c r="P80" s="2176">
        <v>55218000</v>
      </c>
    </row>
    <row r="81" spans="2:16" x14ac:dyDescent="0.2">
      <c r="B81" s="3000" t="s">
        <v>469</v>
      </c>
      <c r="C81" s="3000"/>
      <c r="D81" s="3000"/>
      <c r="E81" s="3000"/>
      <c r="F81" s="3000"/>
      <c r="G81" s="3000"/>
      <c r="H81" s="3000"/>
      <c r="I81" s="3000"/>
      <c r="J81" s="397">
        <v>0</v>
      </c>
      <c r="K81" s="688"/>
      <c r="L81" s="688"/>
      <c r="M81" s="393">
        <f>HLOOKUP($D$5,PriorYr906!$J$9:$K$87,73,FALSE)</f>
        <v>10336964.42</v>
      </c>
      <c r="N81" s="690"/>
      <c r="P81" s="2176" t="s">
        <v>5129</v>
      </c>
    </row>
    <row r="82" spans="2:16" x14ac:dyDescent="0.2">
      <c r="B82" s="3000" t="s">
        <v>470</v>
      </c>
      <c r="C82" s="3000"/>
      <c r="D82" s="3000"/>
      <c r="E82" s="3000"/>
      <c r="F82" s="3000"/>
      <c r="G82" s="3000"/>
      <c r="H82" s="3000"/>
      <c r="I82" s="3000"/>
      <c r="J82" s="644">
        <v>0</v>
      </c>
      <c r="K82" s="688"/>
      <c r="L82" s="688"/>
      <c r="M82" s="393">
        <f>HLOOKUP($D$5,PriorYr906!$J$9:$K$87,74,FALSE)</f>
        <v>0</v>
      </c>
      <c r="N82" s="690"/>
      <c r="P82" s="2176">
        <v>55610000</v>
      </c>
    </row>
    <row r="83" spans="2:16" x14ac:dyDescent="0.2">
      <c r="B83" s="3000" t="s">
        <v>504</v>
      </c>
      <c r="C83" s="3000"/>
      <c r="D83" s="3000"/>
      <c r="E83" s="3000"/>
      <c r="F83" s="3000"/>
      <c r="G83" s="3000"/>
      <c r="H83" s="3000"/>
      <c r="I83" s="3000"/>
      <c r="J83" s="706">
        <f>SUM(J79:J82)</f>
        <v>0</v>
      </c>
      <c r="K83" s="688"/>
      <c r="L83" s="688"/>
      <c r="M83" s="706">
        <f>SUM(M79:M82)</f>
        <v>814124426.99000001</v>
      </c>
      <c r="N83" s="690"/>
    </row>
    <row r="84" spans="2:16" x14ac:dyDescent="0.2">
      <c r="B84" s="2964" t="s">
        <v>1900</v>
      </c>
      <c r="C84" s="3000"/>
      <c r="D84" s="3000"/>
      <c r="E84" s="3000"/>
      <c r="F84" s="3000"/>
      <c r="G84" s="3000"/>
      <c r="H84" s="3000"/>
      <c r="I84" s="3000"/>
      <c r="J84" s="1252">
        <f>J76-J83</f>
        <v>0</v>
      </c>
      <c r="K84" s="688"/>
      <c r="L84" s="688"/>
      <c r="M84" s="1252">
        <f>M76-M83</f>
        <v>1392035399.0799999</v>
      </c>
      <c r="N84" s="690"/>
    </row>
    <row r="85" spans="2:16" x14ac:dyDescent="0.2">
      <c r="B85" s="2999" t="s">
        <v>1901</v>
      </c>
      <c r="C85" s="2997"/>
      <c r="D85" s="2997"/>
      <c r="E85" s="2997"/>
      <c r="F85" s="2997"/>
      <c r="G85" s="2997"/>
      <c r="H85" s="2997"/>
      <c r="I85" s="2997"/>
      <c r="J85" s="1065">
        <f>INDEX(NetAssetsData,MATCH('906-6C'!$D$5,NetAssetsDataRow,0),3)</f>
        <v>13095577599.01</v>
      </c>
      <c r="K85" s="688"/>
      <c r="L85" s="688"/>
      <c r="M85" s="1065">
        <f>HLOOKUP($D$5,PriorYr906!$J$9:$K$87,77,FALSE)</f>
        <v>11703542199.93</v>
      </c>
      <c r="N85" s="690"/>
    </row>
    <row r="86" spans="2:16" x14ac:dyDescent="0.2">
      <c r="B86" s="2997" t="s">
        <v>645</v>
      </c>
      <c r="C86" s="2997"/>
      <c r="D86" s="2997"/>
      <c r="E86" s="2997"/>
      <c r="F86" s="2997"/>
      <c r="G86" s="2997"/>
      <c r="H86" s="2997"/>
      <c r="I86" s="2997"/>
      <c r="J86" s="644">
        <v>0</v>
      </c>
      <c r="K86" s="688"/>
      <c r="L86" s="688"/>
      <c r="M86" s="393">
        <f>HLOOKUP($D$5,PriorYr906!$J$9:$K$87,78,FALSE)</f>
        <v>0</v>
      </c>
      <c r="N86" s="690"/>
      <c r="P86" s="2176">
        <v>33000100</v>
      </c>
    </row>
    <row r="87" spans="2:16" ht="13.5" thickBot="1" x14ac:dyDescent="0.25">
      <c r="B87" s="2999" t="s">
        <v>1902</v>
      </c>
      <c r="C87" s="2997"/>
      <c r="D87" s="2997"/>
      <c r="E87" s="2997"/>
      <c r="F87" s="2997"/>
      <c r="G87" s="2997"/>
      <c r="H87" s="2997"/>
      <c r="I87" s="2997"/>
      <c r="J87" s="708">
        <f>SUM(J84:J86)</f>
        <v>13095577599.01</v>
      </c>
      <c r="K87" s="688"/>
      <c r="L87" s="688"/>
      <c r="M87" s="708">
        <f>SUM(M84:M86)</f>
        <v>13095577599.01</v>
      </c>
      <c r="N87" s="692"/>
    </row>
    <row r="88" spans="2:16" ht="13.5" thickTop="1" x14ac:dyDescent="0.2">
      <c r="B88"/>
      <c r="C88"/>
      <c r="D88"/>
      <c r="E88"/>
      <c r="F88"/>
      <c r="G88"/>
      <c r="H88"/>
      <c r="I88"/>
      <c r="K88" s="704"/>
      <c r="L88" s="704"/>
      <c r="M88" s="403"/>
      <c r="N88" s="704"/>
    </row>
    <row r="89" spans="2:16" x14ac:dyDescent="0.2">
      <c r="B89"/>
      <c r="C89"/>
      <c r="D89"/>
      <c r="E89"/>
      <c r="F89"/>
      <c r="G89"/>
      <c r="H89"/>
      <c r="I89"/>
      <c r="K89" s="692"/>
      <c r="L89" s="692"/>
      <c r="M89" s="335"/>
      <c r="N89" s="692"/>
    </row>
    <row r="90" spans="2:16" x14ac:dyDescent="0.2">
      <c r="B90" s="2995" t="s">
        <v>1903</v>
      </c>
      <c r="C90" s="2996"/>
      <c r="D90" s="2996"/>
      <c r="E90" s="2996"/>
      <c r="F90" s="2996"/>
      <c r="G90" s="2996"/>
      <c r="H90" s="2996"/>
      <c r="I90" s="2996"/>
      <c r="J90" s="1258" t="str">
        <f>IF(J56=J87,"In Balance","NOT BALANCED")</f>
        <v>NOT BALANCED</v>
      </c>
      <c r="K90" s="693"/>
      <c r="L90" s="693"/>
      <c r="M90" s="1258" t="str">
        <f>IF(M56=M87,"In Balance","NOT BALANCED")</f>
        <v>In Balance</v>
      </c>
      <c r="N90" s="693"/>
    </row>
    <row r="91" spans="2:16" x14ac:dyDescent="0.2">
      <c r="K91" s="693"/>
      <c r="L91" s="693"/>
      <c r="M91" s="693"/>
      <c r="N91" s="693"/>
    </row>
    <row r="92" spans="2:16" x14ac:dyDescent="0.2">
      <c r="K92" s="691"/>
      <c r="L92" s="691"/>
      <c r="M92" s="691"/>
      <c r="N92" s="691"/>
    </row>
    <row r="93" spans="2:16" x14ac:dyDescent="0.2">
      <c r="K93" s="691"/>
      <c r="L93" s="691"/>
      <c r="M93" s="691"/>
      <c r="N93" s="691"/>
    </row>
    <row r="94" spans="2:16" x14ac:dyDescent="0.2">
      <c r="K94" s="691"/>
      <c r="L94" s="691"/>
      <c r="M94" s="691"/>
      <c r="N94" s="691"/>
    </row>
    <row r="95" spans="2:16" x14ac:dyDescent="0.2">
      <c r="K95" s="691"/>
      <c r="L95" s="691"/>
      <c r="M95" s="691"/>
      <c r="N95" s="691"/>
    </row>
    <row r="96" spans="2:16" x14ac:dyDescent="0.2">
      <c r="K96" s="691"/>
      <c r="L96" s="691"/>
      <c r="M96" s="691"/>
      <c r="N96" s="691"/>
    </row>
    <row r="97" spans="11:14" x14ac:dyDescent="0.2">
      <c r="K97" s="691"/>
      <c r="L97" s="691"/>
      <c r="M97" s="691"/>
      <c r="N97" s="691"/>
    </row>
    <row r="98" spans="11:14" x14ac:dyDescent="0.2">
      <c r="K98" s="691"/>
      <c r="L98" s="691"/>
      <c r="M98" s="691"/>
      <c r="N98" s="691"/>
    </row>
    <row r="99" spans="11:14" x14ac:dyDescent="0.2">
      <c r="K99" s="691"/>
      <c r="L99" s="691"/>
      <c r="M99" s="691"/>
      <c r="N99" s="691"/>
    </row>
    <row r="100" spans="11:14" x14ac:dyDescent="0.2">
      <c r="K100" s="691"/>
      <c r="L100" s="691"/>
      <c r="M100" s="691"/>
      <c r="N100" s="691"/>
    </row>
    <row r="101" spans="11:14" x14ac:dyDescent="0.2">
      <c r="K101" s="691"/>
      <c r="L101" s="691"/>
      <c r="M101" s="691"/>
      <c r="N101" s="691"/>
    </row>
    <row r="102" spans="11:14" x14ac:dyDescent="0.2">
      <c r="K102" s="692"/>
      <c r="L102" s="692"/>
      <c r="M102" s="692"/>
      <c r="N102" s="692"/>
    </row>
    <row r="103" spans="11:14" x14ac:dyDescent="0.2">
      <c r="K103" s="688"/>
      <c r="L103" s="688"/>
      <c r="M103" s="688"/>
      <c r="N103" s="688"/>
    </row>
    <row r="104" spans="11:14" x14ac:dyDescent="0.2">
      <c r="K104" s="691"/>
      <c r="L104" s="691"/>
      <c r="M104" s="691"/>
      <c r="N104" s="691"/>
    </row>
    <row r="105" spans="11:14" x14ac:dyDescent="0.2">
      <c r="K105" s="692"/>
      <c r="L105" s="692"/>
      <c r="M105" s="692"/>
      <c r="N105" s="692"/>
    </row>
    <row r="106" spans="11:14" x14ac:dyDescent="0.2">
      <c r="K106" s="692"/>
      <c r="L106" s="692"/>
      <c r="M106" s="692"/>
      <c r="N106" s="692"/>
    </row>
    <row r="107" spans="11:14" x14ac:dyDescent="0.2">
      <c r="K107" s="691"/>
      <c r="L107" s="691"/>
      <c r="M107" s="691"/>
      <c r="N107" s="691"/>
    </row>
    <row r="108" spans="11:14" x14ac:dyDescent="0.2">
      <c r="K108" s="692"/>
      <c r="L108" s="692"/>
      <c r="M108" s="692"/>
      <c r="N108" s="692"/>
    </row>
    <row r="109" spans="11:14" x14ac:dyDescent="0.2">
      <c r="K109" s="691"/>
      <c r="L109" s="691"/>
      <c r="M109" s="691"/>
      <c r="N109" s="691"/>
    </row>
    <row r="110" spans="11:14" x14ac:dyDescent="0.2">
      <c r="K110" s="691"/>
      <c r="L110" s="691"/>
      <c r="M110" s="691"/>
      <c r="N110" s="691"/>
    </row>
    <row r="111" spans="11:14" x14ac:dyDescent="0.2">
      <c r="K111" s="691"/>
      <c r="L111" s="691"/>
      <c r="M111" s="691"/>
      <c r="N111" s="691"/>
    </row>
    <row r="112" spans="11:14" x14ac:dyDescent="0.2">
      <c r="K112" s="691"/>
      <c r="L112" s="691"/>
      <c r="M112" s="691"/>
      <c r="N112" s="691"/>
    </row>
    <row r="113" spans="11:14" x14ac:dyDescent="0.2">
      <c r="K113" s="691"/>
      <c r="L113" s="691"/>
      <c r="M113" s="691"/>
      <c r="N113" s="691"/>
    </row>
    <row r="114" spans="11:14" x14ac:dyDescent="0.2">
      <c r="K114" s="691"/>
      <c r="L114" s="691"/>
      <c r="M114" s="691"/>
      <c r="N114" s="691"/>
    </row>
    <row r="115" spans="11:14" x14ac:dyDescent="0.2">
      <c r="K115" s="691"/>
      <c r="L115" s="691"/>
      <c r="M115" s="691"/>
      <c r="N115" s="691"/>
    </row>
    <row r="116" spans="11:14" x14ac:dyDescent="0.2">
      <c r="K116" s="691"/>
      <c r="L116" s="691"/>
      <c r="M116" s="691"/>
      <c r="N116" s="691"/>
    </row>
    <row r="117" spans="11:14" x14ac:dyDescent="0.2">
      <c r="K117" s="672"/>
      <c r="L117" s="672"/>
      <c r="M117" s="672"/>
      <c r="N117" s="672"/>
    </row>
    <row r="118" spans="11:14" x14ac:dyDescent="0.2">
      <c r="K118" s="672"/>
      <c r="L118" s="672"/>
      <c r="M118" s="672"/>
      <c r="N118" s="672"/>
    </row>
    <row r="120" spans="11:14" x14ac:dyDescent="0.2">
      <c r="K120" s="703"/>
      <c r="L120" s="703"/>
      <c r="M120" s="703"/>
      <c r="N120" s="703"/>
    </row>
    <row r="121" spans="11:14" x14ac:dyDescent="0.2">
      <c r="K121" s="703"/>
      <c r="L121" s="703"/>
      <c r="M121" s="703"/>
      <c r="N121" s="703"/>
    </row>
    <row r="122" spans="11:14" x14ac:dyDescent="0.2">
      <c r="K122" s="703"/>
      <c r="L122" s="703"/>
      <c r="M122" s="703"/>
      <c r="N122" s="703"/>
    </row>
    <row r="123" spans="11:14" x14ac:dyDescent="0.2">
      <c r="K123" s="703"/>
      <c r="L123" s="703"/>
      <c r="M123" s="703"/>
      <c r="N123" s="703"/>
    </row>
    <row r="124" spans="11:14" x14ac:dyDescent="0.2">
      <c r="K124" s="691"/>
      <c r="L124" s="691"/>
      <c r="M124" s="691"/>
      <c r="N124" s="691"/>
    </row>
    <row r="125" spans="11:14" x14ac:dyDescent="0.2">
      <c r="K125" s="705"/>
      <c r="L125" s="705"/>
      <c r="M125" s="705"/>
      <c r="N125" s="705"/>
    </row>
    <row r="126" spans="11:14" x14ac:dyDescent="0.2">
      <c r="K126" s="691"/>
      <c r="L126" s="691"/>
      <c r="M126" s="691"/>
      <c r="N126" s="691"/>
    </row>
    <row r="127" spans="11:14" x14ac:dyDescent="0.2">
      <c r="K127" s="691"/>
      <c r="L127" s="691"/>
      <c r="M127" s="691"/>
      <c r="N127" s="691"/>
    </row>
    <row r="128" spans="11:14" x14ac:dyDescent="0.2">
      <c r="K128" s="691"/>
      <c r="L128" s="691"/>
      <c r="M128" s="691"/>
      <c r="N128" s="691"/>
    </row>
    <row r="129" spans="11:14" x14ac:dyDescent="0.2">
      <c r="K129" s="691"/>
      <c r="L129" s="691"/>
      <c r="M129" s="691"/>
      <c r="N129" s="691"/>
    </row>
    <row r="130" spans="11:14" x14ac:dyDescent="0.2">
      <c r="K130" s="691"/>
      <c r="L130" s="691"/>
      <c r="M130" s="691"/>
      <c r="N130" s="691"/>
    </row>
    <row r="131" spans="11:14" x14ac:dyDescent="0.2">
      <c r="K131" s="691"/>
      <c r="L131" s="691"/>
      <c r="M131" s="691"/>
      <c r="N131" s="691"/>
    </row>
    <row r="132" spans="11:14" x14ac:dyDescent="0.2">
      <c r="K132" s="691"/>
      <c r="L132" s="691"/>
      <c r="M132" s="691"/>
      <c r="N132" s="691"/>
    </row>
    <row r="133" spans="11:14" x14ac:dyDescent="0.2">
      <c r="K133" s="691"/>
      <c r="L133" s="691"/>
      <c r="M133" s="691"/>
      <c r="N133" s="691"/>
    </row>
    <row r="134" spans="11:14" x14ac:dyDescent="0.2">
      <c r="K134" s="691"/>
      <c r="L134" s="691"/>
      <c r="M134" s="691"/>
      <c r="N134" s="691"/>
    </row>
    <row r="135" spans="11:14" x14ac:dyDescent="0.2">
      <c r="K135" s="705"/>
      <c r="L135" s="705"/>
      <c r="M135" s="705"/>
      <c r="N135" s="705"/>
    </row>
    <row r="136" spans="11:14" x14ac:dyDescent="0.2">
      <c r="K136" s="691"/>
      <c r="L136" s="691"/>
      <c r="M136" s="691"/>
      <c r="N136" s="691"/>
    </row>
    <row r="137" spans="11:14" x14ac:dyDescent="0.2">
      <c r="K137" s="691"/>
      <c r="L137" s="691"/>
      <c r="M137" s="691"/>
      <c r="N137" s="691"/>
    </row>
    <row r="138" spans="11:14" x14ac:dyDescent="0.2">
      <c r="K138" s="691"/>
      <c r="L138" s="691"/>
      <c r="M138" s="691"/>
      <c r="N138" s="691"/>
    </row>
    <row r="139" spans="11:14" x14ac:dyDescent="0.2">
      <c r="K139" s="691"/>
      <c r="L139" s="691"/>
      <c r="M139" s="691"/>
      <c r="N139" s="691"/>
    </row>
    <row r="140" spans="11:14" x14ac:dyDescent="0.2">
      <c r="K140" s="691"/>
      <c r="L140" s="691"/>
      <c r="M140" s="691"/>
      <c r="N140" s="691"/>
    </row>
    <row r="141" spans="11:14" x14ac:dyDescent="0.2">
      <c r="K141" s="691"/>
      <c r="L141" s="691"/>
      <c r="M141" s="691"/>
      <c r="N141" s="691"/>
    </row>
    <row r="142" spans="11:14" x14ac:dyDescent="0.2">
      <c r="K142" s="691"/>
      <c r="L142" s="691"/>
      <c r="M142" s="691"/>
      <c r="N142" s="691"/>
    </row>
    <row r="143" spans="11:14" x14ac:dyDescent="0.2">
      <c r="K143" s="691"/>
      <c r="L143" s="691"/>
      <c r="M143" s="691"/>
      <c r="N143" s="691"/>
    </row>
    <row r="144" spans="11:14" x14ac:dyDescent="0.2">
      <c r="K144" s="691"/>
      <c r="L144" s="691"/>
      <c r="M144" s="691"/>
      <c r="N144" s="691"/>
    </row>
    <row r="145" spans="11:14" x14ac:dyDescent="0.2">
      <c r="K145" s="691"/>
      <c r="L145" s="691"/>
      <c r="M145" s="691"/>
      <c r="N145" s="691"/>
    </row>
    <row r="146" spans="11:14" x14ac:dyDescent="0.2">
      <c r="K146" s="691"/>
      <c r="L146" s="691"/>
      <c r="M146" s="691"/>
      <c r="N146" s="691"/>
    </row>
    <row r="147" spans="11:14" x14ac:dyDescent="0.2">
      <c r="K147" s="688"/>
      <c r="L147" s="688"/>
      <c r="M147" s="688"/>
      <c r="N147" s="688"/>
    </row>
    <row r="148" spans="11:14" x14ac:dyDescent="0.2">
      <c r="K148" s="691"/>
      <c r="L148" s="691"/>
      <c r="M148" s="691"/>
      <c r="N148" s="691"/>
    </row>
    <row r="149" spans="11:14" x14ac:dyDescent="0.2">
      <c r="K149" s="691"/>
      <c r="L149" s="691"/>
      <c r="M149" s="691"/>
      <c r="N149" s="691"/>
    </row>
    <row r="150" spans="11:14" x14ac:dyDescent="0.2">
      <c r="K150" s="691"/>
      <c r="L150" s="691"/>
      <c r="M150" s="691"/>
      <c r="N150" s="691"/>
    </row>
    <row r="151" spans="11:14" x14ac:dyDescent="0.2">
      <c r="K151" s="691"/>
      <c r="L151" s="691"/>
      <c r="M151" s="691"/>
      <c r="N151" s="691"/>
    </row>
    <row r="152" spans="11:14" x14ac:dyDescent="0.2">
      <c r="K152" s="691"/>
      <c r="L152" s="691"/>
      <c r="M152" s="691"/>
      <c r="N152" s="691"/>
    </row>
    <row r="153" spans="11:14" x14ac:dyDescent="0.2">
      <c r="K153" s="691"/>
      <c r="L153" s="691"/>
      <c r="M153" s="691"/>
      <c r="N153" s="691"/>
    </row>
    <row r="154" spans="11:14" x14ac:dyDescent="0.2">
      <c r="K154" s="691"/>
      <c r="L154" s="691"/>
      <c r="M154" s="691"/>
      <c r="N154" s="691"/>
    </row>
    <row r="155" spans="11:14" x14ac:dyDescent="0.2">
      <c r="K155" s="691"/>
      <c r="L155" s="691"/>
      <c r="M155" s="691"/>
      <c r="N155" s="691"/>
    </row>
    <row r="156" spans="11:14" x14ac:dyDescent="0.2">
      <c r="K156" s="691"/>
      <c r="L156" s="691"/>
      <c r="M156" s="691"/>
      <c r="N156" s="691"/>
    </row>
    <row r="157" spans="11:14" x14ac:dyDescent="0.2">
      <c r="K157" s="691"/>
      <c r="L157" s="691"/>
      <c r="M157" s="691"/>
      <c r="N157" s="691"/>
    </row>
    <row r="158" spans="11:14" x14ac:dyDescent="0.2">
      <c r="K158" s="691"/>
      <c r="L158" s="691"/>
      <c r="M158" s="691"/>
      <c r="N158" s="691"/>
    </row>
    <row r="159" spans="11:14" x14ac:dyDescent="0.2">
      <c r="K159" s="691"/>
      <c r="L159" s="691"/>
      <c r="M159" s="691"/>
      <c r="N159" s="691"/>
    </row>
    <row r="160" spans="11:14" x14ac:dyDescent="0.2">
      <c r="K160" s="691"/>
      <c r="L160" s="691"/>
      <c r="M160" s="691"/>
      <c r="N160" s="691"/>
    </row>
    <row r="161" spans="11:14" x14ac:dyDescent="0.2">
      <c r="K161" s="691"/>
      <c r="L161" s="691"/>
      <c r="M161" s="691"/>
      <c r="N161" s="691"/>
    </row>
    <row r="162" spans="11:14" x14ac:dyDescent="0.2">
      <c r="K162" s="691"/>
      <c r="L162" s="691"/>
      <c r="M162" s="691"/>
      <c r="N162" s="691"/>
    </row>
    <row r="163" spans="11:14" x14ac:dyDescent="0.2">
      <c r="K163" s="691"/>
      <c r="L163" s="691"/>
      <c r="M163" s="691"/>
      <c r="N163" s="691"/>
    </row>
    <row r="164" spans="11:14" x14ac:dyDescent="0.2">
      <c r="K164" s="691"/>
      <c r="L164" s="691"/>
      <c r="M164" s="691"/>
      <c r="N164" s="691"/>
    </row>
    <row r="165" spans="11:14" x14ac:dyDescent="0.2">
      <c r="K165" s="691"/>
      <c r="L165" s="691"/>
      <c r="M165" s="691"/>
      <c r="N165" s="691"/>
    </row>
    <row r="166" spans="11:14" x14ac:dyDescent="0.2">
      <c r="K166" s="691"/>
      <c r="L166" s="691"/>
      <c r="M166" s="691"/>
      <c r="N166" s="691"/>
    </row>
    <row r="167" spans="11:14" x14ac:dyDescent="0.2">
      <c r="K167" s="691"/>
      <c r="L167" s="691"/>
      <c r="M167" s="691"/>
      <c r="N167" s="691"/>
    </row>
    <row r="168" spans="11:14" x14ac:dyDescent="0.2">
      <c r="K168" s="691"/>
      <c r="L168" s="691"/>
      <c r="M168" s="691"/>
      <c r="N168" s="691"/>
    </row>
    <row r="169" spans="11:14" x14ac:dyDescent="0.2">
      <c r="K169" s="691"/>
      <c r="L169" s="691"/>
      <c r="M169" s="691"/>
      <c r="N169" s="691"/>
    </row>
  </sheetData>
  <sheetProtection algorithmName="SHA-512" hashValue="Qpqfyo3nLkfPJzb5cB5qUmoxL84bPEfMMsWbzCcpsW72DTjFAG6Us1kZ4f0F32s7bAjBHsVK3d90W9Dt7fz2dA==" saltValue="A8sftUaG2vM81xd0B+lJjw==" spinCount="100000" sheet="1" objects="1" scenarios="1" autoFilter="0"/>
  <mergeCells count="74">
    <mergeCell ref="B1:J1"/>
    <mergeCell ref="B2:J2"/>
    <mergeCell ref="B3:J3"/>
    <mergeCell ref="H5:J5"/>
    <mergeCell ref="D6:G6"/>
    <mergeCell ref="G7:J7"/>
    <mergeCell ref="B11:I11"/>
    <mergeCell ref="B13:I13"/>
    <mergeCell ref="B14:I14"/>
    <mergeCell ref="B8:J8"/>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1:I31"/>
    <mergeCell ref="B32:I32"/>
    <mergeCell ref="B33:I33"/>
    <mergeCell ref="B34:I34"/>
    <mergeCell ref="B35:I35"/>
    <mergeCell ref="B36:I36"/>
    <mergeCell ref="B37:I37"/>
    <mergeCell ref="B38:I38"/>
    <mergeCell ref="B39:I39"/>
    <mergeCell ref="B43:I43"/>
    <mergeCell ref="B44:I44"/>
    <mergeCell ref="B45:I45"/>
    <mergeCell ref="B46:I46"/>
    <mergeCell ref="B47:I47"/>
    <mergeCell ref="B48:I48"/>
    <mergeCell ref="B49:I49"/>
    <mergeCell ref="B50:I50"/>
    <mergeCell ref="B51:I51"/>
    <mergeCell ref="B54:I54"/>
    <mergeCell ref="B55:I55"/>
    <mergeCell ref="B56:I56"/>
    <mergeCell ref="B58:I58"/>
    <mergeCell ref="B61:I61"/>
    <mergeCell ref="B62:I62"/>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8:I78"/>
    <mergeCell ref="B79:I79"/>
    <mergeCell ref="B80:I80"/>
    <mergeCell ref="B87:I87"/>
    <mergeCell ref="B90:I90"/>
    <mergeCell ref="B81:I81"/>
    <mergeCell ref="B82:I82"/>
    <mergeCell ref="B83:I83"/>
    <mergeCell ref="B84:I84"/>
    <mergeCell ref="B85:I85"/>
    <mergeCell ref="B86:I86"/>
  </mergeCells>
  <conditionalFormatting sqref="K1:K3">
    <cfRule type="cellIs" dxfId="9" priority="1" stopIfTrue="1" operator="equal">
      <formula>"na"</formula>
    </cfRule>
  </conditionalFormatting>
  <hyperlinks>
    <hyperlink ref="B1:J1" location="Index!A1" display="Index!A1" xr:uid="{00000000-0004-0000-4E00-000000000000}"/>
  </hyperlinks>
  <pageMargins left="0.5" right="0.5" top="0.5" bottom="0.5" header="0.5" footer="0.25"/>
  <pageSetup scale="90" fitToHeight="2" orientation="portrait" r:id="rId1"/>
  <headerFooter alignWithMargins="0">
    <oddFooter xml:space="preserve">&amp;L&amp;D &amp;T&amp;R&amp;A </oddFooter>
  </headerFooter>
  <rowBreaks count="1" manualBreakCount="1">
    <brk id="59" max="16383" man="1"/>
  </rowBreaks>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5"/>
  <dimension ref="A1:V170"/>
  <sheetViews>
    <sheetView zoomScaleNormal="100" workbookViewId="0">
      <selection activeCell="V10" sqref="V10"/>
    </sheetView>
  </sheetViews>
  <sheetFormatPr defaultColWidth="9.42578125" defaultRowHeight="12.75" x14ac:dyDescent="0.2"/>
  <cols>
    <col min="1" max="1" width="3.5703125" style="675" customWidth="1"/>
    <col min="2" max="2" width="9.42578125" style="675"/>
    <col min="3" max="3" width="5.5703125" style="675" customWidth="1"/>
    <col min="4" max="6" width="9.42578125" style="675"/>
    <col min="7" max="7" width="5.5703125" style="675" customWidth="1"/>
    <col min="8" max="8" width="1.5703125" style="675" customWidth="1"/>
    <col min="9" max="9" width="9.42578125" style="675"/>
    <col min="10" max="10" width="19.42578125" style="397" customWidth="1"/>
    <col min="11" max="11" width="4.5703125" style="675" customWidth="1"/>
    <col min="12" max="13" width="18.5703125" style="675" customWidth="1"/>
    <col min="14" max="16384" width="9.42578125" style="675"/>
  </cols>
  <sheetData>
    <row r="1" spans="1:22" ht="25.15" customHeight="1" x14ac:dyDescent="0.25">
      <c r="A1"/>
      <c r="B1" s="2449" t="str">
        <f>+Index!$A$1</f>
        <v xml:space="preserve">                                                               Office of the State Controller                                                                </v>
      </c>
      <c r="C1" s="2449"/>
      <c r="D1" s="2449"/>
      <c r="E1" s="2449"/>
      <c r="F1" s="2449"/>
      <c r="G1" s="2449"/>
      <c r="H1" s="2449"/>
      <c r="I1" s="2449"/>
      <c r="J1" s="2449"/>
      <c r="K1" s="2041" t="str">
        <f>IF(Index!$B$106="na","NA","")</f>
        <v/>
      </c>
      <c r="L1" s="622"/>
      <c r="M1" s="622"/>
      <c r="N1" s="674"/>
      <c r="O1" s="674"/>
      <c r="P1" s="674"/>
      <c r="Q1" s="674"/>
      <c r="R1" s="674"/>
      <c r="S1" s="674"/>
      <c r="T1" s="674"/>
      <c r="U1" s="674"/>
    </row>
    <row r="2" spans="1:22" ht="16.5" x14ac:dyDescent="0.3">
      <c r="A2"/>
      <c r="B2" s="2431" t="str">
        <f>+Index!$A$2</f>
        <v>2022 ACFR Worksheets</v>
      </c>
      <c r="C2" s="2431"/>
      <c r="D2" s="2431"/>
      <c r="E2" s="2431"/>
      <c r="F2" s="2431"/>
      <c r="G2" s="2431"/>
      <c r="H2" s="2431"/>
      <c r="I2" s="2431"/>
      <c r="J2" s="2431"/>
      <c r="K2" s="2041"/>
      <c r="L2" s="623"/>
      <c r="M2" s="623"/>
      <c r="N2" s="677"/>
      <c r="O2" s="677"/>
      <c r="P2" s="677"/>
      <c r="Q2" s="677"/>
      <c r="R2" s="677"/>
      <c r="S2" s="677"/>
      <c r="T2" s="677"/>
      <c r="U2" s="677"/>
    </row>
    <row r="3" spans="1:22" ht="42" customHeight="1" x14ac:dyDescent="0.3">
      <c r="A3"/>
      <c r="B3" s="2993" t="s">
        <v>3478</v>
      </c>
      <c r="C3" s="2993"/>
      <c r="D3" s="2993"/>
      <c r="E3" s="2993"/>
      <c r="F3" s="2993"/>
      <c r="G3" s="2993"/>
      <c r="H3" s="2993"/>
      <c r="I3" s="2993"/>
      <c r="J3" s="2993"/>
      <c r="K3" s="2041"/>
      <c r="L3" s="623"/>
      <c r="M3" s="623"/>
      <c r="N3" s="677"/>
      <c r="O3" s="677"/>
      <c r="P3" s="677"/>
      <c r="Q3" s="677"/>
      <c r="R3" s="677"/>
      <c r="S3" s="677"/>
      <c r="T3" s="677"/>
      <c r="U3" s="677"/>
    </row>
    <row r="4" spans="1:22" x14ac:dyDescent="0.2">
      <c r="A4"/>
      <c r="B4" s="1365" t="s">
        <v>4946</v>
      </c>
      <c r="C4" s="1291"/>
      <c r="D4" s="1291"/>
      <c r="E4" s="1291"/>
      <c r="F4" s="1291"/>
      <c r="G4" s="1291"/>
      <c r="H4" s="1291"/>
      <c r="I4" s="1291"/>
      <c r="J4" s="1292"/>
      <c r="K4"/>
      <c r="L4"/>
      <c r="M4"/>
    </row>
    <row r="5" spans="1:22" s="678" customFormat="1" ht="15" customHeight="1" x14ac:dyDescent="0.2">
      <c r="A5" s="200"/>
      <c r="B5" s="200" t="s">
        <v>327</v>
      </c>
      <c r="C5" s="200"/>
      <c r="D5" s="636" t="s">
        <v>1964</v>
      </c>
      <c r="E5" s="635"/>
      <c r="F5" s="200" t="s">
        <v>972</v>
      </c>
      <c r="G5" s="200"/>
      <c r="H5" s="2977" t="str">
        <f>+CONCATENATE(Index!$E$12," ",Index!$E$14)</f>
        <v xml:space="preserve"> </v>
      </c>
      <c r="I5" s="2977"/>
      <c r="J5" s="2977"/>
      <c r="K5" s="200"/>
      <c r="L5" s="200"/>
      <c r="M5" s="200"/>
      <c r="N5" s="679"/>
      <c r="V5" s="680"/>
    </row>
    <row r="6" spans="1:22" s="678" customFormat="1" ht="15" customHeight="1" x14ac:dyDescent="0.2">
      <c r="A6" s="200"/>
      <c r="B6" s="200" t="s">
        <v>1154</v>
      </c>
      <c r="C6" s="200"/>
      <c r="D6" s="2992" t="s">
        <v>1950</v>
      </c>
      <c r="E6" s="2992"/>
      <c r="F6" s="2992"/>
      <c r="G6" s="2992"/>
      <c r="H6" s="200"/>
      <c r="I6" s="200"/>
      <c r="J6" s="200"/>
      <c r="K6" s="200"/>
      <c r="L6" s="200"/>
      <c r="M6" s="200"/>
      <c r="N6" s="681"/>
      <c r="O6" s="681"/>
      <c r="P6" s="681"/>
      <c r="Q6" s="681"/>
      <c r="R6" s="681"/>
      <c r="S6" s="681"/>
      <c r="T6" s="681"/>
      <c r="U6" s="682"/>
      <c r="V6" s="680"/>
    </row>
    <row r="7" spans="1:22" s="678" customFormat="1" ht="15" customHeight="1" x14ac:dyDescent="0.2">
      <c r="A7" s="200"/>
      <c r="B7" s="200" t="s">
        <v>477</v>
      </c>
      <c r="C7" s="200"/>
      <c r="D7" s="1294" t="s">
        <v>1949</v>
      </c>
      <c r="E7" s="200"/>
      <c r="F7" s="806" t="s">
        <v>348</v>
      </c>
      <c r="G7" s="2986">
        <f>+Index!$E$13</f>
        <v>0</v>
      </c>
      <c r="H7" s="2986"/>
      <c r="I7" s="2986"/>
      <c r="J7" s="2986"/>
      <c r="K7" s="200"/>
      <c r="L7" s="200"/>
      <c r="M7" s="200"/>
      <c r="V7" s="680"/>
    </row>
    <row r="8" spans="1:22" s="684" customFormat="1" ht="12" customHeight="1" x14ac:dyDescent="0.2">
      <c r="A8" s="38"/>
      <c r="B8" s="1359" t="s">
        <v>3479</v>
      </c>
      <c r="C8" s="1360"/>
      <c r="D8" s="1360"/>
      <c r="E8" s="1360"/>
      <c r="F8" s="1360"/>
      <c r="G8" s="1361"/>
      <c r="H8" s="1362"/>
      <c r="I8" s="1363"/>
      <c r="J8" s="1364"/>
      <c r="K8" s="38"/>
      <c r="L8" s="38"/>
      <c r="M8" s="38"/>
    </row>
    <row r="9" spans="1:22" x14ac:dyDescent="0.2">
      <c r="A9"/>
      <c r="B9" s="726"/>
      <c r="C9" s="38"/>
      <c r="D9" s="38"/>
      <c r="E9" s="38"/>
      <c r="F9" s="38"/>
      <c r="G9" s="1254"/>
      <c r="H9" s="38"/>
      <c r="I9"/>
      <c r="J9" s="1297" t="s">
        <v>1953</v>
      </c>
      <c r="K9"/>
      <c r="L9" s="1229" t="s">
        <v>1952</v>
      </c>
      <c r="M9" s="1229" t="s">
        <v>1951</v>
      </c>
    </row>
    <row r="10" spans="1:22" x14ac:dyDescent="0.2">
      <c r="A10"/>
      <c r="B10" s="1298" t="s">
        <v>303</v>
      </c>
      <c r="C10" s="819"/>
      <c r="D10" s="819"/>
      <c r="E10"/>
      <c r="F10"/>
      <c r="G10"/>
      <c r="H10"/>
      <c r="I10"/>
      <c r="J10" s="1087" t="str">
        <f>TEXT(Data!$A$2,"mmmm d,yyyy")</f>
        <v>June 30,2022</v>
      </c>
      <c r="K10" s="394"/>
      <c r="L10" s="1087" t="str">
        <f>TEXT(Data!$A$2,"mmmm d,yyyy")</f>
        <v>June 30,2022</v>
      </c>
      <c r="M10" s="1087" t="str">
        <f>TEXT(Data!$A$2,"mmmm d,yyyy")</f>
        <v>June 30,2022</v>
      </c>
    </row>
    <row r="11" spans="1:22" x14ac:dyDescent="0.2">
      <c r="A11"/>
      <c r="B11" s="2987" t="s">
        <v>630</v>
      </c>
      <c r="C11" s="2987"/>
      <c r="D11" s="2987"/>
      <c r="E11" s="2987"/>
      <c r="F11" s="2987"/>
      <c r="G11" s="2987"/>
      <c r="H11" s="2987"/>
      <c r="I11" s="2987"/>
      <c r="J11" s="842">
        <f>SUM(L11+M11)</f>
        <v>0</v>
      </c>
      <c r="K11" s="395"/>
      <c r="L11" s="842">
        <f>'906-6B'!J11</f>
        <v>0</v>
      </c>
      <c r="M11" s="842">
        <f>'906-6C'!J11</f>
        <v>0</v>
      </c>
    </row>
    <row r="12" spans="1:22" x14ac:dyDescent="0.2">
      <c r="A12"/>
      <c r="B12" s="567" t="s">
        <v>483</v>
      </c>
      <c r="C12" s="819"/>
      <c r="D12"/>
      <c r="E12"/>
      <c r="F12"/>
      <c r="G12"/>
      <c r="H12"/>
      <c r="I12"/>
      <c r="J12" s="1299"/>
      <c r="K12" s="395"/>
      <c r="L12" s="643"/>
      <c r="M12" s="643"/>
    </row>
    <row r="13" spans="1:22" x14ac:dyDescent="0.2">
      <c r="A13"/>
      <c r="B13" s="2987" t="s">
        <v>1219</v>
      </c>
      <c r="C13" s="2987"/>
      <c r="D13" s="2987"/>
      <c r="E13" s="2987"/>
      <c r="F13" s="2987"/>
      <c r="G13" s="2987"/>
      <c r="H13" s="2987"/>
      <c r="I13" s="2987"/>
      <c r="J13" s="393">
        <f>SUM(L13:M13)</f>
        <v>0</v>
      </c>
      <c r="K13" s="395"/>
      <c r="L13" s="393">
        <f>'906-6B'!J13</f>
        <v>0</v>
      </c>
      <c r="M13" s="393">
        <f>'906-6C'!J13</f>
        <v>0</v>
      </c>
    </row>
    <row r="14" spans="1:22" x14ac:dyDescent="0.2">
      <c r="A14"/>
      <c r="B14" s="2987" t="s">
        <v>1217</v>
      </c>
      <c r="C14" s="2987"/>
      <c r="D14" s="2987"/>
      <c r="E14" s="2987"/>
      <c r="F14" s="2987"/>
      <c r="G14" s="2987"/>
      <c r="H14" s="2987"/>
      <c r="I14" s="2987"/>
      <c r="J14" s="393">
        <f t="shared" ref="J14:J38" si="0">SUM(L14:M14)</f>
        <v>0</v>
      </c>
      <c r="K14" s="395"/>
      <c r="L14" s="393">
        <f>'906-6B'!J14</f>
        <v>0</v>
      </c>
      <c r="M14" s="393">
        <f>'906-6C'!J14</f>
        <v>0</v>
      </c>
    </row>
    <row r="15" spans="1:22" x14ac:dyDescent="0.2">
      <c r="A15"/>
      <c r="B15" s="2987" t="s">
        <v>1218</v>
      </c>
      <c r="C15" s="2987"/>
      <c r="D15" s="2987"/>
      <c r="E15" s="2987"/>
      <c r="F15" s="2987"/>
      <c r="G15" s="2987"/>
      <c r="H15" s="2987"/>
      <c r="I15" s="2987"/>
      <c r="J15" s="393">
        <f t="shared" si="0"/>
        <v>0</v>
      </c>
      <c r="K15" s="395"/>
      <c r="L15" s="393">
        <f>'906-6B'!J15</f>
        <v>0</v>
      </c>
      <c r="M15" s="393">
        <f>'906-6C'!J15</f>
        <v>0</v>
      </c>
    </row>
    <row r="16" spans="1:22" x14ac:dyDescent="0.2">
      <c r="A16"/>
      <c r="B16" s="2987" t="s">
        <v>1220</v>
      </c>
      <c r="C16" s="2987"/>
      <c r="D16" s="2987"/>
      <c r="E16" s="2987"/>
      <c r="F16" s="2987"/>
      <c r="G16" s="2987"/>
      <c r="H16" s="2987"/>
      <c r="I16" s="2987"/>
      <c r="J16" s="393">
        <f t="shared" si="0"/>
        <v>0</v>
      </c>
      <c r="K16" s="395"/>
      <c r="L16" s="393">
        <f>'906-6B'!J16</f>
        <v>0</v>
      </c>
      <c r="M16" s="393">
        <f>'906-6C'!J16</f>
        <v>0</v>
      </c>
    </row>
    <row r="17" spans="1:13" x14ac:dyDescent="0.2">
      <c r="A17"/>
      <c r="B17" s="2987" t="s">
        <v>1215</v>
      </c>
      <c r="C17" s="2987"/>
      <c r="D17" s="2987"/>
      <c r="E17" s="2987"/>
      <c r="F17" s="2987"/>
      <c r="G17" s="2987"/>
      <c r="H17" s="2987"/>
      <c r="I17" s="2987"/>
      <c r="J17" s="393">
        <f t="shared" si="0"/>
        <v>0</v>
      </c>
      <c r="K17" s="395"/>
      <c r="L17" s="393">
        <f>'906-6B'!J17</f>
        <v>0</v>
      </c>
      <c r="M17" s="393">
        <f>'906-6C'!J17</f>
        <v>0</v>
      </c>
    </row>
    <row r="18" spans="1:13" x14ac:dyDescent="0.2">
      <c r="A18"/>
      <c r="B18" s="2987" t="s">
        <v>1566</v>
      </c>
      <c r="C18" s="2987"/>
      <c r="D18" s="2987"/>
      <c r="E18" s="2987"/>
      <c r="F18" s="2987"/>
      <c r="G18" s="2987"/>
      <c r="H18" s="2987"/>
      <c r="I18" s="2987"/>
      <c r="J18" s="393">
        <f t="shared" si="0"/>
        <v>0</v>
      </c>
      <c r="K18" s="395"/>
      <c r="L18" s="393">
        <f>'906-6B'!J18</f>
        <v>0</v>
      </c>
      <c r="M18" s="393">
        <f>'906-6C'!J18</f>
        <v>0</v>
      </c>
    </row>
    <row r="19" spans="1:13" x14ac:dyDescent="0.2">
      <c r="A19"/>
      <c r="B19" s="2987" t="s">
        <v>1216</v>
      </c>
      <c r="C19" s="2987"/>
      <c r="D19" s="2987"/>
      <c r="E19" s="2987"/>
      <c r="F19" s="2987"/>
      <c r="G19" s="2987"/>
      <c r="H19" s="2987"/>
      <c r="I19" s="2987"/>
      <c r="J19" s="393">
        <f t="shared" si="0"/>
        <v>0</v>
      </c>
      <c r="K19" s="395"/>
      <c r="L19" s="393">
        <f>'906-6B'!J19</f>
        <v>0</v>
      </c>
      <c r="M19" s="393">
        <f>'906-6C'!J19</f>
        <v>0</v>
      </c>
    </row>
    <row r="20" spans="1:13" x14ac:dyDescent="0.2">
      <c r="A20"/>
      <c r="B20" s="2987" t="s">
        <v>492</v>
      </c>
      <c r="C20" s="2987"/>
      <c r="D20" s="2987"/>
      <c r="E20" s="2987"/>
      <c r="F20" s="2987"/>
      <c r="G20" s="2987"/>
      <c r="H20" s="2987"/>
      <c r="I20" s="2987"/>
      <c r="J20" s="393">
        <f t="shared" si="0"/>
        <v>0</v>
      </c>
      <c r="K20" s="395"/>
      <c r="L20" s="393">
        <f>'906-6B'!J20</f>
        <v>0</v>
      </c>
      <c r="M20" s="393">
        <f>'906-6C'!J20</f>
        <v>0</v>
      </c>
    </row>
    <row r="21" spans="1:13" x14ac:dyDescent="0.2">
      <c r="A21"/>
      <c r="B21" s="2987" t="s">
        <v>487</v>
      </c>
      <c r="C21" s="2987"/>
      <c r="D21" s="2987"/>
      <c r="E21" s="2987"/>
      <c r="F21" s="2987"/>
      <c r="G21" s="2987"/>
      <c r="H21" s="2987"/>
      <c r="I21" s="2987"/>
      <c r="J21" s="393">
        <f t="shared" si="0"/>
        <v>0</v>
      </c>
      <c r="K21" s="395"/>
      <c r="L21" s="393">
        <f>'906-6B'!J21</f>
        <v>0</v>
      </c>
      <c r="M21" s="393">
        <f>'906-6C'!J21</f>
        <v>0</v>
      </c>
    </row>
    <row r="22" spans="1:13" x14ac:dyDescent="0.2">
      <c r="A22"/>
      <c r="B22" s="2987" t="s">
        <v>491</v>
      </c>
      <c r="C22" s="2987"/>
      <c r="D22" s="2987"/>
      <c r="E22" s="2987"/>
      <c r="F22" s="2987"/>
      <c r="G22" s="2987"/>
      <c r="H22" s="2987"/>
      <c r="I22" s="2987"/>
      <c r="J22" s="393">
        <f t="shared" si="0"/>
        <v>0</v>
      </c>
      <c r="K22" s="395"/>
      <c r="L22" s="393">
        <f>'906-6B'!J22</f>
        <v>0</v>
      </c>
      <c r="M22" s="393">
        <f>'906-6C'!J22</f>
        <v>0</v>
      </c>
    </row>
    <row r="23" spans="1:13" x14ac:dyDescent="0.2">
      <c r="A23"/>
      <c r="B23" s="2987" t="s">
        <v>495</v>
      </c>
      <c r="C23" s="2987"/>
      <c r="D23" s="2987"/>
      <c r="E23" s="2987"/>
      <c r="F23" s="2987"/>
      <c r="G23" s="2987"/>
      <c r="H23" s="2987"/>
      <c r="I23" s="2987"/>
      <c r="J23" s="393">
        <f t="shared" si="0"/>
        <v>0</v>
      </c>
      <c r="K23" s="395"/>
      <c r="L23" s="393">
        <f>'906-6B'!J23</f>
        <v>0</v>
      </c>
      <c r="M23" s="393">
        <f>'906-6C'!J23</f>
        <v>0</v>
      </c>
    </row>
    <row r="24" spans="1:13" x14ac:dyDescent="0.2">
      <c r="A24"/>
      <c r="B24" s="2988" t="s">
        <v>1850</v>
      </c>
      <c r="C24" s="2987"/>
      <c r="D24" s="2987"/>
      <c r="E24" s="2987"/>
      <c r="F24" s="2987"/>
      <c r="G24" s="2987"/>
      <c r="H24" s="2987"/>
      <c r="I24" s="2987"/>
      <c r="J24" s="393">
        <f t="shared" si="0"/>
        <v>0</v>
      </c>
      <c r="K24" s="395"/>
      <c r="L24" s="393">
        <f>'906-6B'!J24</f>
        <v>0</v>
      </c>
      <c r="M24" s="393">
        <f>'906-6C'!J24</f>
        <v>0</v>
      </c>
    </row>
    <row r="25" spans="1:13" x14ac:dyDescent="0.2">
      <c r="A25"/>
      <c r="B25" s="2987" t="s">
        <v>1681</v>
      </c>
      <c r="C25" s="2987"/>
      <c r="D25" s="2987"/>
      <c r="E25" s="2987"/>
      <c r="F25" s="2987"/>
      <c r="G25" s="2987"/>
      <c r="H25" s="2987"/>
      <c r="I25" s="2987"/>
      <c r="J25" s="393">
        <f t="shared" si="0"/>
        <v>0</v>
      </c>
      <c r="K25" s="395"/>
      <c r="L25" s="393">
        <f>'906-6B'!J25</f>
        <v>0</v>
      </c>
      <c r="M25" s="393">
        <f>'906-6C'!J25</f>
        <v>0</v>
      </c>
    </row>
    <row r="26" spans="1:13" x14ac:dyDescent="0.2">
      <c r="A26"/>
      <c r="B26" s="2987" t="s">
        <v>1691</v>
      </c>
      <c r="C26" s="2987"/>
      <c r="D26" s="2987"/>
      <c r="E26" s="2987"/>
      <c r="F26" s="2987"/>
      <c r="G26" s="2987"/>
      <c r="H26" s="2987"/>
      <c r="I26" s="2987"/>
      <c r="J26" s="393">
        <f t="shared" si="0"/>
        <v>0</v>
      </c>
      <c r="K26" s="395"/>
      <c r="L26" s="393">
        <f>'906-6B'!J26</f>
        <v>0</v>
      </c>
      <c r="M26" s="393">
        <f>'906-6C'!J26</f>
        <v>0</v>
      </c>
    </row>
    <row r="27" spans="1:13" x14ac:dyDescent="0.2">
      <c r="A27"/>
      <c r="B27" s="2987" t="s">
        <v>1692</v>
      </c>
      <c r="C27" s="2987"/>
      <c r="D27" s="2987"/>
      <c r="E27" s="2987"/>
      <c r="F27" s="2987"/>
      <c r="G27" s="2987"/>
      <c r="H27" s="2987"/>
      <c r="I27" s="2987"/>
      <c r="J27" s="393">
        <f t="shared" si="0"/>
        <v>0</v>
      </c>
      <c r="K27" s="395"/>
      <c r="L27" s="393">
        <f>'906-6B'!J27</f>
        <v>0</v>
      </c>
      <c r="M27" s="393">
        <f>'906-6C'!J27</f>
        <v>0</v>
      </c>
    </row>
    <row r="28" spans="1:13" x14ac:dyDescent="0.2">
      <c r="A28"/>
      <c r="B28" s="2987" t="s">
        <v>1401</v>
      </c>
      <c r="C28" s="2987"/>
      <c r="D28" s="2987"/>
      <c r="E28" s="2987"/>
      <c r="F28" s="2987"/>
      <c r="G28" s="2987"/>
      <c r="H28" s="2987"/>
      <c r="I28" s="2987"/>
      <c r="J28" s="393">
        <f t="shared" si="0"/>
        <v>0</v>
      </c>
      <c r="K28" s="395"/>
      <c r="L28" s="393">
        <f>'906-6B'!J28</f>
        <v>0</v>
      </c>
      <c r="M28" s="393">
        <f>'906-6C'!J28</f>
        <v>0</v>
      </c>
    </row>
    <row r="29" spans="1:13" x14ac:dyDescent="0.2">
      <c r="A29"/>
      <c r="B29" s="2987" t="s">
        <v>1403</v>
      </c>
      <c r="C29" s="2987"/>
      <c r="D29" s="2987"/>
      <c r="E29" s="2987"/>
      <c r="F29" s="2987"/>
      <c r="G29" s="2987"/>
      <c r="H29" s="2987"/>
      <c r="I29" s="2987"/>
      <c r="J29" s="393">
        <f t="shared" si="0"/>
        <v>0</v>
      </c>
      <c r="K29" s="395"/>
      <c r="L29" s="393">
        <f>'906-6B'!J29</f>
        <v>0</v>
      </c>
      <c r="M29" s="393">
        <f>'906-6C'!J29</f>
        <v>0</v>
      </c>
    </row>
    <row r="30" spans="1:13" x14ac:dyDescent="0.2">
      <c r="A30"/>
      <c r="B30" s="819" t="s">
        <v>198</v>
      </c>
      <c r="C30" s="819"/>
      <c r="D30"/>
      <c r="E30"/>
      <c r="F30"/>
      <c r="G30"/>
      <c r="H30"/>
      <c r="I30"/>
      <c r="J30" s="393">
        <f t="shared" si="0"/>
        <v>0</v>
      </c>
      <c r="K30" s="395"/>
      <c r="L30" s="393">
        <f>'906-6B'!J30</f>
        <v>0</v>
      </c>
      <c r="M30" s="393">
        <f>'906-6C'!J30</f>
        <v>0</v>
      </c>
    </row>
    <row r="31" spans="1:13" x14ac:dyDescent="0.2">
      <c r="A31"/>
      <c r="B31" s="2987" t="s">
        <v>829</v>
      </c>
      <c r="C31" s="2987"/>
      <c r="D31" s="2987"/>
      <c r="E31" s="2987"/>
      <c r="F31" s="2987"/>
      <c r="G31" s="2987"/>
      <c r="H31" s="2987"/>
      <c r="I31" s="2987"/>
      <c r="J31" s="393">
        <f t="shared" si="0"/>
        <v>0</v>
      </c>
      <c r="K31" s="395"/>
      <c r="L31" s="393">
        <f>'906-6B'!J31</f>
        <v>0</v>
      </c>
      <c r="M31" s="393">
        <f>'906-6C'!J31</f>
        <v>0</v>
      </c>
    </row>
    <row r="32" spans="1:13" x14ac:dyDescent="0.2">
      <c r="A32"/>
      <c r="B32" s="2987" t="s">
        <v>830</v>
      </c>
      <c r="C32" s="2987"/>
      <c r="D32" s="2987"/>
      <c r="E32" s="2987"/>
      <c r="F32" s="2987"/>
      <c r="G32" s="2987"/>
      <c r="H32" s="2987"/>
      <c r="I32" s="2987"/>
      <c r="J32" s="393">
        <f t="shared" si="0"/>
        <v>0</v>
      </c>
      <c r="K32" s="395"/>
      <c r="L32" s="393">
        <f>'906-6B'!J32</f>
        <v>0</v>
      </c>
      <c r="M32" s="393">
        <f>'906-6C'!J32</f>
        <v>0</v>
      </c>
    </row>
    <row r="33" spans="1:13" x14ac:dyDescent="0.2">
      <c r="A33"/>
      <c r="B33" s="2987" t="s">
        <v>831</v>
      </c>
      <c r="C33" s="2987"/>
      <c r="D33" s="2987"/>
      <c r="E33" s="2987"/>
      <c r="F33" s="2987"/>
      <c r="G33" s="2987"/>
      <c r="H33" s="2987"/>
      <c r="I33" s="2987"/>
      <c r="J33" s="393">
        <f t="shared" si="0"/>
        <v>0</v>
      </c>
      <c r="K33" s="395"/>
      <c r="L33" s="393">
        <f>'906-6B'!J33</f>
        <v>0</v>
      </c>
      <c r="M33" s="393">
        <f>'906-6C'!J33</f>
        <v>0</v>
      </c>
    </row>
    <row r="34" spans="1:13" x14ac:dyDescent="0.2">
      <c r="A34"/>
      <c r="B34" s="2987" t="s">
        <v>549</v>
      </c>
      <c r="C34" s="2987"/>
      <c r="D34" s="2987"/>
      <c r="E34" s="2987"/>
      <c r="F34" s="2987"/>
      <c r="G34" s="2987"/>
      <c r="H34" s="2987"/>
      <c r="I34" s="2987"/>
      <c r="J34" s="393">
        <f t="shared" si="0"/>
        <v>0</v>
      </c>
      <c r="K34" s="395"/>
      <c r="L34" s="393">
        <f>'906-6B'!J34</f>
        <v>0</v>
      </c>
      <c r="M34" s="393">
        <f>'906-6C'!J34</f>
        <v>0</v>
      </c>
    </row>
    <row r="35" spans="1:13" x14ac:dyDescent="0.2">
      <c r="A35"/>
      <c r="B35" s="2987" t="s">
        <v>931</v>
      </c>
      <c r="C35" s="2987"/>
      <c r="D35" s="2987"/>
      <c r="E35" s="2987"/>
      <c r="F35" s="2987"/>
      <c r="G35" s="2987"/>
      <c r="H35" s="2987"/>
      <c r="I35" s="2987"/>
      <c r="J35" s="393">
        <f t="shared" si="0"/>
        <v>0</v>
      </c>
      <c r="K35" s="395"/>
      <c r="L35" s="393">
        <f>'906-6B'!J35</f>
        <v>0</v>
      </c>
      <c r="M35" s="393">
        <f>'906-6C'!J35</f>
        <v>0</v>
      </c>
    </row>
    <row r="36" spans="1:13" x14ac:dyDescent="0.2">
      <c r="A36"/>
      <c r="B36" s="2987" t="s">
        <v>1095</v>
      </c>
      <c r="C36" s="2987"/>
      <c r="D36" s="2987"/>
      <c r="E36" s="2987"/>
      <c r="F36" s="2987"/>
      <c r="G36" s="2987"/>
      <c r="H36" s="2987"/>
      <c r="I36" s="2987"/>
      <c r="J36" s="393">
        <f t="shared" si="0"/>
        <v>0</v>
      </c>
      <c r="K36" s="395"/>
      <c r="L36" s="393">
        <f>'906-6B'!J36</f>
        <v>0</v>
      </c>
      <c r="M36" s="393">
        <f>'906-6C'!J36</f>
        <v>0</v>
      </c>
    </row>
    <row r="37" spans="1:13" x14ac:dyDescent="0.2">
      <c r="A37"/>
      <c r="B37" s="2987" t="s">
        <v>484</v>
      </c>
      <c r="C37" s="2987"/>
      <c r="D37" s="2987"/>
      <c r="E37" s="2987"/>
      <c r="F37" s="2987"/>
      <c r="G37" s="2987"/>
      <c r="H37" s="2987"/>
      <c r="I37" s="2987"/>
      <c r="J37" s="393">
        <f t="shared" si="0"/>
        <v>0</v>
      </c>
      <c r="K37" s="395"/>
      <c r="L37" s="393">
        <f>'906-6B'!J37</f>
        <v>0</v>
      </c>
      <c r="M37" s="393">
        <f>'906-6C'!J37</f>
        <v>0</v>
      </c>
    </row>
    <row r="38" spans="1:13" x14ac:dyDescent="0.2">
      <c r="A38"/>
      <c r="B38" s="2987" t="s">
        <v>485</v>
      </c>
      <c r="C38" s="2987"/>
      <c r="D38" s="2987"/>
      <c r="E38" s="2987"/>
      <c r="F38" s="2987"/>
      <c r="G38" s="2987"/>
      <c r="H38" s="2987"/>
      <c r="I38" s="2987"/>
      <c r="J38" s="393">
        <f t="shared" si="0"/>
        <v>0</v>
      </c>
      <c r="K38" s="395"/>
      <c r="L38" s="393">
        <f>'906-6B'!J38</f>
        <v>0</v>
      </c>
      <c r="M38" s="393">
        <f>'906-6C'!J38</f>
        <v>0</v>
      </c>
    </row>
    <row r="39" spans="1:13" x14ac:dyDescent="0.2">
      <c r="A39"/>
      <c r="B39" s="2987" t="s">
        <v>272</v>
      </c>
      <c r="C39" s="2987"/>
      <c r="D39" s="2987"/>
      <c r="E39" s="2987"/>
      <c r="F39" s="2987"/>
      <c r="G39" s="2987"/>
      <c r="H39" s="2987"/>
      <c r="I39" s="2987"/>
      <c r="J39" s="706">
        <f>SUM(J10:J38)</f>
        <v>0</v>
      </c>
      <c r="K39" s="395"/>
      <c r="L39" s="706">
        <f>SUM(L10:L38)</f>
        <v>0</v>
      </c>
      <c r="M39" s="706">
        <f>SUM(M10:M38)</f>
        <v>0</v>
      </c>
    </row>
    <row r="40" spans="1:13" x14ac:dyDescent="0.2">
      <c r="A40"/>
      <c r="B40" s="1300"/>
      <c r="C40" s="819"/>
      <c r="D40"/>
      <c r="E40"/>
      <c r="F40"/>
      <c r="G40"/>
      <c r="H40"/>
      <c r="I40"/>
      <c r="J40" s="1260"/>
      <c r="K40" s="395"/>
      <c r="L40" s="643"/>
      <c r="M40" s="643"/>
    </row>
    <row r="41" spans="1:13" x14ac:dyDescent="0.2">
      <c r="A41"/>
      <c r="B41" s="1298" t="s">
        <v>486</v>
      </c>
      <c r="C41" s="819"/>
      <c r="D41"/>
      <c r="E41"/>
      <c r="F41"/>
      <c r="G41"/>
      <c r="H41"/>
      <c r="I41"/>
      <c r="J41" s="1260"/>
      <c r="K41" s="395"/>
      <c r="L41" s="643"/>
      <c r="M41" s="643"/>
    </row>
    <row r="42" spans="1:13" x14ac:dyDescent="0.2">
      <c r="A42"/>
      <c r="B42" s="1301" t="s">
        <v>275</v>
      </c>
      <c r="C42" s="819"/>
      <c r="D42"/>
      <c r="E42"/>
      <c r="F42"/>
      <c r="G42"/>
      <c r="H42"/>
      <c r="I42"/>
      <c r="J42" s="1260"/>
      <c r="K42" s="395"/>
      <c r="L42" s="643"/>
      <c r="M42" s="643"/>
    </row>
    <row r="43" spans="1:13" x14ac:dyDescent="0.2">
      <c r="A43"/>
      <c r="B43" s="2994" t="s">
        <v>1060</v>
      </c>
      <c r="C43" s="2994"/>
      <c r="D43" s="2994"/>
      <c r="E43" s="2994"/>
      <c r="F43" s="2994"/>
      <c r="G43" s="2994"/>
      <c r="H43" s="2994"/>
      <c r="I43" s="2994"/>
      <c r="J43" s="393">
        <f t="shared" ref="J43:J50" si="1">SUM(L43:M43)</f>
        <v>0</v>
      </c>
      <c r="K43" s="395"/>
      <c r="L43" s="393">
        <f>'906-6B'!J43</f>
        <v>0</v>
      </c>
      <c r="M43" s="393">
        <f>'906-6C'!J43</f>
        <v>0</v>
      </c>
    </row>
    <row r="44" spans="1:13" x14ac:dyDescent="0.2">
      <c r="A44"/>
      <c r="B44" s="2994" t="s">
        <v>816</v>
      </c>
      <c r="C44" s="2994"/>
      <c r="D44" s="2994"/>
      <c r="E44" s="2994"/>
      <c r="F44" s="2994"/>
      <c r="G44" s="2994"/>
      <c r="H44" s="2994"/>
      <c r="I44" s="2994"/>
      <c r="J44" s="393">
        <f t="shared" si="1"/>
        <v>0</v>
      </c>
      <c r="K44" s="395"/>
      <c r="L44" s="393">
        <f>'906-6B'!J44</f>
        <v>0</v>
      </c>
      <c r="M44" s="393">
        <f>'906-6C'!J44</f>
        <v>0</v>
      </c>
    </row>
    <row r="45" spans="1:13" x14ac:dyDescent="0.2">
      <c r="A45"/>
      <c r="B45" s="2994" t="s">
        <v>1078</v>
      </c>
      <c r="C45" s="2994"/>
      <c r="D45" s="2994"/>
      <c r="E45" s="2994"/>
      <c r="F45" s="2994"/>
      <c r="G45" s="2994"/>
      <c r="H45" s="2994"/>
      <c r="I45" s="2994"/>
      <c r="J45" s="393">
        <f t="shared" si="1"/>
        <v>0</v>
      </c>
      <c r="K45" s="395"/>
      <c r="L45" s="393">
        <f>'906-6B'!J45</f>
        <v>0</v>
      </c>
      <c r="M45" s="393">
        <f>'906-6C'!J45</f>
        <v>0</v>
      </c>
    </row>
    <row r="46" spans="1:13" x14ac:dyDescent="0.2">
      <c r="A46"/>
      <c r="B46" s="2997" t="s">
        <v>1402</v>
      </c>
      <c r="C46" s="2997"/>
      <c r="D46" s="2997"/>
      <c r="E46" s="2997"/>
      <c r="F46" s="2997"/>
      <c r="G46" s="2997"/>
      <c r="H46" s="2997"/>
      <c r="I46" s="2997"/>
      <c r="J46" s="393">
        <f t="shared" si="1"/>
        <v>0</v>
      </c>
      <c r="K46" s="395"/>
      <c r="L46" s="393">
        <f>'906-6B'!J46</f>
        <v>0</v>
      </c>
      <c r="M46" s="393">
        <f>'906-6C'!J46</f>
        <v>0</v>
      </c>
    </row>
    <row r="47" spans="1:13" x14ac:dyDescent="0.2">
      <c r="A47"/>
      <c r="B47" s="2997" t="s">
        <v>569</v>
      </c>
      <c r="C47" s="2997"/>
      <c r="D47" s="2997"/>
      <c r="E47" s="2997"/>
      <c r="F47" s="2997"/>
      <c r="G47" s="2997"/>
      <c r="H47" s="2997"/>
      <c r="I47" s="2997"/>
      <c r="J47" s="393">
        <f t="shared" si="1"/>
        <v>0</v>
      </c>
      <c r="K47" s="395"/>
      <c r="L47" s="393">
        <f>'906-6B'!J47</f>
        <v>0</v>
      </c>
      <c r="M47" s="393">
        <f>'906-6C'!J47</f>
        <v>0</v>
      </c>
    </row>
    <row r="48" spans="1:13" x14ac:dyDescent="0.2">
      <c r="A48"/>
      <c r="B48" s="2997" t="s">
        <v>739</v>
      </c>
      <c r="C48" s="2997"/>
      <c r="D48" s="2997"/>
      <c r="E48" s="2997"/>
      <c r="F48" s="2997"/>
      <c r="G48" s="2997"/>
      <c r="H48" s="2997"/>
      <c r="I48" s="2997"/>
      <c r="J48" s="393">
        <f t="shared" si="1"/>
        <v>0</v>
      </c>
      <c r="K48" s="395"/>
      <c r="L48" s="393">
        <f>'906-6B'!J48</f>
        <v>0</v>
      </c>
      <c r="M48" s="393">
        <f>'906-6C'!J48</f>
        <v>0</v>
      </c>
    </row>
    <row r="49" spans="1:13" x14ac:dyDescent="0.2">
      <c r="A49"/>
      <c r="B49" s="2987" t="s">
        <v>701</v>
      </c>
      <c r="C49" s="2987"/>
      <c r="D49" s="2987"/>
      <c r="E49" s="2987"/>
      <c r="F49" s="2987"/>
      <c r="G49" s="2987"/>
      <c r="H49" s="2987"/>
      <c r="I49" s="2987"/>
      <c r="J49" s="393">
        <f t="shared" si="1"/>
        <v>0</v>
      </c>
      <c r="K49" s="395"/>
      <c r="L49" s="393">
        <f>'906-6B'!J49</f>
        <v>0</v>
      </c>
      <c r="M49" s="393">
        <f>'906-6C'!J49</f>
        <v>0</v>
      </c>
    </row>
    <row r="50" spans="1:13" x14ac:dyDescent="0.2">
      <c r="A50"/>
      <c r="B50" s="2997" t="s">
        <v>80</v>
      </c>
      <c r="C50" s="2997"/>
      <c r="D50" s="2997"/>
      <c r="E50" s="2997"/>
      <c r="F50" s="2997"/>
      <c r="G50" s="2997"/>
      <c r="H50" s="2997"/>
      <c r="I50" s="2997"/>
      <c r="J50" s="393">
        <f t="shared" si="1"/>
        <v>0</v>
      </c>
      <c r="K50" s="395"/>
      <c r="L50" s="393">
        <f>'906-6B'!J50</f>
        <v>0</v>
      </c>
      <c r="M50" s="393">
        <f>'906-6C'!J50</f>
        <v>0</v>
      </c>
    </row>
    <row r="51" spans="1:13" x14ac:dyDescent="0.2">
      <c r="A51"/>
      <c r="B51" s="2987" t="s">
        <v>791</v>
      </c>
      <c r="C51" s="2987"/>
      <c r="D51" s="2987"/>
      <c r="E51" s="2987"/>
      <c r="F51" s="2987"/>
      <c r="G51" s="2987"/>
      <c r="H51" s="2987"/>
      <c r="I51" s="2987"/>
      <c r="J51" s="706">
        <f>SUM(J42:J50)</f>
        <v>0</v>
      </c>
      <c r="K51" s="395"/>
      <c r="L51" s="706">
        <f>SUM(L42:L50)</f>
        <v>0</v>
      </c>
      <c r="M51" s="706">
        <f>SUM(M42:M50)</f>
        <v>0</v>
      </c>
    </row>
    <row r="52" spans="1:13" x14ac:dyDescent="0.2">
      <c r="A52"/>
      <c r="B52" s="1302"/>
      <c r="C52" s="1302"/>
      <c r="D52"/>
      <c r="E52"/>
      <c r="F52"/>
      <c r="G52"/>
      <c r="H52"/>
      <c r="I52"/>
      <c r="J52" s="1261"/>
      <c r="K52" s="395"/>
      <c r="L52" s="399"/>
      <c r="M52" s="399"/>
    </row>
    <row r="53" spans="1:13" x14ac:dyDescent="0.2">
      <c r="A53"/>
      <c r="B53" s="1434" t="s">
        <v>1888</v>
      </c>
      <c r="C53"/>
      <c r="D53"/>
      <c r="E53"/>
      <c r="F53"/>
      <c r="G53"/>
      <c r="H53"/>
      <c r="I53"/>
      <c r="J53" s="393"/>
      <c r="K53" s="395"/>
      <c r="L53" s="399"/>
      <c r="M53" s="399"/>
    </row>
    <row r="54" spans="1:13" x14ac:dyDescent="0.2">
      <c r="A54"/>
      <c r="B54" s="3002" t="s">
        <v>792</v>
      </c>
      <c r="C54" s="3003"/>
      <c r="D54" s="3003"/>
      <c r="E54" s="3003"/>
      <c r="F54" s="3003"/>
      <c r="G54" s="3003"/>
      <c r="H54" s="3003"/>
      <c r="I54" s="3003"/>
      <c r="J54" s="393"/>
      <c r="K54" s="395"/>
      <c r="L54" s="399"/>
      <c r="M54" s="399"/>
    </row>
    <row r="55" spans="1:13" x14ac:dyDescent="0.2">
      <c r="A55"/>
      <c r="B55" s="2999" t="s">
        <v>3840</v>
      </c>
      <c r="C55" s="2997"/>
      <c r="D55" s="2997"/>
      <c r="E55" s="2997"/>
      <c r="F55" s="2997"/>
      <c r="G55" s="2997"/>
      <c r="H55" s="2997"/>
      <c r="I55" s="2997"/>
      <c r="J55" s="393">
        <f>SUM(L55:M55)</f>
        <v>0</v>
      </c>
      <c r="K55" s="395"/>
      <c r="L55" s="393"/>
      <c r="M55" s="393">
        <f>'906-6C'!J55</f>
        <v>0</v>
      </c>
    </row>
    <row r="56" spans="1:13" x14ac:dyDescent="0.2">
      <c r="A56"/>
      <c r="B56" s="2999" t="s">
        <v>3839</v>
      </c>
      <c r="C56" s="2997"/>
      <c r="D56" s="2997"/>
      <c r="E56" s="2997"/>
      <c r="F56" s="2997"/>
      <c r="G56" s="2997"/>
      <c r="H56" s="2997"/>
      <c r="I56" s="2997"/>
      <c r="J56" s="393">
        <f>SUM(L56:M56)</f>
        <v>0</v>
      </c>
      <c r="K56" s="395"/>
      <c r="L56" s="393">
        <f>'906-6B'!J55</f>
        <v>0</v>
      </c>
      <c r="M56" s="393"/>
    </row>
    <row r="57" spans="1:13" ht="13.5" thickBot="1" x14ac:dyDescent="0.25">
      <c r="A57"/>
      <c r="B57" s="2995" t="s">
        <v>1889</v>
      </c>
      <c r="C57" s="2996"/>
      <c r="D57" s="2996"/>
      <c r="E57" s="2996"/>
      <c r="F57" s="2996"/>
      <c r="G57" s="2996"/>
      <c r="H57" s="2996"/>
      <c r="I57" s="2996"/>
      <c r="J57" s="707">
        <f>SUM(J54:J56)</f>
        <v>0</v>
      </c>
      <c r="K57" s="395"/>
      <c r="L57" s="707">
        <f>SUM(L54:L56)</f>
        <v>0</v>
      </c>
      <c r="M57" s="707">
        <f>SUM(M54:M56)</f>
        <v>0</v>
      </c>
    </row>
    <row r="58" spans="1:13" ht="13.5" thickTop="1" x14ac:dyDescent="0.2">
      <c r="A58"/>
      <c r="B58" s="1303"/>
      <c r="C58" s="1303"/>
      <c r="D58" s="1303"/>
      <c r="E58" s="1303"/>
      <c r="F58" s="1303"/>
      <c r="G58" s="1303"/>
      <c r="H58" s="1303"/>
      <c r="I58" s="1303"/>
      <c r="J58" s="393"/>
      <c r="K58" s="395"/>
      <c r="L58" s="398"/>
      <c r="M58" s="398"/>
    </row>
    <row r="59" spans="1:13" x14ac:dyDescent="0.2">
      <c r="A59"/>
      <c r="B59" s="2995" t="s">
        <v>1899</v>
      </c>
      <c r="C59" s="2996"/>
      <c r="D59" s="2996"/>
      <c r="E59" s="2996"/>
      <c r="F59" s="2996"/>
      <c r="G59" s="2996"/>
      <c r="H59" s="2996"/>
      <c r="I59" s="2996"/>
      <c r="J59" s="1258" t="str">
        <f>IF(ROUND(J39-J51,2)=J57,"In Balance","NOT BALANCED")</f>
        <v>In Balance</v>
      </c>
      <c r="K59" s="395"/>
      <c r="L59" s="1258" t="str">
        <f>IF(ROUND(L39-L51,2)=L57,"In Balance","NOT BALANCED")</f>
        <v>In Balance</v>
      </c>
      <c r="M59" s="1258" t="str">
        <f>IF(ROUND(M39-M51,2)=M57,"In Balance","NOT BALANCED")</f>
        <v>In Balance</v>
      </c>
    </row>
    <row r="60" spans="1:13" x14ac:dyDescent="0.2">
      <c r="A60"/>
      <c r="B60"/>
      <c r="C60"/>
      <c r="D60"/>
      <c r="E60"/>
      <c r="F60"/>
      <c r="G60"/>
      <c r="H60"/>
      <c r="I60"/>
      <c r="J60" s="1297" t="s">
        <v>1953</v>
      </c>
      <c r="K60"/>
      <c r="L60" s="1229" t="s">
        <v>1952</v>
      </c>
      <c r="M60" s="1229" t="s">
        <v>1951</v>
      </c>
    </row>
    <row r="61" spans="1:13" x14ac:dyDescent="0.2">
      <c r="A61"/>
      <c r="B61" s="1304" t="s">
        <v>986</v>
      </c>
      <c r="C61"/>
      <c r="D61"/>
      <c r="E61"/>
      <c r="F61"/>
      <c r="G61"/>
      <c r="H61"/>
      <c r="I61"/>
      <c r="J61" s="1255" t="str">
        <f>CONCATENATE("FYE ",+TEXT(Data!$A$2,"mmmm d,yyyy"))</f>
        <v>FYE June 30,2022</v>
      </c>
      <c r="K61" s="395"/>
      <c r="L61" s="1255" t="str">
        <f>CONCATENATE("FYE ",+TEXT(Data!$A$2,"mmmm d,yyyy"))</f>
        <v>FYE June 30,2022</v>
      </c>
      <c r="M61" s="1255" t="str">
        <f>CONCATENATE("FYE ",+TEXT(Data!$A$2,"mmmm d,yyyy"))</f>
        <v>FYE June 30,2022</v>
      </c>
    </row>
    <row r="62" spans="1:13" x14ac:dyDescent="0.2">
      <c r="A62"/>
      <c r="B62" s="3001" t="s">
        <v>463</v>
      </c>
      <c r="C62" s="3001"/>
      <c r="D62" s="3001"/>
      <c r="E62" s="3001"/>
      <c r="F62" s="3001"/>
      <c r="G62" s="3001"/>
      <c r="H62" s="3001"/>
      <c r="I62" s="3001"/>
      <c r="J62" s="393"/>
      <c r="K62" s="395"/>
      <c r="L62" s="398"/>
      <c r="M62" s="398"/>
    </row>
    <row r="63" spans="1:13" x14ac:dyDescent="0.2">
      <c r="A63"/>
      <c r="B63" s="3000" t="s">
        <v>1081</v>
      </c>
      <c r="C63" s="3000"/>
      <c r="D63" s="3000"/>
      <c r="E63" s="3000"/>
      <c r="F63" s="3000"/>
      <c r="G63" s="3000"/>
      <c r="H63" s="3000"/>
      <c r="I63" s="3000"/>
      <c r="J63" s="842">
        <f>SUM(L63+M63)</f>
        <v>0</v>
      </c>
      <c r="K63" s="395"/>
      <c r="L63" s="842">
        <f>'906-6B'!J62</f>
        <v>0</v>
      </c>
      <c r="M63" s="842">
        <f>'906-6C'!J62</f>
        <v>0</v>
      </c>
    </row>
    <row r="64" spans="1:13" x14ac:dyDescent="0.2">
      <c r="A64"/>
      <c r="B64" s="3000" t="s">
        <v>1082</v>
      </c>
      <c r="C64" s="3000"/>
      <c r="D64" s="3000"/>
      <c r="E64" s="3000"/>
      <c r="F64" s="3000"/>
      <c r="G64" s="3000"/>
      <c r="H64" s="3000"/>
      <c r="I64" s="3000"/>
      <c r="J64" s="393">
        <f>SUM(L64:M64)</f>
        <v>0</v>
      </c>
      <c r="K64" s="395"/>
      <c r="L64" s="393">
        <f>'906-6B'!J63</f>
        <v>0</v>
      </c>
      <c r="M64" s="393">
        <f>'906-6C'!J63</f>
        <v>0</v>
      </c>
    </row>
    <row r="65" spans="1:13" x14ac:dyDescent="0.2">
      <c r="A65"/>
      <c r="B65" s="3004" t="s">
        <v>1083</v>
      </c>
      <c r="C65" s="3004"/>
      <c r="D65" s="3004"/>
      <c r="E65" s="3004"/>
      <c r="F65" s="3004"/>
      <c r="G65" s="3004"/>
      <c r="H65" s="3004"/>
      <c r="I65" s="3004"/>
      <c r="J65" s="393">
        <f>SUM(L65:M65)</f>
        <v>0</v>
      </c>
      <c r="K65" s="395"/>
      <c r="L65" s="393">
        <f>'906-6B'!J64</f>
        <v>0</v>
      </c>
      <c r="M65" s="393">
        <f>'906-6C'!J64</f>
        <v>0</v>
      </c>
    </row>
    <row r="66" spans="1:13" x14ac:dyDescent="0.2">
      <c r="A66"/>
      <c r="B66" s="3000" t="s">
        <v>1084</v>
      </c>
      <c r="C66" s="3000"/>
      <c r="D66" s="3000"/>
      <c r="E66" s="3000"/>
      <c r="F66" s="3000"/>
      <c r="G66" s="3000"/>
      <c r="H66" s="3000"/>
      <c r="I66" s="3000"/>
      <c r="J66" s="393">
        <f>SUM(L66:M66)</f>
        <v>0</v>
      </c>
      <c r="K66" s="395"/>
      <c r="L66" s="393">
        <f>'906-6B'!J65</f>
        <v>0</v>
      </c>
      <c r="M66" s="393">
        <f>'906-6C'!J65</f>
        <v>0</v>
      </c>
    </row>
    <row r="67" spans="1:13" x14ac:dyDescent="0.2">
      <c r="A67"/>
      <c r="B67" s="3000" t="s">
        <v>1080</v>
      </c>
      <c r="C67" s="3000"/>
      <c r="D67" s="3000"/>
      <c r="E67" s="3000"/>
      <c r="F67" s="3000"/>
      <c r="G67" s="3000"/>
      <c r="H67" s="3000"/>
      <c r="I67" s="3000"/>
      <c r="J67" s="706">
        <f>SUM(J63:J66)</f>
        <v>0</v>
      </c>
      <c r="K67" s="395"/>
      <c r="L67" s="706">
        <f>SUM(L63:L66)</f>
        <v>0</v>
      </c>
      <c r="M67" s="706">
        <f>SUM(M63:M66)</f>
        <v>0</v>
      </c>
    </row>
    <row r="68" spans="1:13" x14ac:dyDescent="0.2">
      <c r="A68"/>
      <c r="B68" s="3001" t="s">
        <v>464</v>
      </c>
      <c r="C68" s="3001"/>
      <c r="D68" s="3001"/>
      <c r="E68" s="3001"/>
      <c r="F68" s="3001"/>
      <c r="G68" s="3001"/>
      <c r="H68" s="3001"/>
      <c r="I68" s="3001"/>
      <c r="J68" s="393"/>
      <c r="K68" s="395"/>
      <c r="L68" s="643"/>
      <c r="M68" s="643"/>
    </row>
    <row r="69" spans="1:13" x14ac:dyDescent="0.2">
      <c r="A69"/>
      <c r="B69" s="3000" t="s">
        <v>1085</v>
      </c>
      <c r="C69" s="3000"/>
      <c r="D69" s="3000"/>
      <c r="E69" s="3000"/>
      <c r="F69" s="3000"/>
      <c r="G69" s="3000"/>
      <c r="H69" s="3000"/>
      <c r="I69" s="3000"/>
      <c r="J69" s="393">
        <f>SUM(L69:M69)</f>
        <v>0</v>
      </c>
      <c r="K69" s="395"/>
      <c r="L69" s="393">
        <f>'906-6B'!J68</f>
        <v>0</v>
      </c>
      <c r="M69" s="393">
        <f>'906-6C'!J68</f>
        <v>0</v>
      </c>
    </row>
    <row r="70" spans="1:13" x14ac:dyDescent="0.2">
      <c r="A70"/>
      <c r="B70" s="3000" t="s">
        <v>1086</v>
      </c>
      <c r="C70" s="3000"/>
      <c r="D70" s="3000"/>
      <c r="E70" s="3000"/>
      <c r="F70" s="3000"/>
      <c r="G70" s="3000"/>
      <c r="H70" s="3000"/>
      <c r="I70" s="3000"/>
      <c r="J70" s="393">
        <f>SUM(L70:M70)</f>
        <v>0</v>
      </c>
      <c r="K70" s="395"/>
      <c r="L70" s="393">
        <f>'906-6B'!J69</f>
        <v>0</v>
      </c>
      <c r="M70" s="393">
        <f>'906-6C'!J69</f>
        <v>0</v>
      </c>
    </row>
    <row r="71" spans="1:13" x14ac:dyDescent="0.2">
      <c r="A71"/>
      <c r="B71" s="3000" t="s">
        <v>1087</v>
      </c>
      <c r="C71" s="3000"/>
      <c r="D71" s="3000"/>
      <c r="E71" s="3000"/>
      <c r="F71" s="3000"/>
      <c r="G71" s="3000"/>
      <c r="H71" s="3000"/>
      <c r="I71" s="3000"/>
      <c r="J71" s="706">
        <f>SUM(J69:J70)</f>
        <v>0</v>
      </c>
      <c r="K71" s="395"/>
      <c r="L71" s="706">
        <f>SUM(L69:L70)</f>
        <v>0</v>
      </c>
      <c r="M71" s="706">
        <f>SUM(M69:M70)</f>
        <v>0</v>
      </c>
    </row>
    <row r="72" spans="1:13" x14ac:dyDescent="0.2">
      <c r="A72"/>
      <c r="B72" s="3001" t="s">
        <v>465</v>
      </c>
      <c r="C72" s="3001"/>
      <c r="D72" s="3001"/>
      <c r="E72" s="3001"/>
      <c r="F72" s="3001"/>
      <c r="G72" s="3001"/>
      <c r="H72" s="3001"/>
      <c r="I72" s="3001"/>
      <c r="J72" s="393"/>
      <c r="K72" s="395"/>
      <c r="L72" s="399"/>
      <c r="M72" s="399"/>
    </row>
    <row r="73" spans="1:13" x14ac:dyDescent="0.2">
      <c r="A73"/>
      <c r="B73" s="3000" t="s">
        <v>1088</v>
      </c>
      <c r="C73" s="3000"/>
      <c r="D73" s="3000"/>
      <c r="E73" s="3000"/>
      <c r="F73" s="3000"/>
      <c r="G73" s="3000"/>
      <c r="H73" s="3000"/>
      <c r="I73" s="3000"/>
      <c r="J73" s="393">
        <f>SUM(L73:M73)</f>
        <v>0</v>
      </c>
      <c r="K73" s="395"/>
      <c r="L73" s="393">
        <f>'906-6B'!J72</f>
        <v>0</v>
      </c>
      <c r="M73" s="393">
        <f>'906-6C'!J72</f>
        <v>0</v>
      </c>
    </row>
    <row r="74" spans="1:13" x14ac:dyDescent="0.2">
      <c r="A74"/>
      <c r="B74" s="3000" t="s">
        <v>944</v>
      </c>
      <c r="C74" s="3000"/>
      <c r="D74" s="3000"/>
      <c r="E74" s="3000"/>
      <c r="F74" s="3000"/>
      <c r="G74" s="3000"/>
      <c r="H74" s="3000"/>
      <c r="I74" s="3000"/>
      <c r="J74" s="393">
        <f>SUM(L74:M74)</f>
        <v>0</v>
      </c>
      <c r="K74" s="395"/>
      <c r="L74" s="393">
        <f>'906-6B'!J73</f>
        <v>0</v>
      </c>
      <c r="M74" s="393">
        <f>'906-6C'!J73</f>
        <v>0</v>
      </c>
    </row>
    <row r="75" spans="1:13" x14ac:dyDescent="0.2">
      <c r="A75"/>
      <c r="B75" s="3000" t="s">
        <v>945</v>
      </c>
      <c r="C75" s="3000"/>
      <c r="D75" s="3000"/>
      <c r="E75" s="3000"/>
      <c r="F75" s="3000"/>
      <c r="G75" s="3000"/>
      <c r="H75" s="3000"/>
      <c r="I75" s="3000"/>
      <c r="J75" s="393">
        <f>SUM(L75:M75)</f>
        <v>0</v>
      </c>
      <c r="K75" s="395"/>
      <c r="L75" s="393">
        <f>'906-6B'!J74</f>
        <v>0</v>
      </c>
      <c r="M75" s="393">
        <f>'906-6C'!J74</f>
        <v>0</v>
      </c>
    </row>
    <row r="76" spans="1:13" x14ac:dyDescent="0.2">
      <c r="A76"/>
      <c r="B76" s="3000" t="s">
        <v>503</v>
      </c>
      <c r="C76" s="3000"/>
      <c r="D76" s="3000"/>
      <c r="E76" s="3000"/>
      <c r="F76" s="3000"/>
      <c r="G76" s="3000"/>
      <c r="H76" s="3000"/>
      <c r="I76" s="3000"/>
      <c r="J76" s="706">
        <f>SUM(J73:J75)</f>
        <v>0</v>
      </c>
      <c r="K76" s="395"/>
      <c r="L76" s="706">
        <f>SUM(L73:L75)</f>
        <v>0</v>
      </c>
      <c r="M76" s="706">
        <f>SUM(M73:M75)</f>
        <v>0</v>
      </c>
    </row>
    <row r="77" spans="1:13" x14ac:dyDescent="0.2">
      <c r="A77"/>
      <c r="B77" s="3000" t="s">
        <v>466</v>
      </c>
      <c r="C77" s="3000"/>
      <c r="D77" s="3000"/>
      <c r="E77" s="3000"/>
      <c r="F77" s="3000"/>
      <c r="G77" s="3000"/>
      <c r="H77" s="3000"/>
      <c r="I77" s="3000"/>
      <c r="J77" s="706">
        <f>J67+J71+J76</f>
        <v>0</v>
      </c>
      <c r="K77" s="395"/>
      <c r="L77" s="706">
        <f>L67+L71+L76</f>
        <v>0</v>
      </c>
      <c r="M77" s="706">
        <f>M67+M71+M76</f>
        <v>0</v>
      </c>
    </row>
    <row r="78" spans="1:13" x14ac:dyDescent="0.2">
      <c r="A78"/>
      <c r="B78" s="643"/>
      <c r="C78"/>
      <c r="D78"/>
      <c r="E78"/>
      <c r="F78"/>
      <c r="G78"/>
      <c r="H78"/>
      <c r="I78"/>
      <c r="J78" s="393"/>
      <c r="K78" s="395"/>
      <c r="L78" s="398"/>
      <c r="M78" s="398"/>
    </row>
    <row r="79" spans="1:13" x14ac:dyDescent="0.2">
      <c r="A79"/>
      <c r="B79" s="2998" t="s">
        <v>467</v>
      </c>
      <c r="C79" s="2998"/>
      <c r="D79" s="2998"/>
      <c r="E79" s="2998"/>
      <c r="F79" s="2998"/>
      <c r="G79" s="2998"/>
      <c r="H79" s="2998"/>
      <c r="I79" s="2998"/>
      <c r="J79" s="393"/>
      <c r="K79" s="395"/>
      <c r="L79" s="398"/>
      <c r="M79" s="398"/>
    </row>
    <row r="80" spans="1:13" x14ac:dyDescent="0.2">
      <c r="A80"/>
      <c r="B80" s="3000" t="s">
        <v>1171</v>
      </c>
      <c r="C80" s="3000"/>
      <c r="D80" s="3000"/>
      <c r="E80" s="3000"/>
      <c r="F80" s="3000"/>
      <c r="G80" s="3000"/>
      <c r="H80" s="3000"/>
      <c r="I80" s="3000"/>
      <c r="J80" s="393">
        <f>SUM(L80:M80)</f>
        <v>0</v>
      </c>
      <c r="K80" s="395"/>
      <c r="L80" s="393">
        <f>'906-6B'!J79</f>
        <v>0</v>
      </c>
      <c r="M80" s="393">
        <f>'906-6C'!J79</f>
        <v>0</v>
      </c>
    </row>
    <row r="81" spans="1:13" x14ac:dyDescent="0.2">
      <c r="A81"/>
      <c r="B81" s="3000" t="s">
        <v>468</v>
      </c>
      <c r="C81" s="3000"/>
      <c r="D81" s="3000"/>
      <c r="E81" s="3000"/>
      <c r="F81" s="3000"/>
      <c r="G81" s="3000"/>
      <c r="H81" s="3000"/>
      <c r="I81" s="3000"/>
      <c r="J81" s="393">
        <f>SUM(L81:M81)</f>
        <v>0</v>
      </c>
      <c r="K81" s="395"/>
      <c r="L81" s="393">
        <f>'906-6B'!J80</f>
        <v>0</v>
      </c>
      <c r="M81" s="393">
        <f>'906-6C'!J80</f>
        <v>0</v>
      </c>
    </row>
    <row r="82" spans="1:13" x14ac:dyDescent="0.2">
      <c r="A82"/>
      <c r="B82" s="3000" t="s">
        <v>469</v>
      </c>
      <c r="C82" s="3000"/>
      <c r="D82" s="3000"/>
      <c r="E82" s="3000"/>
      <c r="F82" s="3000"/>
      <c r="G82" s="3000"/>
      <c r="H82" s="3000"/>
      <c r="I82" s="3000"/>
      <c r="J82" s="393">
        <f>SUM(L82:M82)</f>
        <v>0</v>
      </c>
      <c r="K82" s="395"/>
      <c r="L82" s="393">
        <f>'906-6B'!J81</f>
        <v>0</v>
      </c>
      <c r="M82" s="393">
        <f>'906-6C'!J81</f>
        <v>0</v>
      </c>
    </row>
    <row r="83" spans="1:13" x14ac:dyDescent="0.2">
      <c r="A83"/>
      <c r="B83" s="3000" t="s">
        <v>470</v>
      </c>
      <c r="C83" s="3000"/>
      <c r="D83" s="3000"/>
      <c r="E83" s="3000"/>
      <c r="F83" s="3000"/>
      <c r="G83" s="3000"/>
      <c r="H83" s="3000"/>
      <c r="I83" s="3000"/>
      <c r="J83" s="393">
        <f>SUM(L83:M83)</f>
        <v>0</v>
      </c>
      <c r="K83" s="395"/>
      <c r="L83" s="393">
        <f>'906-6B'!J82</f>
        <v>0</v>
      </c>
      <c r="M83" s="393">
        <f>'906-6C'!J82</f>
        <v>0</v>
      </c>
    </row>
    <row r="84" spans="1:13" x14ac:dyDescent="0.2">
      <c r="A84"/>
      <c r="B84" s="3000" t="s">
        <v>504</v>
      </c>
      <c r="C84" s="3000"/>
      <c r="D84" s="3000"/>
      <c r="E84" s="3000"/>
      <c r="F84" s="3000"/>
      <c r="G84" s="3000"/>
      <c r="H84" s="3000"/>
      <c r="I84" s="3000"/>
      <c r="J84" s="706">
        <f>SUM(J80:J83)</f>
        <v>0</v>
      </c>
      <c r="K84" s="395"/>
      <c r="L84" s="706">
        <f>SUM(L80:L83)</f>
        <v>0</v>
      </c>
      <c r="M84" s="706">
        <f>SUM(M80:M83)</f>
        <v>0</v>
      </c>
    </row>
    <row r="85" spans="1:13" x14ac:dyDescent="0.2">
      <c r="A85"/>
      <c r="B85" s="2964" t="s">
        <v>1900</v>
      </c>
      <c r="C85" s="3000"/>
      <c r="D85" s="3000"/>
      <c r="E85" s="3000"/>
      <c r="F85" s="3000"/>
      <c r="G85" s="3000"/>
      <c r="H85" s="3000"/>
      <c r="I85" s="3000"/>
      <c r="J85" s="1252">
        <f>J77-J84</f>
        <v>0</v>
      </c>
      <c r="K85" s="395"/>
      <c r="L85" s="1252">
        <f>L77-L84</f>
        <v>0</v>
      </c>
      <c r="M85" s="1252">
        <f>M77-M84</f>
        <v>0</v>
      </c>
    </row>
    <row r="86" spans="1:13" x14ac:dyDescent="0.2">
      <c r="A86"/>
      <c r="B86" s="2999" t="s">
        <v>1901</v>
      </c>
      <c r="C86" s="2997"/>
      <c r="D86" s="2997"/>
      <c r="E86" s="2997"/>
      <c r="F86" s="2997"/>
      <c r="G86" s="2997"/>
      <c r="H86" s="2997"/>
      <c r="I86" s="2997"/>
      <c r="J86" s="393">
        <f>SUM(L86:M86)</f>
        <v>14891604872.32</v>
      </c>
      <c r="K86" s="395"/>
      <c r="L86" s="393">
        <f>'906-6B'!J85</f>
        <v>1796027273.3099999</v>
      </c>
      <c r="M86" s="393">
        <f>'906-6C'!J85</f>
        <v>13095577599.01</v>
      </c>
    </row>
    <row r="87" spans="1:13" x14ac:dyDescent="0.2">
      <c r="A87"/>
      <c r="B87" s="2997" t="s">
        <v>645</v>
      </c>
      <c r="C87" s="2997"/>
      <c r="D87" s="2997"/>
      <c r="E87" s="2997"/>
      <c r="F87" s="2997"/>
      <c r="G87" s="2997"/>
      <c r="H87" s="2997"/>
      <c r="I87" s="2997"/>
      <c r="J87" s="393">
        <f>SUM(L87:M87)</f>
        <v>0</v>
      </c>
      <c r="K87" s="395"/>
      <c r="L87" s="393">
        <f>'906-6B'!J86</f>
        <v>0</v>
      </c>
      <c r="M87" s="393">
        <f>'906-6C'!J86</f>
        <v>0</v>
      </c>
    </row>
    <row r="88" spans="1:13" ht="13.5" thickBot="1" x14ac:dyDescent="0.25">
      <c r="A88"/>
      <c r="B88" s="2999" t="s">
        <v>1902</v>
      </c>
      <c r="C88" s="2997"/>
      <c r="D88" s="2997"/>
      <c r="E88" s="2997"/>
      <c r="F88" s="2997"/>
      <c r="G88" s="2997"/>
      <c r="H88" s="2997"/>
      <c r="I88" s="2997"/>
      <c r="J88" s="708">
        <f>SUM(J85:J87)</f>
        <v>14891604872.32</v>
      </c>
      <c r="K88" s="395"/>
      <c r="L88" s="708">
        <f>SUM(L85:L87)</f>
        <v>1796027273.3099999</v>
      </c>
      <c r="M88" s="708">
        <f>SUM(M85:M87)</f>
        <v>13095577599.01</v>
      </c>
    </row>
    <row r="89" spans="1:13" ht="13.5" thickTop="1" x14ac:dyDescent="0.2">
      <c r="A89"/>
      <c r="B89"/>
      <c r="C89"/>
      <c r="D89"/>
      <c r="E89"/>
      <c r="F89"/>
      <c r="G89"/>
      <c r="H89"/>
      <c r="I89"/>
      <c r="J89" s="393"/>
      <c r="K89" s="403"/>
      <c r="L89" s="403"/>
      <c r="M89" s="403"/>
    </row>
    <row r="90" spans="1:13" x14ac:dyDescent="0.2">
      <c r="A90"/>
      <c r="B90"/>
      <c r="C90"/>
      <c r="D90"/>
      <c r="E90"/>
      <c r="F90"/>
      <c r="G90"/>
      <c r="H90"/>
      <c r="I90"/>
      <c r="J90" s="393"/>
      <c r="K90" s="335"/>
      <c r="L90" s="335"/>
      <c r="M90" s="335"/>
    </row>
    <row r="91" spans="1:13" x14ac:dyDescent="0.2">
      <c r="A91"/>
      <c r="B91" s="2995" t="s">
        <v>1954</v>
      </c>
      <c r="C91" s="2996"/>
      <c r="D91" s="2996"/>
      <c r="E91" s="2996"/>
      <c r="F91" s="2996"/>
      <c r="G91" s="2996"/>
      <c r="H91" s="2996"/>
      <c r="I91" s="2996"/>
      <c r="J91" s="1258" t="str">
        <f>IF(ROUND(J57-J88,2)=0,"In Balance","NOT BALANCED")</f>
        <v>NOT BALANCED</v>
      </c>
      <c r="K91" s="399"/>
      <c r="L91" s="1258" t="str">
        <f>IF(ROUND(L57-L88,2)=0,"In Balance","NOT BALANCED")</f>
        <v>NOT BALANCED</v>
      </c>
      <c r="M91" s="1258" t="str">
        <f>IF(ROUND(M57-M88,2)=0,"In Balance","NOT BALANCED")</f>
        <v>NOT BALANCED</v>
      </c>
    </row>
    <row r="92" spans="1:13" x14ac:dyDescent="0.2">
      <c r="B92"/>
      <c r="C92"/>
      <c r="D92"/>
      <c r="E92"/>
      <c r="F92"/>
      <c r="G92"/>
      <c r="H92"/>
      <c r="I92"/>
      <c r="J92" s="393"/>
      <c r="K92" s="399"/>
      <c r="L92" s="399"/>
      <c r="M92" s="399"/>
    </row>
    <row r="93" spans="1:13" x14ac:dyDescent="0.2">
      <c r="B93" s="1201"/>
      <c r="J93" s="701"/>
      <c r="K93" s="1296"/>
      <c r="L93" s="701"/>
      <c r="M93" s="701"/>
    </row>
    <row r="94" spans="1:13" x14ac:dyDescent="0.2">
      <c r="K94" s="691"/>
      <c r="L94" s="691"/>
      <c r="M94" s="691"/>
    </row>
    <row r="95" spans="1:13" x14ac:dyDescent="0.2">
      <c r="K95" s="691"/>
      <c r="L95" s="691"/>
      <c r="M95" s="691"/>
    </row>
    <row r="96" spans="1:13" x14ac:dyDescent="0.2">
      <c r="K96" s="691"/>
      <c r="L96" s="691"/>
      <c r="M96" s="691"/>
    </row>
    <row r="97" spans="11:13" x14ac:dyDescent="0.2">
      <c r="K97" s="691"/>
      <c r="L97" s="691"/>
      <c r="M97" s="691"/>
    </row>
    <row r="98" spans="11:13" x14ac:dyDescent="0.2">
      <c r="K98" s="691"/>
      <c r="L98" s="691"/>
      <c r="M98" s="691"/>
    </row>
    <row r="99" spans="11:13" x14ac:dyDescent="0.2">
      <c r="K99" s="691"/>
      <c r="L99" s="691"/>
      <c r="M99" s="691"/>
    </row>
    <row r="100" spans="11:13" x14ac:dyDescent="0.2">
      <c r="K100" s="691"/>
      <c r="L100" s="691"/>
      <c r="M100" s="691"/>
    </row>
    <row r="101" spans="11:13" x14ac:dyDescent="0.2">
      <c r="K101" s="691"/>
      <c r="L101" s="691"/>
      <c r="M101" s="691"/>
    </row>
    <row r="102" spans="11:13" x14ac:dyDescent="0.2">
      <c r="K102" s="691"/>
      <c r="L102" s="691"/>
      <c r="M102" s="691"/>
    </row>
    <row r="103" spans="11:13" x14ac:dyDescent="0.2">
      <c r="K103" s="692"/>
      <c r="L103" s="692"/>
      <c r="M103" s="692"/>
    </row>
    <row r="104" spans="11:13" x14ac:dyDescent="0.2">
      <c r="K104" s="688"/>
      <c r="L104" s="688"/>
      <c r="M104" s="688"/>
    </row>
    <row r="105" spans="11:13" x14ac:dyDescent="0.2">
      <c r="K105" s="691"/>
      <c r="L105" s="691"/>
      <c r="M105" s="691"/>
    </row>
    <row r="106" spans="11:13" x14ac:dyDescent="0.2">
      <c r="K106" s="692"/>
      <c r="L106" s="692"/>
      <c r="M106" s="692"/>
    </row>
    <row r="107" spans="11:13" x14ac:dyDescent="0.2">
      <c r="K107" s="692"/>
      <c r="L107" s="692"/>
      <c r="M107" s="692"/>
    </row>
    <row r="108" spans="11:13" x14ac:dyDescent="0.2">
      <c r="K108" s="691"/>
      <c r="L108" s="691"/>
      <c r="M108" s="691"/>
    </row>
    <row r="109" spans="11:13" x14ac:dyDescent="0.2">
      <c r="K109" s="692"/>
      <c r="L109" s="692"/>
      <c r="M109" s="692"/>
    </row>
    <row r="110" spans="11:13" x14ac:dyDescent="0.2">
      <c r="K110" s="691"/>
      <c r="L110" s="691"/>
      <c r="M110" s="691"/>
    </row>
    <row r="111" spans="11:13" x14ac:dyDescent="0.2">
      <c r="K111" s="691"/>
      <c r="L111" s="691"/>
      <c r="M111" s="691"/>
    </row>
    <row r="112" spans="11:13" x14ac:dyDescent="0.2">
      <c r="K112" s="691"/>
      <c r="L112" s="691"/>
      <c r="M112" s="691"/>
    </row>
    <row r="113" spans="11:13" x14ac:dyDescent="0.2">
      <c r="K113" s="691"/>
      <c r="L113" s="691"/>
      <c r="M113" s="691"/>
    </row>
    <row r="114" spans="11:13" x14ac:dyDescent="0.2">
      <c r="K114" s="691"/>
      <c r="L114" s="691"/>
      <c r="M114" s="691"/>
    </row>
    <row r="115" spans="11:13" x14ac:dyDescent="0.2">
      <c r="K115" s="691"/>
      <c r="L115" s="691"/>
      <c r="M115" s="691"/>
    </row>
    <row r="116" spans="11:13" x14ac:dyDescent="0.2">
      <c r="K116" s="691"/>
      <c r="L116" s="691"/>
      <c r="M116" s="691"/>
    </row>
    <row r="117" spans="11:13" x14ac:dyDescent="0.2">
      <c r="K117" s="691"/>
      <c r="L117" s="691"/>
      <c r="M117" s="691"/>
    </row>
    <row r="118" spans="11:13" x14ac:dyDescent="0.2">
      <c r="K118" s="672"/>
      <c r="L118" s="672"/>
      <c r="M118" s="672"/>
    </row>
    <row r="119" spans="11:13" x14ac:dyDescent="0.2">
      <c r="K119" s="672"/>
      <c r="L119" s="672"/>
      <c r="M119" s="672"/>
    </row>
    <row r="121" spans="11:13" x14ac:dyDescent="0.2">
      <c r="K121" s="703"/>
      <c r="L121" s="703"/>
      <c r="M121" s="703"/>
    </row>
    <row r="122" spans="11:13" x14ac:dyDescent="0.2">
      <c r="K122" s="703"/>
      <c r="L122" s="703"/>
      <c r="M122" s="703"/>
    </row>
    <row r="123" spans="11:13" x14ac:dyDescent="0.2">
      <c r="K123" s="703"/>
      <c r="L123" s="703"/>
      <c r="M123" s="703"/>
    </row>
    <row r="124" spans="11:13" x14ac:dyDescent="0.2">
      <c r="K124" s="703"/>
      <c r="L124" s="703"/>
      <c r="M124" s="703"/>
    </row>
    <row r="125" spans="11:13" x14ac:dyDescent="0.2">
      <c r="K125" s="691"/>
      <c r="L125" s="691"/>
      <c r="M125" s="691"/>
    </row>
    <row r="126" spans="11:13" x14ac:dyDescent="0.2">
      <c r="K126" s="705"/>
      <c r="L126" s="705"/>
      <c r="M126" s="705"/>
    </row>
    <row r="127" spans="11:13" x14ac:dyDescent="0.2">
      <c r="K127" s="691"/>
      <c r="L127" s="691"/>
      <c r="M127" s="691"/>
    </row>
    <row r="128" spans="11:13" x14ac:dyDescent="0.2">
      <c r="K128" s="691"/>
      <c r="L128" s="691"/>
      <c r="M128" s="691"/>
    </row>
    <row r="129" spans="11:13" x14ac:dyDescent="0.2">
      <c r="K129" s="691"/>
      <c r="L129" s="691"/>
      <c r="M129" s="691"/>
    </row>
    <row r="130" spans="11:13" x14ac:dyDescent="0.2">
      <c r="K130" s="691"/>
      <c r="L130" s="691"/>
      <c r="M130" s="691"/>
    </row>
    <row r="131" spans="11:13" x14ac:dyDescent="0.2">
      <c r="K131" s="691"/>
      <c r="L131" s="691"/>
      <c r="M131" s="691"/>
    </row>
    <row r="132" spans="11:13" x14ac:dyDescent="0.2">
      <c r="K132" s="691"/>
      <c r="L132" s="691"/>
      <c r="M132" s="691"/>
    </row>
    <row r="133" spans="11:13" x14ac:dyDescent="0.2">
      <c r="K133" s="691"/>
      <c r="L133" s="691"/>
      <c r="M133" s="691"/>
    </row>
    <row r="134" spans="11:13" x14ac:dyDescent="0.2">
      <c r="K134" s="691"/>
      <c r="L134" s="691"/>
      <c r="M134" s="691"/>
    </row>
    <row r="135" spans="11:13" x14ac:dyDescent="0.2">
      <c r="K135" s="691"/>
      <c r="L135" s="691"/>
      <c r="M135" s="691"/>
    </row>
    <row r="136" spans="11:13" x14ac:dyDescent="0.2">
      <c r="K136" s="705"/>
      <c r="L136" s="705"/>
      <c r="M136" s="705"/>
    </row>
    <row r="137" spans="11:13" x14ac:dyDescent="0.2">
      <c r="K137" s="691"/>
      <c r="L137" s="691"/>
      <c r="M137" s="691"/>
    </row>
    <row r="138" spans="11:13" x14ac:dyDescent="0.2">
      <c r="K138" s="691"/>
      <c r="L138" s="691"/>
      <c r="M138" s="691"/>
    </row>
    <row r="139" spans="11:13" x14ac:dyDescent="0.2">
      <c r="K139" s="691"/>
      <c r="L139" s="691"/>
      <c r="M139" s="691"/>
    </row>
    <row r="140" spans="11:13" x14ac:dyDescent="0.2">
      <c r="K140" s="691"/>
      <c r="L140" s="691"/>
      <c r="M140" s="691"/>
    </row>
    <row r="141" spans="11:13" x14ac:dyDescent="0.2">
      <c r="K141" s="691"/>
      <c r="L141" s="691"/>
      <c r="M141" s="691"/>
    </row>
    <row r="142" spans="11:13" x14ac:dyDescent="0.2">
      <c r="K142" s="691"/>
      <c r="L142" s="691"/>
      <c r="M142" s="691"/>
    </row>
    <row r="143" spans="11:13" x14ac:dyDescent="0.2">
      <c r="K143" s="691"/>
      <c r="L143" s="691"/>
      <c r="M143" s="691"/>
    </row>
    <row r="144" spans="11:13" x14ac:dyDescent="0.2">
      <c r="K144" s="691"/>
      <c r="L144" s="691"/>
      <c r="M144" s="691"/>
    </row>
    <row r="145" spans="11:13" x14ac:dyDescent="0.2">
      <c r="K145" s="691"/>
      <c r="L145" s="691"/>
      <c r="M145" s="691"/>
    </row>
    <row r="146" spans="11:13" x14ac:dyDescent="0.2">
      <c r="K146" s="691"/>
      <c r="L146" s="691"/>
      <c r="M146" s="691"/>
    </row>
    <row r="147" spans="11:13" x14ac:dyDescent="0.2">
      <c r="K147" s="691"/>
      <c r="L147" s="691"/>
      <c r="M147" s="691"/>
    </row>
    <row r="148" spans="11:13" x14ac:dyDescent="0.2">
      <c r="K148" s="688"/>
      <c r="L148" s="688"/>
      <c r="M148" s="688"/>
    </row>
    <row r="149" spans="11:13" x14ac:dyDescent="0.2">
      <c r="K149" s="691"/>
      <c r="L149" s="691"/>
      <c r="M149" s="691"/>
    </row>
    <row r="150" spans="11:13" x14ac:dyDescent="0.2">
      <c r="K150" s="691"/>
      <c r="L150" s="691"/>
      <c r="M150" s="691"/>
    </row>
    <row r="151" spans="11:13" x14ac:dyDescent="0.2">
      <c r="K151" s="691"/>
      <c r="L151" s="691"/>
      <c r="M151" s="691"/>
    </row>
    <row r="152" spans="11:13" x14ac:dyDescent="0.2">
      <c r="K152" s="691"/>
      <c r="L152" s="691"/>
      <c r="M152" s="691"/>
    </row>
    <row r="153" spans="11:13" x14ac:dyDescent="0.2">
      <c r="K153" s="691"/>
      <c r="L153" s="691"/>
      <c r="M153" s="691"/>
    </row>
    <row r="154" spans="11:13" x14ac:dyDescent="0.2">
      <c r="K154" s="691"/>
      <c r="L154" s="691"/>
      <c r="M154" s="691"/>
    </row>
    <row r="155" spans="11:13" x14ac:dyDescent="0.2">
      <c r="K155" s="691"/>
      <c r="L155" s="691"/>
      <c r="M155" s="691"/>
    </row>
    <row r="156" spans="11:13" x14ac:dyDescent="0.2">
      <c r="K156" s="691"/>
      <c r="L156" s="691"/>
      <c r="M156" s="691"/>
    </row>
    <row r="157" spans="11:13" x14ac:dyDescent="0.2">
      <c r="K157" s="691"/>
      <c r="L157" s="691"/>
      <c r="M157" s="691"/>
    </row>
    <row r="158" spans="11:13" x14ac:dyDescent="0.2">
      <c r="K158" s="691"/>
      <c r="L158" s="691"/>
      <c r="M158" s="691"/>
    </row>
    <row r="159" spans="11:13" x14ac:dyDescent="0.2">
      <c r="K159" s="691"/>
      <c r="L159" s="691"/>
      <c r="M159" s="691"/>
    </row>
    <row r="160" spans="11:13" x14ac:dyDescent="0.2">
      <c r="K160" s="691"/>
      <c r="L160" s="691"/>
      <c r="M160" s="691"/>
    </row>
    <row r="161" spans="11:13" x14ac:dyDescent="0.2">
      <c r="K161" s="691"/>
      <c r="L161" s="691"/>
      <c r="M161" s="691"/>
    </row>
    <row r="162" spans="11:13" x14ac:dyDescent="0.2">
      <c r="K162" s="691"/>
      <c r="L162" s="691"/>
      <c r="M162" s="691"/>
    </row>
    <row r="163" spans="11:13" x14ac:dyDescent="0.2">
      <c r="K163" s="691"/>
      <c r="L163" s="691"/>
      <c r="M163" s="691"/>
    </row>
    <row r="164" spans="11:13" x14ac:dyDescent="0.2">
      <c r="K164" s="691"/>
      <c r="L164" s="691"/>
      <c r="M164" s="691"/>
    </row>
    <row r="165" spans="11:13" x14ac:dyDescent="0.2">
      <c r="K165" s="691"/>
      <c r="L165" s="691"/>
      <c r="M165" s="691"/>
    </row>
    <row r="166" spans="11:13" x14ac:dyDescent="0.2">
      <c r="K166" s="691"/>
      <c r="L166" s="691"/>
      <c r="M166" s="691"/>
    </row>
    <row r="167" spans="11:13" x14ac:dyDescent="0.2">
      <c r="K167" s="691"/>
      <c r="L167" s="691"/>
      <c r="M167" s="691"/>
    </row>
    <row r="168" spans="11:13" x14ac:dyDescent="0.2">
      <c r="K168" s="691"/>
      <c r="L168" s="691"/>
      <c r="M168" s="691"/>
    </row>
    <row r="169" spans="11:13" x14ac:dyDescent="0.2">
      <c r="K169" s="691"/>
      <c r="L169" s="691"/>
      <c r="M169" s="691"/>
    </row>
    <row r="170" spans="11:13" x14ac:dyDescent="0.2">
      <c r="K170" s="691"/>
      <c r="L170" s="691"/>
      <c r="M170" s="691"/>
    </row>
  </sheetData>
  <sheetProtection algorithmName="SHA-512" hashValue="XO47iQBeyRI3GFwDMEdWghAEKYv2sIJGQr4obVd7jfZOaaRrwfITPZp5nLRF+etdF9NLR0T3H51O1Dzo6Xwv+A==" saltValue="LzAr98JGGw4Go3p06QlZiA==" spinCount="100000" sheet="1" objects="1" scenarios="1" autoFilter="0"/>
  <mergeCells count="74">
    <mergeCell ref="B1:J1"/>
    <mergeCell ref="B2:J2"/>
    <mergeCell ref="B3:J3"/>
    <mergeCell ref="H5:J5"/>
    <mergeCell ref="D6:G6"/>
    <mergeCell ref="G7:J7"/>
    <mergeCell ref="B11:I11"/>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1:I31"/>
    <mergeCell ref="B32:I32"/>
    <mergeCell ref="B33:I33"/>
    <mergeCell ref="B34:I34"/>
    <mergeCell ref="B35:I35"/>
    <mergeCell ref="B36:I36"/>
    <mergeCell ref="B37:I37"/>
    <mergeCell ref="B38:I38"/>
    <mergeCell ref="B39:I39"/>
    <mergeCell ref="B43:I43"/>
    <mergeCell ref="B44:I44"/>
    <mergeCell ref="B45:I45"/>
    <mergeCell ref="B46:I46"/>
    <mergeCell ref="B47:I47"/>
    <mergeCell ref="B48:I48"/>
    <mergeCell ref="B49:I49"/>
    <mergeCell ref="B50:I50"/>
    <mergeCell ref="B51:I51"/>
    <mergeCell ref="B54:I54"/>
    <mergeCell ref="B56:I56"/>
    <mergeCell ref="B57:I57"/>
    <mergeCell ref="B59:I59"/>
    <mergeCell ref="B62:I62"/>
    <mergeCell ref="B55:I55"/>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7:I77"/>
    <mergeCell ref="B79:I79"/>
    <mergeCell ref="B80:I80"/>
    <mergeCell ref="B81:I81"/>
    <mergeCell ref="B88:I88"/>
    <mergeCell ref="B91:I91"/>
    <mergeCell ref="B82:I82"/>
    <mergeCell ref="B83:I83"/>
    <mergeCell ref="B84:I84"/>
    <mergeCell ref="B85:I85"/>
    <mergeCell ref="B86:I86"/>
    <mergeCell ref="B87:I87"/>
  </mergeCells>
  <conditionalFormatting sqref="K1:K3">
    <cfRule type="cellIs" dxfId="8" priority="1" stopIfTrue="1" operator="equal">
      <formula>"na"</formula>
    </cfRule>
  </conditionalFormatting>
  <hyperlinks>
    <hyperlink ref="B1:J1" location="Index!A1" display="Index!A1" xr:uid="{00000000-0004-0000-4F00-000000000000}"/>
  </hyperlinks>
  <printOptions headings="1"/>
  <pageMargins left="0.75" right="0.5" top="0.5" bottom="0.5" header="0.5" footer="0.25"/>
  <pageSetup scale="91" fitToHeight="2" orientation="portrait" r:id="rId1"/>
  <headerFooter alignWithMargins="0">
    <oddFooter>&amp;R&amp;A (&amp;P of &amp;N)</oddFooter>
  </headerFooter>
  <rowBreaks count="1" manualBreakCount="1">
    <brk id="59" max="1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4">
    <pageSetUpPr fitToPage="1"/>
  </sheetPr>
  <dimension ref="A1:U61"/>
  <sheetViews>
    <sheetView showGridLines="0" zoomScaleNormal="100" workbookViewId="0">
      <selection activeCell="G60" sqref="G60"/>
    </sheetView>
  </sheetViews>
  <sheetFormatPr defaultRowHeight="12.75" x14ac:dyDescent="0.2"/>
  <cols>
    <col min="2" max="2" width="5.5703125" customWidth="1"/>
    <col min="4" max="4" width="3.5703125" customWidth="1"/>
    <col min="5" max="5" width="17.5703125" bestFit="1" customWidth="1"/>
    <col min="6" max="6" width="1.5703125" customWidth="1"/>
    <col min="7" max="7" width="17.5703125" bestFit="1" customWidth="1"/>
    <col min="8" max="8" width="0.5703125" style="393" customWidth="1"/>
    <col min="9" max="9" width="17.5703125" bestFit="1" customWidth="1"/>
    <col min="10" max="10" width="0.5703125" customWidth="1"/>
    <col min="11" max="11" width="18.5703125" bestFit="1" customWidth="1"/>
    <col min="12" max="12" width="4.5703125" customWidth="1"/>
  </cols>
  <sheetData>
    <row r="1" spans="1:21" ht="15.75" x14ac:dyDescent="0.25">
      <c r="A1" s="2449" t="str">
        <f>+Index!$A$1</f>
        <v xml:space="preserve">                                                               Office of the State Controller                                                                </v>
      </c>
      <c r="B1" s="2449"/>
      <c r="C1" s="2449"/>
      <c r="D1" s="2449"/>
      <c r="E1" s="2449"/>
      <c r="F1" s="2449"/>
      <c r="G1" s="2449"/>
      <c r="H1" s="2449"/>
      <c r="I1" s="2449"/>
      <c r="J1" s="2449"/>
      <c r="K1" s="2449"/>
      <c r="L1" s="2450" t="str">
        <f>IF(Index!$B$107="na","NA","")</f>
        <v/>
      </c>
      <c r="M1" s="622"/>
      <c r="N1" s="622"/>
      <c r="O1" s="622"/>
      <c r="P1" s="622"/>
      <c r="Q1" s="622"/>
      <c r="R1" s="622"/>
      <c r="S1" s="622"/>
      <c r="T1" s="622"/>
    </row>
    <row r="2" spans="1:21" ht="16.5" x14ac:dyDescent="0.3">
      <c r="A2" s="2431" t="str">
        <f>+Index!$A$2</f>
        <v>2022 ACFR Worksheets</v>
      </c>
      <c r="B2" s="2431"/>
      <c r="C2" s="2431"/>
      <c r="D2" s="2431"/>
      <c r="E2" s="2431"/>
      <c r="F2" s="2431"/>
      <c r="G2" s="2431"/>
      <c r="H2" s="2431"/>
      <c r="I2" s="2431"/>
      <c r="J2" s="2431"/>
      <c r="K2" s="2431"/>
      <c r="L2" s="2450"/>
      <c r="M2" s="632"/>
      <c r="N2" s="632"/>
      <c r="O2" s="632"/>
      <c r="P2" s="632"/>
      <c r="Q2" s="632"/>
      <c r="R2" s="632"/>
      <c r="S2" s="632"/>
      <c r="T2" s="632"/>
    </row>
    <row r="3" spans="1:21" ht="16.5" x14ac:dyDescent="0.3">
      <c r="A3" s="2993" t="s">
        <v>4879</v>
      </c>
      <c r="B3" s="2993"/>
      <c r="C3" s="2993"/>
      <c r="D3" s="2993"/>
      <c r="E3" s="2993"/>
      <c r="F3" s="2993"/>
      <c r="G3" s="2993"/>
      <c r="H3" s="2993"/>
      <c r="I3" s="2993"/>
      <c r="J3" s="2993"/>
      <c r="K3" s="2993"/>
      <c r="L3" s="2450"/>
      <c r="M3" s="632"/>
      <c r="N3" s="632"/>
      <c r="O3" s="632"/>
      <c r="P3" s="632"/>
      <c r="Q3" s="632"/>
      <c r="R3" s="632"/>
      <c r="S3" s="632"/>
      <c r="T3" s="632"/>
    </row>
    <row r="4" spans="1:21" ht="16.5" customHeight="1" x14ac:dyDescent="0.3">
      <c r="A4" s="2993" t="s">
        <v>5390</v>
      </c>
      <c r="B4" s="2993"/>
      <c r="C4" s="2993"/>
      <c r="D4" s="2993"/>
      <c r="E4" s="2993"/>
      <c r="F4" s="2993"/>
      <c r="G4" s="2993"/>
      <c r="H4" s="2993"/>
      <c r="I4" s="2993"/>
      <c r="J4" s="2993"/>
      <c r="K4" s="2993"/>
      <c r="L4" s="546"/>
      <c r="M4" s="632"/>
      <c r="N4" s="632"/>
      <c r="O4" s="632"/>
      <c r="P4" s="632"/>
      <c r="Q4" s="632"/>
      <c r="R4" s="632"/>
      <c r="S4" s="632"/>
      <c r="T4" s="632"/>
    </row>
    <row r="6" spans="1:21" s="200" customFormat="1" ht="15" customHeight="1" x14ac:dyDescent="0.2">
      <c r="A6" s="200" t="s">
        <v>327</v>
      </c>
      <c r="C6" s="639" t="str">
        <f>+Index!$E$10</f>
        <v>01</v>
      </c>
      <c r="D6" s="635"/>
      <c r="G6" s="806" t="s">
        <v>972</v>
      </c>
      <c r="H6" s="2977" t="str">
        <f>+CONCATENATE(Index!$E$12," ",Index!$E$14)</f>
        <v xml:space="preserve"> </v>
      </c>
      <c r="I6" s="3005"/>
      <c r="J6" s="3005"/>
      <c r="K6" s="3005"/>
      <c r="M6" s="633"/>
      <c r="U6" s="199"/>
    </row>
    <row r="7" spans="1:21" s="200" customFormat="1" ht="15" customHeight="1" x14ac:dyDescent="0.2">
      <c r="A7" s="200" t="s">
        <v>1154</v>
      </c>
      <c r="C7" s="2992" t="str">
        <f>+Index!$E$11</f>
        <v>North Carolina General Assembly</v>
      </c>
      <c r="D7" s="2992"/>
      <c r="E7" s="2992"/>
      <c r="M7" s="634"/>
      <c r="N7" s="634"/>
      <c r="O7" s="634"/>
      <c r="P7" s="634"/>
      <c r="Q7" s="634"/>
      <c r="R7" s="634"/>
      <c r="S7" s="634"/>
      <c r="T7" s="201"/>
      <c r="U7" s="199"/>
    </row>
    <row r="8" spans="1:21" s="200" customFormat="1" ht="15" customHeight="1" x14ac:dyDescent="0.2">
      <c r="A8" s="200" t="s">
        <v>477</v>
      </c>
      <c r="C8" s="640"/>
      <c r="G8" s="806" t="s">
        <v>348</v>
      </c>
      <c r="I8" s="2986">
        <f>+Index!$E$13</f>
        <v>0</v>
      </c>
      <c r="J8" s="2986"/>
      <c r="K8" s="2986"/>
      <c r="L8" s="678"/>
      <c r="U8" s="199"/>
    </row>
    <row r="9" spans="1:21" s="38" customFormat="1" ht="6" customHeight="1" thickBot="1" x14ac:dyDescent="0.25">
      <c r="A9" s="129"/>
      <c r="B9" s="129"/>
      <c r="C9" s="129"/>
      <c r="D9" s="129"/>
      <c r="E9" s="129"/>
      <c r="F9" s="129"/>
      <c r="G9" s="129"/>
      <c r="H9" s="129"/>
      <c r="I9" s="129"/>
      <c r="J9" s="129"/>
      <c r="K9" s="129"/>
    </row>
    <row r="10" spans="1:21" ht="6" customHeight="1" x14ac:dyDescent="0.2">
      <c r="H10"/>
    </row>
    <row r="11" spans="1:21" ht="25.5" x14ac:dyDescent="0.2">
      <c r="F11" s="272"/>
      <c r="G11" s="638" t="s">
        <v>5391</v>
      </c>
    </row>
    <row r="12" spans="1:21" x14ac:dyDescent="0.2">
      <c r="A12" s="2" t="s">
        <v>303</v>
      </c>
      <c r="G12" s="290"/>
      <c r="H12" s="392"/>
    </row>
    <row r="13" spans="1:21" x14ac:dyDescent="0.2">
      <c r="A13" t="s">
        <v>4829</v>
      </c>
      <c r="G13" s="641">
        <v>0</v>
      </c>
    </row>
    <row r="14" spans="1:21" x14ac:dyDescent="0.2">
      <c r="A14" t="s">
        <v>483</v>
      </c>
      <c r="G14" s="2089" t="s">
        <v>973</v>
      </c>
    </row>
    <row r="15" spans="1:21" x14ac:dyDescent="0.2">
      <c r="A15" t="s">
        <v>487</v>
      </c>
      <c r="G15" s="641">
        <v>0</v>
      </c>
    </row>
    <row r="16" spans="1:21" x14ac:dyDescent="0.2">
      <c r="A16" t="s">
        <v>488</v>
      </c>
      <c r="G16" s="641">
        <v>0</v>
      </c>
    </row>
    <row r="17" spans="1:7" x14ac:dyDescent="0.2">
      <c r="A17" t="s">
        <v>489</v>
      </c>
      <c r="G17" s="641">
        <v>0</v>
      </c>
    </row>
    <row r="18" spans="1:7" x14ac:dyDescent="0.2">
      <c r="A18" t="s">
        <v>490</v>
      </c>
      <c r="G18" s="641">
        <v>0</v>
      </c>
    </row>
    <row r="19" spans="1:7" x14ac:dyDescent="0.2">
      <c r="A19" t="s">
        <v>491</v>
      </c>
      <c r="G19" s="641">
        <v>0</v>
      </c>
    </row>
    <row r="20" spans="1:7" x14ac:dyDescent="0.2">
      <c r="A20" t="s">
        <v>492</v>
      </c>
      <c r="G20" s="641">
        <v>0</v>
      </c>
    </row>
    <row r="21" spans="1:7" x14ac:dyDescent="0.2">
      <c r="A21" t="s">
        <v>493</v>
      </c>
      <c r="G21" s="641">
        <v>0</v>
      </c>
    </row>
    <row r="22" spans="1:7" x14ac:dyDescent="0.2">
      <c r="A22" t="s">
        <v>494</v>
      </c>
      <c r="G22" s="641">
        <v>0</v>
      </c>
    </row>
    <row r="23" spans="1:7" x14ac:dyDescent="0.2">
      <c r="A23" t="s">
        <v>495</v>
      </c>
      <c r="G23" s="641">
        <v>0</v>
      </c>
    </row>
    <row r="24" spans="1:7" x14ac:dyDescent="0.2">
      <c r="A24" t="s">
        <v>198</v>
      </c>
      <c r="G24" s="2089" t="s">
        <v>973</v>
      </c>
    </row>
    <row r="25" spans="1:7" x14ac:dyDescent="0.2">
      <c r="A25" t="s">
        <v>496</v>
      </c>
      <c r="G25" s="641">
        <v>0</v>
      </c>
    </row>
    <row r="26" spans="1:7" ht="12.75" customHeight="1" x14ac:dyDescent="0.2">
      <c r="A26" t="s">
        <v>830</v>
      </c>
      <c r="G26" s="641">
        <v>0</v>
      </c>
    </row>
    <row r="27" spans="1:7" x14ac:dyDescent="0.2">
      <c r="A27" t="s">
        <v>831</v>
      </c>
      <c r="G27" s="641">
        <v>0</v>
      </c>
    </row>
    <row r="28" spans="1:7" x14ac:dyDescent="0.2">
      <c r="A28" t="s">
        <v>589</v>
      </c>
      <c r="G28" s="641">
        <v>0</v>
      </c>
    </row>
    <row r="29" spans="1:7" x14ac:dyDescent="0.2">
      <c r="A29" t="s">
        <v>931</v>
      </c>
      <c r="G29" s="641">
        <v>0</v>
      </c>
    </row>
    <row r="30" spans="1:7" x14ac:dyDescent="0.2">
      <c r="A30" t="s">
        <v>1095</v>
      </c>
      <c r="G30" s="641">
        <v>0</v>
      </c>
    </row>
    <row r="31" spans="1:7" x14ac:dyDescent="0.2">
      <c r="A31" t="s">
        <v>590</v>
      </c>
      <c r="G31" s="641">
        <v>0</v>
      </c>
    </row>
    <row r="32" spans="1:7" x14ac:dyDescent="0.2">
      <c r="A32" t="s">
        <v>591</v>
      </c>
      <c r="G32" s="642">
        <v>0</v>
      </c>
    </row>
    <row r="33" spans="1:12" ht="6" customHeight="1" x14ac:dyDescent="0.2">
      <c r="G33" s="2089"/>
    </row>
    <row r="34" spans="1:12" x14ac:dyDescent="0.2">
      <c r="A34" s="2" t="s">
        <v>272</v>
      </c>
      <c r="G34" s="2090">
        <f>SUM(G13:G32)</f>
        <v>0</v>
      </c>
    </row>
    <row r="35" spans="1:12" ht="9" customHeight="1" x14ac:dyDescent="0.2">
      <c r="G35" s="2089"/>
    </row>
    <row r="36" spans="1:12" x14ac:dyDescent="0.2">
      <c r="A36" s="2" t="s">
        <v>486</v>
      </c>
      <c r="G36" s="2089"/>
    </row>
    <row r="37" spans="1:12" x14ac:dyDescent="0.2">
      <c r="A37" t="s">
        <v>592</v>
      </c>
      <c r="G37" s="642">
        <v>0</v>
      </c>
    </row>
    <row r="38" spans="1:12" x14ac:dyDescent="0.2">
      <c r="G38" s="2089" t="s">
        <v>973</v>
      </c>
    </row>
    <row r="39" spans="1:12" x14ac:dyDescent="0.2">
      <c r="A39" s="2" t="s">
        <v>1888</v>
      </c>
      <c r="G39" s="2089"/>
    </row>
    <row r="40" spans="1:12" x14ac:dyDescent="0.2">
      <c r="A40" s="272" t="s">
        <v>792</v>
      </c>
      <c r="G40" s="2089"/>
    </row>
    <row r="41" spans="1:12" x14ac:dyDescent="0.2">
      <c r="A41" s="2092" t="s">
        <v>4821</v>
      </c>
      <c r="G41" s="641">
        <v>0</v>
      </c>
      <c r="I41" s="398"/>
    </row>
    <row r="42" spans="1:12" ht="13.5" thickBot="1" x14ac:dyDescent="0.25">
      <c r="A42" s="2" t="s">
        <v>1889</v>
      </c>
      <c r="G42" s="2351">
        <f>G37+G41</f>
        <v>0</v>
      </c>
      <c r="I42" s="398"/>
    </row>
    <row r="43" spans="1:12" ht="13.5" thickTop="1" x14ac:dyDescent="0.2">
      <c r="G43" s="568"/>
      <c r="I43" s="398"/>
      <c r="J43" s="398"/>
      <c r="K43" s="398"/>
      <c r="L43" s="398"/>
    </row>
    <row r="44" spans="1:12" x14ac:dyDescent="0.2">
      <c r="A44" s="2" t="s">
        <v>1050</v>
      </c>
      <c r="I44" s="398"/>
      <c r="J44" s="398"/>
      <c r="K44" s="398"/>
      <c r="L44" s="398"/>
    </row>
    <row r="45" spans="1:12" x14ac:dyDescent="0.2">
      <c r="A45" s="272" t="s">
        <v>463</v>
      </c>
      <c r="I45" s="398"/>
      <c r="J45" s="398"/>
      <c r="K45" s="398"/>
      <c r="L45" s="398"/>
    </row>
    <row r="46" spans="1:12" x14ac:dyDescent="0.2">
      <c r="A46" s="2092" t="s">
        <v>4822</v>
      </c>
      <c r="G46" s="642">
        <v>0</v>
      </c>
      <c r="I46" s="398"/>
      <c r="J46" s="398"/>
      <c r="K46" s="398"/>
      <c r="L46" s="398"/>
    </row>
    <row r="47" spans="1:12" x14ac:dyDescent="0.2">
      <c r="A47" s="272" t="s">
        <v>464</v>
      </c>
      <c r="I47" s="398"/>
      <c r="J47" s="398"/>
      <c r="K47" s="398"/>
      <c r="L47" s="398"/>
    </row>
    <row r="48" spans="1:12" x14ac:dyDescent="0.2">
      <c r="A48" s="2092" t="s">
        <v>1045</v>
      </c>
      <c r="G48" s="2350">
        <v>0</v>
      </c>
      <c r="I48" s="398"/>
      <c r="J48" s="398"/>
      <c r="K48" s="398"/>
      <c r="L48" s="398"/>
    </row>
    <row r="49" spans="1:12" x14ac:dyDescent="0.2">
      <c r="A49" s="2092" t="s">
        <v>4823</v>
      </c>
      <c r="G49" s="2350">
        <v>0</v>
      </c>
      <c r="I49" s="398"/>
      <c r="J49" s="398"/>
      <c r="K49" s="398"/>
      <c r="L49" s="398"/>
    </row>
    <row r="50" spans="1:12" x14ac:dyDescent="0.2">
      <c r="A50" s="1998" t="s">
        <v>4828</v>
      </c>
      <c r="G50" s="2352">
        <f>G48-G49</f>
        <v>0</v>
      </c>
      <c r="I50" s="398"/>
      <c r="J50" s="398"/>
      <c r="K50" s="398"/>
      <c r="L50" s="398"/>
    </row>
    <row r="51" spans="1:12" x14ac:dyDescent="0.2">
      <c r="A51" s="1095" t="s">
        <v>466</v>
      </c>
      <c r="G51" s="2091">
        <f>G46+G50</f>
        <v>0</v>
      </c>
      <c r="I51" s="398"/>
      <c r="J51" s="398"/>
      <c r="K51" s="398"/>
      <c r="L51" s="398"/>
    </row>
    <row r="52" spans="1:12" x14ac:dyDescent="0.2">
      <c r="I52" s="398"/>
      <c r="J52" s="398"/>
      <c r="K52" s="398"/>
      <c r="L52" s="398"/>
    </row>
    <row r="53" spans="1:12" x14ac:dyDescent="0.2">
      <c r="A53" s="2" t="s">
        <v>556</v>
      </c>
      <c r="I53" s="398"/>
      <c r="J53" s="398"/>
      <c r="K53" s="398"/>
      <c r="L53" s="398"/>
    </row>
    <row r="54" spans="1:12" x14ac:dyDescent="0.2">
      <c r="A54" s="272" t="s">
        <v>4824</v>
      </c>
      <c r="G54" s="2353">
        <v>0</v>
      </c>
      <c r="I54" s="398"/>
      <c r="J54" s="398"/>
      <c r="K54" s="398"/>
      <c r="L54" s="398"/>
    </row>
    <row r="55" spans="1:12" x14ac:dyDescent="0.2">
      <c r="A55" s="272" t="s">
        <v>469</v>
      </c>
      <c r="G55" s="2353">
        <v>0</v>
      </c>
      <c r="I55" s="398"/>
      <c r="J55" s="398"/>
      <c r="K55" s="398"/>
      <c r="L55" s="398"/>
    </row>
    <row r="56" spans="1:12" x14ac:dyDescent="0.2">
      <c r="A56" s="272" t="s">
        <v>470</v>
      </c>
      <c r="G56" s="2353">
        <v>0</v>
      </c>
      <c r="I56" s="398"/>
      <c r="J56" s="398"/>
      <c r="K56" s="398"/>
      <c r="L56" s="398"/>
    </row>
    <row r="57" spans="1:12" x14ac:dyDescent="0.2">
      <c r="A57" s="2092" t="s">
        <v>4825</v>
      </c>
      <c r="G57" s="2091">
        <f>G54+G55+G56</f>
        <v>0</v>
      </c>
      <c r="I57" s="398"/>
      <c r="J57" s="398"/>
      <c r="K57" s="398"/>
      <c r="L57" s="398"/>
    </row>
    <row r="58" spans="1:12" x14ac:dyDescent="0.2">
      <c r="A58" s="1998" t="s">
        <v>3433</v>
      </c>
      <c r="G58" s="568">
        <f>G51-G57</f>
        <v>0</v>
      </c>
    </row>
    <row r="59" spans="1:12" x14ac:dyDescent="0.2">
      <c r="A59" s="272" t="s">
        <v>4826</v>
      </c>
      <c r="G59" s="2354">
        <v>0</v>
      </c>
    </row>
    <row r="60" spans="1:12" ht="13.5" thickBot="1" x14ac:dyDescent="0.25">
      <c r="A60" s="272" t="s">
        <v>4827</v>
      </c>
      <c r="G60" s="2093">
        <f>G58+G59</f>
        <v>0</v>
      </c>
    </row>
    <row r="61" spans="1:12" ht="13.5" thickTop="1" x14ac:dyDescent="0.2"/>
  </sheetData>
  <sheetProtection algorithmName="SHA-512" hashValue="t5HjCd0QcFhIEVANPz+GOaVKyfizHwh7IPG+ajD/YhtSVcCthEt23Z1w4suvXXZjPH1HbmfIzJRXvvnyq4/coA==" saltValue="HEMeE0yDCGu40VaRCNpFWg==" spinCount="100000" sheet="1" objects="1" scenarios="1" autoFilter="0"/>
  <customSheetViews>
    <customSheetView guid="{B08879A4-635B-4C39-9937-AC7883D562FC}" showGridLines="0" fitToPage="1">
      <selection sqref="A1:K1"/>
      <pageMargins left="0.75" right="0.5" top="0.5" bottom="0.5" header="0.5" footer="0.25"/>
      <pageSetup scale="86" orientation="portrait" r:id="rId1"/>
      <headerFooter alignWithMargins="0">
        <oddFooter>&amp;R&amp;A</oddFooter>
      </headerFooter>
    </customSheetView>
    <customSheetView guid="{9FCFC836-1CA5-48BF-958D-24D2EA94B219}" showGridLines="0" fitToPage="1">
      <selection sqref="A1:K1"/>
      <pageMargins left="0.75" right="0.5" top="0.5" bottom="0.5" header="0.5" footer="0.25"/>
      <pageSetup scale="86" orientation="portrait" r:id="rId2"/>
      <headerFooter alignWithMargins="0">
        <oddFooter>&amp;R&amp;A</oddFooter>
      </headerFooter>
    </customSheetView>
  </customSheetViews>
  <mergeCells count="8">
    <mergeCell ref="I8:K8"/>
    <mergeCell ref="H6:K6"/>
    <mergeCell ref="C7:E7"/>
    <mergeCell ref="L1:L3"/>
    <mergeCell ref="A2:K2"/>
    <mergeCell ref="A1:K1"/>
    <mergeCell ref="A3:K3"/>
    <mergeCell ref="A4:K4"/>
  </mergeCells>
  <phoneticPr fontId="15" type="noConversion"/>
  <conditionalFormatting sqref="L1:L4">
    <cfRule type="cellIs" dxfId="7" priority="1" stopIfTrue="1" operator="equal">
      <formula>"na"</formula>
    </cfRule>
  </conditionalFormatting>
  <dataValidations count="1">
    <dataValidation type="textLength" operator="equal" allowBlank="1" showInputMessage="1" showErrorMessage="1" errorTitle="Invalid data!" error="GASB number must be 4 digits." sqref="C8" xr:uid="{00000000-0002-0000-5000-000000000000}">
      <formula1>4</formula1>
    </dataValidation>
  </dataValidations>
  <hyperlinks>
    <hyperlink ref="A1:H1" location="Index!A1" display="Index!A1" xr:uid="{00000000-0004-0000-5000-000000000000}"/>
  </hyperlinks>
  <pageMargins left="0.75" right="0.5" top="0.5" bottom="0.5" header="0.5" footer="0.25"/>
  <pageSetup scale="89" orientation="portrait" r:id="rId3"/>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pageSetUpPr fitToPage="1"/>
  </sheetPr>
  <dimension ref="A1:AA85"/>
  <sheetViews>
    <sheetView showGridLines="0" zoomScaleNormal="100" workbookViewId="0">
      <selection activeCell="U4" sqref="U4"/>
    </sheetView>
  </sheetViews>
  <sheetFormatPr defaultColWidth="8" defaultRowHeight="12.75" x14ac:dyDescent="0.2"/>
  <cols>
    <col min="1" max="1" width="1.140625" style="1412" customWidth="1"/>
    <col min="2" max="2" width="46.28515625" style="911" customWidth="1"/>
    <col min="3" max="3" width="0.5703125" style="911" customWidth="1"/>
    <col min="4" max="4" width="16.42578125" style="911" customWidth="1"/>
    <col min="5" max="5" width="0.5703125" style="911" customWidth="1"/>
    <col min="6" max="6" width="13.42578125" style="911" customWidth="1"/>
    <col min="7" max="7" width="0.42578125" style="911" customWidth="1"/>
    <col min="8" max="8" width="13.42578125" style="911" customWidth="1"/>
    <col min="9" max="9" width="0.5703125" style="911" customWidth="1"/>
    <col min="10" max="10" width="14.5703125" style="911" customWidth="1"/>
    <col min="11" max="11" width="1.42578125" style="911" customWidth="1"/>
    <col min="12" max="12" width="14.42578125" style="911" customWidth="1"/>
    <col min="13" max="13" width="0.7109375" style="911" customWidth="1"/>
    <col min="14" max="14" width="14.42578125" style="911" customWidth="1"/>
    <col min="15" max="15" width="0.5703125" style="911" customWidth="1"/>
    <col min="16" max="16" width="14.42578125" style="911" customWidth="1"/>
    <col min="17" max="17" width="0.5703125" style="911" customWidth="1"/>
    <col min="18" max="18" width="14" style="911" customWidth="1"/>
    <col min="19" max="19" width="0.5703125" style="911" customWidth="1"/>
    <col min="20" max="20" width="17.140625" style="911" customWidth="1"/>
    <col min="21" max="21" width="4.5703125" style="911" customWidth="1"/>
    <col min="22" max="22" width="6.42578125" style="911" customWidth="1"/>
    <col min="23" max="25" width="14.42578125" style="911" customWidth="1"/>
    <col min="26" max="26" width="14.42578125" style="2109" customWidth="1"/>
    <col min="27" max="27" width="14.42578125" style="2112" customWidth="1"/>
    <col min="28" max="232" width="14.42578125" style="911" customWidth="1"/>
    <col min="233" max="16384" width="8" style="911"/>
  </cols>
  <sheetData>
    <row r="1" spans="1:27" s="72" customFormat="1" ht="15" customHeight="1" x14ac:dyDescent="0.3">
      <c r="A1" s="1410"/>
      <c r="B1" s="2449" t="str">
        <f>+Index!$A$1</f>
        <v xml:space="preserve">                                                               Office of the State Controller                                                                </v>
      </c>
      <c r="C1" s="2449"/>
      <c r="D1" s="2449"/>
      <c r="E1" s="2449"/>
      <c r="F1" s="2449"/>
      <c r="G1" s="2449"/>
      <c r="H1" s="2449"/>
      <c r="I1" s="2449"/>
      <c r="J1" s="2449"/>
      <c r="K1" s="2449"/>
      <c r="L1" s="2449"/>
      <c r="M1" s="2449"/>
      <c r="N1" s="2449"/>
      <c r="O1" s="2449"/>
      <c r="P1" s="2449"/>
      <c r="Q1" s="2449"/>
      <c r="R1" s="2449"/>
      <c r="S1" s="2449"/>
      <c r="T1" s="2449"/>
      <c r="U1" s="2457" t="str">
        <f>IF(Index!$B$21="na","NA","")</f>
        <v/>
      </c>
      <c r="Z1" s="2111"/>
    </row>
    <row r="2" spans="1:27" s="72" customFormat="1" ht="15" customHeight="1" x14ac:dyDescent="0.3">
      <c r="A2" s="1410"/>
      <c r="B2" s="2458" t="str">
        <f>+Index!$A$2</f>
        <v>2022 ACFR Worksheets</v>
      </c>
      <c r="C2" s="2458"/>
      <c r="D2" s="2458"/>
      <c r="E2" s="2458"/>
      <c r="F2" s="2458"/>
      <c r="G2" s="2458"/>
      <c r="H2" s="2458"/>
      <c r="I2" s="2458"/>
      <c r="J2" s="2458"/>
      <c r="K2" s="2458"/>
      <c r="L2" s="2458"/>
      <c r="M2" s="2458"/>
      <c r="N2" s="2458"/>
      <c r="O2" s="2458"/>
      <c r="P2" s="2458"/>
      <c r="Q2" s="2458"/>
      <c r="R2" s="2458"/>
      <c r="S2" s="2458"/>
      <c r="T2" s="2458"/>
      <c r="U2" s="2457"/>
      <c r="Z2" s="2111"/>
    </row>
    <row r="3" spans="1:27" s="72" customFormat="1" ht="15" customHeight="1" x14ac:dyDescent="0.3">
      <c r="A3" s="1410"/>
      <c r="B3" s="2458" t="s">
        <v>1519</v>
      </c>
      <c r="C3" s="2458"/>
      <c r="D3" s="2458"/>
      <c r="E3" s="2458"/>
      <c r="F3" s="2458"/>
      <c r="G3" s="2458"/>
      <c r="H3" s="2458"/>
      <c r="I3" s="2458"/>
      <c r="J3" s="2458"/>
      <c r="K3" s="2458"/>
      <c r="L3" s="2458"/>
      <c r="M3" s="2458"/>
      <c r="N3" s="2458"/>
      <c r="O3" s="2458"/>
      <c r="P3" s="2458"/>
      <c r="Q3" s="2458"/>
      <c r="R3" s="2458"/>
      <c r="S3" s="2458"/>
      <c r="T3" s="2458"/>
      <c r="U3" s="2457"/>
      <c r="Z3" s="2111"/>
    </row>
    <row r="4" spans="1:27" s="72" customFormat="1" ht="15" customHeight="1" x14ac:dyDescent="0.3">
      <c r="A4" s="1410"/>
      <c r="B4" s="240"/>
      <c r="C4" s="240"/>
      <c r="D4" s="240"/>
      <c r="E4" s="240"/>
      <c r="F4" s="240"/>
      <c r="G4" s="240"/>
      <c r="H4" s="240"/>
      <c r="I4" s="240"/>
      <c r="J4" s="1091" t="s">
        <v>4534</v>
      </c>
      <c r="K4" s="240"/>
      <c r="M4" s="240"/>
      <c r="O4" s="240"/>
      <c r="P4" s="240"/>
      <c r="Q4" s="240"/>
      <c r="R4" s="240"/>
      <c r="S4" s="240"/>
      <c r="T4" s="240"/>
      <c r="U4" s="910"/>
      <c r="Z4" s="2111"/>
    </row>
    <row r="5" spans="1:27" s="72" customFormat="1" ht="15" customHeight="1" x14ac:dyDescent="0.3">
      <c r="A5" s="1410"/>
      <c r="B5" s="73"/>
      <c r="C5" s="74"/>
      <c r="E5" s="74"/>
      <c r="F5" s="75"/>
      <c r="G5" s="74"/>
      <c r="H5" s="74"/>
      <c r="I5" s="74"/>
      <c r="J5" s="1092" t="s">
        <v>1483</v>
      </c>
      <c r="K5" s="74"/>
      <c r="M5" s="74"/>
      <c r="O5" s="74"/>
      <c r="P5" s="74"/>
      <c r="Q5" s="76"/>
      <c r="R5" s="76"/>
      <c r="Z5" s="2111"/>
    </row>
    <row r="6" spans="1:27" s="77" customFormat="1" ht="15" customHeight="1" x14ac:dyDescent="0.2">
      <c r="A6" s="1411"/>
      <c r="D6" s="255"/>
      <c r="J6" s="89" t="s">
        <v>973</v>
      </c>
      <c r="L6" s="77" t="s">
        <v>327</v>
      </c>
      <c r="N6" s="78" t="str">
        <f>+Index!$E$10</f>
        <v>01</v>
      </c>
      <c r="Z6" s="2109"/>
      <c r="AA6" s="2112"/>
    </row>
    <row r="7" spans="1:27" s="77" customFormat="1" ht="15" customHeight="1" x14ac:dyDescent="0.2">
      <c r="A7" s="1411"/>
      <c r="B7" s="2104" t="s">
        <v>4968</v>
      </c>
      <c r="D7" s="2199" t="s">
        <v>4969</v>
      </c>
      <c r="I7" s="88"/>
      <c r="K7" s="88"/>
      <c r="L7" s="77" t="s">
        <v>1154</v>
      </c>
      <c r="M7" s="88"/>
      <c r="N7" s="2459" t="str">
        <f>AgyName</f>
        <v>North Carolina General Assembly</v>
      </c>
      <c r="O7" s="2459"/>
      <c r="P7" s="2459"/>
      <c r="Q7" s="2459"/>
      <c r="R7" s="2459"/>
      <c r="S7" s="2459"/>
      <c r="T7" s="2459"/>
      <c r="Z7" s="2109"/>
      <c r="AA7" s="2112"/>
    </row>
    <row r="8" spans="1:27" s="77" customFormat="1" ht="15" customHeight="1" x14ac:dyDescent="0.2">
      <c r="A8" s="1411"/>
      <c r="B8" s="77" t="s">
        <v>477</v>
      </c>
      <c r="D8" s="464"/>
      <c r="I8" s="88"/>
      <c r="K8" s="88"/>
      <c r="L8" s="77" t="s">
        <v>972</v>
      </c>
      <c r="M8" s="88"/>
      <c r="N8" s="2460" t="str">
        <f>CONCATENATE(Index!$E$12," ",Index!$E$14)</f>
        <v xml:space="preserve"> </v>
      </c>
      <c r="O8" s="2460"/>
      <c r="P8" s="2460"/>
      <c r="Q8" s="2460"/>
      <c r="R8" s="2460"/>
      <c r="S8" s="2460"/>
      <c r="T8" s="2460"/>
      <c r="Z8" s="2109"/>
      <c r="AA8" s="2112"/>
    </row>
    <row r="9" spans="1:27" s="77" customFormat="1" ht="15" customHeight="1" x14ac:dyDescent="0.2">
      <c r="A9" s="1411"/>
      <c r="D9" s="1245"/>
      <c r="I9" s="88"/>
      <c r="K9" s="88"/>
      <c r="L9" s="77" t="s">
        <v>348</v>
      </c>
      <c r="M9" s="88"/>
      <c r="N9" s="2461">
        <f>+Index!$E$13</f>
        <v>0</v>
      </c>
      <c r="O9" s="2461"/>
      <c r="P9" s="2461"/>
      <c r="Q9" s="2461"/>
      <c r="R9" s="2461"/>
      <c r="S9" s="2461"/>
      <c r="T9" s="2461"/>
      <c r="Z9" s="2109"/>
      <c r="AA9" s="2112"/>
    </row>
    <row r="10" spans="1:27" s="77" customFormat="1" ht="8.25" customHeight="1" thickBot="1" x14ac:dyDescent="0.25">
      <c r="A10" s="1411"/>
      <c r="B10" s="79"/>
      <c r="C10" s="79"/>
      <c r="D10" s="79"/>
      <c r="E10" s="79"/>
      <c r="F10" s="79"/>
      <c r="G10" s="79"/>
      <c r="H10" s="79"/>
      <c r="I10" s="79"/>
      <c r="J10" s="79"/>
      <c r="K10" s="79"/>
      <c r="L10" s="79"/>
      <c r="M10" s="79"/>
      <c r="N10" s="79"/>
      <c r="O10" s="79"/>
      <c r="P10" s="79"/>
      <c r="Q10" s="79"/>
      <c r="R10" s="79"/>
      <c r="S10" s="79"/>
      <c r="T10" s="79"/>
      <c r="Z10" s="2109"/>
      <c r="AA10" s="2112"/>
    </row>
    <row r="11" spans="1:27" s="77" customFormat="1" ht="8.25" customHeight="1" x14ac:dyDescent="0.2">
      <c r="A11" s="1411"/>
      <c r="Z11" s="2109"/>
      <c r="AA11" s="2112"/>
    </row>
    <row r="12" spans="1:27" ht="17.25" customHeight="1" x14ac:dyDescent="0.2">
      <c r="B12" s="1241" t="s">
        <v>1830</v>
      </c>
      <c r="C12" s="1246"/>
      <c r="D12" s="1246"/>
      <c r="L12" s="936"/>
    </row>
    <row r="13" spans="1:27" s="80" customFormat="1" ht="12.75" customHeight="1" x14ac:dyDescent="0.2">
      <c r="A13" s="1413"/>
      <c r="D13" s="81"/>
      <c r="F13" s="81" t="s">
        <v>1047</v>
      </c>
      <c r="H13" s="2462" t="s">
        <v>417</v>
      </c>
      <c r="I13" s="82"/>
      <c r="J13" s="81"/>
      <c r="L13" s="2465" t="s">
        <v>1050</v>
      </c>
      <c r="M13" s="2466"/>
      <c r="N13" s="2467"/>
      <c r="P13" s="81"/>
      <c r="Q13" s="911"/>
      <c r="R13" s="81" t="s">
        <v>949</v>
      </c>
      <c r="T13" s="81"/>
      <c r="Z13" s="2106"/>
    </row>
    <row r="14" spans="1:27" s="80" customFormat="1" x14ac:dyDescent="0.2">
      <c r="A14" s="1413"/>
      <c r="D14" s="83"/>
      <c r="F14" s="83" t="s">
        <v>1048</v>
      </c>
      <c r="H14" s="2463"/>
      <c r="I14" s="82"/>
      <c r="J14" s="83" t="s">
        <v>230</v>
      </c>
      <c r="L14" s="81"/>
      <c r="N14" s="81"/>
      <c r="P14" s="83"/>
      <c r="Q14" s="911"/>
      <c r="R14" s="207" t="s">
        <v>950</v>
      </c>
      <c r="T14" s="83"/>
      <c r="Z14" s="2106"/>
    </row>
    <row r="15" spans="1:27" s="80" customFormat="1" x14ac:dyDescent="0.2">
      <c r="A15" s="1413"/>
      <c r="D15" s="83" t="s">
        <v>1160</v>
      </c>
      <c r="F15" s="83" t="s">
        <v>1049</v>
      </c>
      <c r="H15" s="2463"/>
      <c r="I15" s="82"/>
      <c r="J15" s="83" t="s">
        <v>303</v>
      </c>
      <c r="L15" s="83" t="s">
        <v>952</v>
      </c>
      <c r="N15" s="83" t="s">
        <v>953</v>
      </c>
      <c r="P15" s="83"/>
      <c r="Q15" s="911"/>
      <c r="R15" s="83" t="s">
        <v>302</v>
      </c>
      <c r="T15" s="83" t="s">
        <v>1160</v>
      </c>
      <c r="Z15" s="2106"/>
    </row>
    <row r="16" spans="1:27" s="80" customFormat="1" x14ac:dyDescent="0.2">
      <c r="A16" s="1413"/>
      <c r="B16" s="84" t="s">
        <v>132</v>
      </c>
      <c r="D16" s="86" t="str">
        <f>+TEXT(Data!$A$3,"mmmm d, yyyy")</f>
        <v>July 1, 2021</v>
      </c>
      <c r="F16" s="86" t="s">
        <v>1052</v>
      </c>
      <c r="H16" s="2464"/>
      <c r="I16" s="82"/>
      <c r="J16" s="86" t="s">
        <v>951</v>
      </c>
      <c r="L16" s="86" t="s">
        <v>1050</v>
      </c>
      <c r="N16" s="86" t="s">
        <v>1050</v>
      </c>
      <c r="P16" s="85" t="s">
        <v>1051</v>
      </c>
      <c r="Q16" s="911"/>
      <c r="R16" s="86" t="s">
        <v>247</v>
      </c>
      <c r="T16" s="85" t="str">
        <f>+TEXT(Data!$A$2,"mmmm d, yyy")</f>
        <v>June 30, 2022</v>
      </c>
      <c r="Z16" s="2106"/>
    </row>
    <row r="17" spans="1:27" s="80" customFormat="1" x14ac:dyDescent="0.2">
      <c r="A17" s="1413"/>
      <c r="F17" s="2106" t="s">
        <v>4970</v>
      </c>
      <c r="G17" s="2106"/>
      <c r="H17" s="2106" t="s">
        <v>4971</v>
      </c>
      <c r="I17" s="2107"/>
      <c r="J17" s="2106" t="s">
        <v>4972</v>
      </c>
      <c r="K17" s="2106"/>
      <c r="L17" s="2106" t="s">
        <v>4973</v>
      </c>
      <c r="M17" s="2106"/>
      <c r="N17" s="2106" t="s">
        <v>4974</v>
      </c>
      <c r="O17" s="2106"/>
      <c r="P17" s="2108" t="s">
        <v>4975</v>
      </c>
      <c r="Q17" s="2109"/>
      <c r="R17" s="2106" t="s">
        <v>4976</v>
      </c>
      <c r="T17" s="247"/>
      <c r="W17" s="2110"/>
      <c r="Z17" s="2106"/>
    </row>
    <row r="18" spans="1:27" s="80" customFormat="1" x14ac:dyDescent="0.2">
      <c r="A18" s="1413"/>
      <c r="D18" s="80" t="s">
        <v>118</v>
      </c>
      <c r="F18" s="80" t="s">
        <v>119</v>
      </c>
      <c r="H18" s="82" t="s">
        <v>996</v>
      </c>
      <c r="I18" s="82"/>
      <c r="J18" s="80" t="s">
        <v>997</v>
      </c>
      <c r="L18" s="80" t="s">
        <v>998</v>
      </c>
      <c r="N18" s="80" t="s">
        <v>999</v>
      </c>
      <c r="P18" s="247" t="s">
        <v>321</v>
      </c>
      <c r="Q18" s="911"/>
      <c r="R18" s="80" t="s">
        <v>322</v>
      </c>
      <c r="T18" s="247" t="s">
        <v>320</v>
      </c>
      <c r="Z18" s="2106"/>
    </row>
    <row r="19" spans="1:27" ht="21.75" customHeight="1" x14ac:dyDescent="0.2">
      <c r="B19" s="912" t="s">
        <v>1053</v>
      </c>
      <c r="C19" s="913"/>
      <c r="D19" s="913"/>
      <c r="E19" s="913"/>
      <c r="F19" s="913"/>
      <c r="G19" s="913"/>
      <c r="H19" s="913"/>
      <c r="I19" s="913"/>
      <c r="J19" s="913"/>
      <c r="K19" s="913"/>
      <c r="L19" s="913"/>
      <c r="M19" s="913"/>
      <c r="N19" s="913"/>
      <c r="O19" s="913"/>
      <c r="P19" s="913"/>
      <c r="Q19" s="913"/>
      <c r="R19" s="913"/>
      <c r="S19" s="913"/>
      <c r="T19" s="913"/>
      <c r="AA19" s="2113"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row>
    <row r="20" spans="1:27" ht="21.75" customHeight="1" x14ac:dyDescent="0.2">
      <c r="A20" s="1412">
        <v>1</v>
      </c>
      <c r="B20" s="246" t="s">
        <v>1331</v>
      </c>
      <c r="C20" s="913"/>
      <c r="D20" s="914" t="str">
        <f>IFERROR(HLOOKUP($N$6,PriorYr905!$E$8:$AH$79,54,FALSE),"")</f>
        <v/>
      </c>
      <c r="E20" s="913"/>
      <c r="F20" s="1445"/>
      <c r="G20" s="913"/>
      <c r="H20" s="914"/>
      <c r="I20" s="913"/>
      <c r="J20" s="914"/>
      <c r="K20" s="913"/>
      <c r="L20" s="914"/>
      <c r="M20" s="913"/>
      <c r="N20" s="914"/>
      <c r="O20" s="913"/>
      <c r="P20" s="914"/>
      <c r="Q20" s="913"/>
      <c r="R20" s="914"/>
      <c r="S20" s="913"/>
      <c r="T20" s="915">
        <f t="shared" ref="T20:T25" si="0">SUM(D20:S20)</f>
        <v>0</v>
      </c>
      <c r="Z20" s="2113">
        <v>12700000</v>
      </c>
    </row>
    <row r="21" spans="1:27" ht="21.75" customHeight="1" x14ac:dyDescent="0.2">
      <c r="A21" s="1412">
        <v>2</v>
      </c>
      <c r="B21" s="246" t="s">
        <v>3512</v>
      </c>
      <c r="C21" s="913"/>
      <c r="D21" s="914" t="str">
        <f>IFERROR(HLOOKUP($N$6,PriorYr905!$E$8:$AH$79,55,FALSE),"")</f>
        <v/>
      </c>
      <c r="E21" s="913"/>
      <c r="F21" s="914"/>
      <c r="G21" s="913"/>
      <c r="H21" s="914"/>
      <c r="I21" s="913"/>
      <c r="J21" s="914"/>
      <c r="K21" s="913"/>
      <c r="L21" s="914"/>
      <c r="M21" s="913"/>
      <c r="N21" s="914"/>
      <c r="O21" s="913"/>
      <c r="P21" s="914"/>
      <c r="Q21" s="913"/>
      <c r="R21" s="914"/>
      <c r="S21" s="913"/>
      <c r="T21" s="915">
        <f t="shared" si="0"/>
        <v>0</v>
      </c>
      <c r="Z21" s="2113">
        <v>12741000</v>
      </c>
    </row>
    <row r="22" spans="1:27" ht="21.75" customHeight="1" x14ac:dyDescent="0.2">
      <c r="A22" s="1412">
        <v>3</v>
      </c>
      <c r="B22" s="246" t="s">
        <v>418</v>
      </c>
      <c r="C22" s="913"/>
      <c r="D22" s="914" t="str">
        <f>IFERROR(HLOOKUP($N$6,PriorYr905!$E$8:$AH$79,56,FALSE),"")</f>
        <v/>
      </c>
      <c r="E22" s="913"/>
      <c r="F22" s="914"/>
      <c r="G22" s="913"/>
      <c r="H22" s="1638"/>
      <c r="I22" s="913"/>
      <c r="J22" s="1638"/>
      <c r="K22" s="913"/>
      <c r="L22" s="914"/>
      <c r="M22" s="913"/>
      <c r="N22" s="914"/>
      <c r="O22" s="913"/>
      <c r="P22" s="914"/>
      <c r="Q22" s="913"/>
      <c r="R22" s="914"/>
      <c r="S22" s="913"/>
      <c r="T22" s="915">
        <f t="shared" si="0"/>
        <v>0</v>
      </c>
      <c r="Z22" s="2113">
        <v>12780000</v>
      </c>
    </row>
    <row r="23" spans="1:27" ht="21.75" customHeight="1" x14ac:dyDescent="0.2">
      <c r="A23" s="1414" t="s">
        <v>3571</v>
      </c>
      <c r="B23" s="246" t="s">
        <v>1332</v>
      </c>
      <c r="C23" s="913"/>
      <c r="D23" s="914" t="str">
        <f>IFERROR(HLOOKUP($N$6,PriorYr905!$E$8:$AH$79,57,FALSE),"")</f>
        <v/>
      </c>
      <c r="E23" s="913"/>
      <c r="F23" s="914"/>
      <c r="G23" s="913"/>
      <c r="H23" s="1638"/>
      <c r="I23" s="913"/>
      <c r="J23" s="1638"/>
      <c r="K23" s="913"/>
      <c r="L23" s="914"/>
      <c r="M23" s="913"/>
      <c r="N23" s="914"/>
      <c r="O23" s="913"/>
      <c r="P23" s="914"/>
      <c r="Q23" s="913"/>
      <c r="R23" s="914"/>
      <c r="S23" s="913"/>
      <c r="T23" s="915">
        <f t="shared" si="0"/>
        <v>0</v>
      </c>
      <c r="Z23" s="2113">
        <v>12783000</v>
      </c>
    </row>
    <row r="24" spans="1:27" ht="21.75" customHeight="1" x14ac:dyDescent="0.2">
      <c r="A24" s="1414" t="s">
        <v>3572</v>
      </c>
      <c r="B24" s="477" t="s">
        <v>1333</v>
      </c>
      <c r="C24" s="913"/>
      <c r="D24" s="914" t="str">
        <f>IFERROR(HLOOKUP($N$6,PriorYr905!$E$8:$AH$79,58,FALSE),"")</f>
        <v/>
      </c>
      <c r="E24" s="913"/>
      <c r="F24" s="1445"/>
      <c r="G24" s="913"/>
      <c r="H24" s="1638"/>
      <c r="I24" s="913"/>
      <c r="J24" s="1638"/>
      <c r="K24" s="913"/>
      <c r="L24" s="914"/>
      <c r="M24" s="913"/>
      <c r="N24" s="914"/>
      <c r="O24" s="913"/>
      <c r="P24" s="914"/>
      <c r="Q24" s="913"/>
      <c r="R24" s="914"/>
      <c r="S24" s="913"/>
      <c r="T24" s="915">
        <f t="shared" si="0"/>
        <v>0</v>
      </c>
      <c r="Z24" s="2113">
        <v>12782000</v>
      </c>
    </row>
    <row r="25" spans="1:27" ht="21.75" customHeight="1" x14ac:dyDescent="0.2">
      <c r="A25" s="1414" t="s">
        <v>3573</v>
      </c>
      <c r="B25" s="477" t="s">
        <v>3513</v>
      </c>
      <c r="C25" s="913"/>
      <c r="D25" s="914" t="str">
        <f>IFERROR(HLOOKUP($N$6,PriorYr905!$E$8:$AH$79,59,FALSE),"")</f>
        <v/>
      </c>
      <c r="E25" s="913"/>
      <c r="F25" s="935"/>
      <c r="G25" s="913"/>
      <c r="H25" s="935"/>
      <c r="I25" s="913"/>
      <c r="J25" s="935"/>
      <c r="K25" s="913"/>
      <c r="L25" s="935"/>
      <c r="M25" s="913"/>
      <c r="N25" s="935"/>
      <c r="O25" s="913"/>
      <c r="P25" s="935"/>
      <c r="Q25" s="913"/>
      <c r="R25" s="935"/>
      <c r="S25" s="913"/>
      <c r="T25" s="915">
        <f t="shared" si="0"/>
        <v>0</v>
      </c>
      <c r="Z25" s="2113">
        <v>12750500</v>
      </c>
    </row>
    <row r="26" spans="1:27" ht="21.75" customHeight="1" x14ac:dyDescent="0.2">
      <c r="B26" s="912" t="s">
        <v>419</v>
      </c>
      <c r="C26" s="913"/>
      <c r="D26" s="916"/>
      <c r="E26" s="913"/>
      <c r="F26" s="916"/>
      <c r="G26" s="913"/>
      <c r="H26" s="916"/>
      <c r="I26" s="913"/>
      <c r="J26" s="916"/>
      <c r="K26" s="913"/>
      <c r="L26" s="916"/>
      <c r="M26" s="913"/>
      <c r="N26" s="916"/>
      <c r="O26" s="913"/>
      <c r="P26" s="916"/>
      <c r="Q26" s="913"/>
      <c r="R26" s="916"/>
      <c r="S26" s="913"/>
      <c r="T26" s="916"/>
      <c r="Z26" s="2113"/>
    </row>
    <row r="27" spans="1:27" ht="21.75" customHeight="1" x14ac:dyDescent="0.2">
      <c r="A27" s="1412">
        <v>4</v>
      </c>
      <c r="B27" s="246" t="s">
        <v>420</v>
      </c>
      <c r="C27" s="913"/>
      <c r="D27" s="914" t="str">
        <f>IFERROR(HLOOKUP($N$6,PriorYr905!$E$8:$AH$79,62,FALSE),"")</f>
        <v/>
      </c>
      <c r="E27" s="913"/>
      <c r="F27" s="914"/>
      <c r="G27" s="913"/>
      <c r="H27" s="914"/>
      <c r="I27" s="913"/>
      <c r="J27" s="914"/>
      <c r="K27" s="913"/>
      <c r="L27" s="914"/>
      <c r="M27" s="913"/>
      <c r="N27" s="914"/>
      <c r="O27" s="913"/>
      <c r="P27" s="914"/>
      <c r="Q27" s="913"/>
      <c r="R27" s="914"/>
      <c r="S27" s="913"/>
      <c r="T27" s="915">
        <f t="shared" ref="T27:T40" si="1">SUM(D27:S27)</f>
        <v>0</v>
      </c>
      <c r="Z27" s="2113">
        <v>12710000</v>
      </c>
    </row>
    <row r="28" spans="1:27" ht="21.75" customHeight="1" x14ac:dyDescent="0.2">
      <c r="A28" s="1412">
        <v>5</v>
      </c>
      <c r="B28" s="246" t="s">
        <v>498</v>
      </c>
      <c r="C28" s="913"/>
      <c r="D28" s="914" t="str">
        <f>IFERROR(HLOOKUP($N$6,PriorYr905!$E$8:$AH$79,63,FALSE),"")</f>
        <v/>
      </c>
      <c r="E28" s="913"/>
      <c r="F28" s="914"/>
      <c r="G28" s="913"/>
      <c r="H28" s="914"/>
      <c r="I28" s="913"/>
      <c r="J28" s="914"/>
      <c r="K28" s="913"/>
      <c r="L28" s="914"/>
      <c r="M28" s="913"/>
      <c r="N28" s="914"/>
      <c r="O28" s="913"/>
      <c r="P28" s="914"/>
      <c r="Q28" s="913"/>
      <c r="R28" s="914"/>
      <c r="S28" s="913"/>
      <c r="T28" s="915">
        <f t="shared" si="1"/>
        <v>0</v>
      </c>
      <c r="Z28" s="2113">
        <v>12732000</v>
      </c>
    </row>
    <row r="29" spans="1:27" ht="21.75" customHeight="1" x14ac:dyDescent="0.2">
      <c r="A29" s="1412">
        <v>6</v>
      </c>
      <c r="B29" s="246" t="s">
        <v>3514</v>
      </c>
      <c r="C29" s="913"/>
      <c r="D29" s="914" t="str">
        <f>IFERROR(HLOOKUP($N$6,PriorYr905!$E$8:$AH$79,64,FALSE),"")</f>
        <v/>
      </c>
      <c r="E29" s="913"/>
      <c r="F29" s="1445"/>
      <c r="G29" s="913"/>
      <c r="H29" s="914"/>
      <c r="I29" s="913"/>
      <c r="J29" s="914"/>
      <c r="K29" s="913"/>
      <c r="L29" s="914"/>
      <c r="M29" s="913"/>
      <c r="N29" s="914"/>
      <c r="O29" s="913"/>
      <c r="P29" s="914"/>
      <c r="Q29" s="913"/>
      <c r="R29" s="914"/>
      <c r="S29" s="913"/>
      <c r="T29" s="915">
        <f t="shared" si="1"/>
        <v>0</v>
      </c>
      <c r="Z29" s="2113">
        <v>12740000</v>
      </c>
    </row>
    <row r="30" spans="1:27" ht="21.75" customHeight="1" x14ac:dyDescent="0.2">
      <c r="A30" s="1412">
        <v>7</v>
      </c>
      <c r="B30" s="246" t="s">
        <v>3515</v>
      </c>
      <c r="C30" s="913"/>
      <c r="D30" s="914" t="str">
        <f>IFERROR(HLOOKUP($N$6,PriorYr905!$E$8:$AH$79,65,FALSE),"")</f>
        <v/>
      </c>
      <c r="E30" s="913"/>
      <c r="F30" s="1445"/>
      <c r="G30" s="913"/>
      <c r="H30" s="914"/>
      <c r="I30" s="913"/>
      <c r="J30" s="914"/>
      <c r="K30" s="913"/>
      <c r="L30" s="914"/>
      <c r="M30" s="913"/>
      <c r="N30" s="914"/>
      <c r="O30" s="913"/>
      <c r="P30" s="914"/>
      <c r="Q30" s="913"/>
      <c r="R30" s="914"/>
      <c r="S30" s="913"/>
      <c r="T30" s="915">
        <f t="shared" si="1"/>
        <v>0</v>
      </c>
      <c r="Z30" s="2113">
        <v>12729000</v>
      </c>
    </row>
    <row r="31" spans="1:27" ht="21.75" customHeight="1" x14ac:dyDescent="0.2">
      <c r="A31" s="1412">
        <v>8</v>
      </c>
      <c r="B31" s="246" t="s">
        <v>946</v>
      </c>
      <c r="C31" s="913"/>
      <c r="D31" s="914"/>
      <c r="E31" s="913"/>
      <c r="F31" s="1445"/>
      <c r="G31" s="913"/>
      <c r="H31" s="914"/>
      <c r="I31" s="913"/>
      <c r="J31" s="914"/>
      <c r="K31" s="913"/>
      <c r="L31" s="914"/>
      <c r="M31" s="913"/>
      <c r="N31" s="914"/>
      <c r="O31" s="913"/>
      <c r="P31" s="914"/>
      <c r="Q31" s="913"/>
      <c r="R31" s="914"/>
      <c r="S31" s="913"/>
      <c r="T31" s="915">
        <f t="shared" si="1"/>
        <v>0</v>
      </c>
      <c r="Z31" s="2113">
        <v>12720000</v>
      </c>
    </row>
    <row r="32" spans="1:27" ht="21.75" customHeight="1" x14ac:dyDescent="0.2">
      <c r="A32" s="1414" t="s">
        <v>3998</v>
      </c>
      <c r="B32" s="246" t="s">
        <v>3658</v>
      </c>
      <c r="C32" s="913"/>
      <c r="D32" s="914"/>
      <c r="E32" s="913"/>
      <c r="F32" s="914"/>
      <c r="G32" s="913"/>
      <c r="H32" s="914"/>
      <c r="I32" s="913"/>
      <c r="J32" s="914"/>
      <c r="K32" s="913"/>
      <c r="L32" s="914"/>
      <c r="M32" s="913"/>
      <c r="N32" s="914"/>
      <c r="O32" s="913"/>
      <c r="P32" s="914"/>
      <c r="Q32" s="913"/>
      <c r="R32" s="914"/>
      <c r="S32" s="913"/>
      <c r="T32" s="915">
        <f t="shared" si="1"/>
        <v>0</v>
      </c>
      <c r="Z32" s="2113">
        <v>12720001</v>
      </c>
    </row>
    <row r="33" spans="1:26" ht="21.75" customHeight="1" x14ac:dyDescent="0.2">
      <c r="A33" s="1412">
        <v>9</v>
      </c>
      <c r="B33" s="246" t="s">
        <v>1334</v>
      </c>
      <c r="C33" s="913"/>
      <c r="D33" s="914" t="str">
        <f>IFERROR(HLOOKUP($N$6,PriorYr905!$E$8:$AH$79,70,FALSE),"")</f>
        <v/>
      </c>
      <c r="E33" s="913"/>
      <c r="F33" s="914"/>
      <c r="G33" s="913"/>
      <c r="H33" s="914"/>
      <c r="I33" s="913"/>
      <c r="J33" s="914"/>
      <c r="K33" s="913"/>
      <c r="L33" s="914"/>
      <c r="M33" s="913"/>
      <c r="N33" s="914"/>
      <c r="O33" s="913"/>
      <c r="P33" s="914"/>
      <c r="Q33" s="913"/>
      <c r="R33" s="914"/>
      <c r="S33" s="913"/>
      <c r="T33" s="915">
        <f t="shared" si="1"/>
        <v>0</v>
      </c>
      <c r="Z33" s="2113">
        <v>12753000</v>
      </c>
    </row>
    <row r="34" spans="1:26" ht="21.75" customHeight="1" x14ac:dyDescent="0.2">
      <c r="A34" s="1412">
        <v>10</v>
      </c>
      <c r="B34" s="246" t="s">
        <v>1335</v>
      </c>
      <c r="C34" s="913"/>
      <c r="D34" s="914" t="str">
        <f>IFERROR(HLOOKUP($N$6,PriorYr905!$E$8:$AH$79,71,FALSE),"")</f>
        <v/>
      </c>
      <c r="E34" s="913"/>
      <c r="F34" s="914"/>
      <c r="G34" s="913"/>
      <c r="H34" s="914"/>
      <c r="I34" s="913"/>
      <c r="J34" s="914"/>
      <c r="K34" s="913"/>
      <c r="L34" s="914"/>
      <c r="M34" s="913"/>
      <c r="N34" s="914"/>
      <c r="O34" s="913"/>
      <c r="P34" s="914"/>
      <c r="Q34" s="913"/>
      <c r="R34" s="914"/>
      <c r="S34" s="913"/>
      <c r="T34" s="915">
        <f t="shared" si="1"/>
        <v>0</v>
      </c>
      <c r="Z34" s="2113">
        <v>12752000</v>
      </c>
    </row>
    <row r="35" spans="1:26" ht="21.75" customHeight="1" x14ac:dyDescent="0.2">
      <c r="A35" s="1412">
        <v>11</v>
      </c>
      <c r="B35" s="246" t="s">
        <v>3516</v>
      </c>
      <c r="C35" s="913"/>
      <c r="D35" s="914" t="str">
        <f>IFERROR(HLOOKUP($N$6,PriorYr905!$E$8:$AH$79,72,FALSE),"")</f>
        <v/>
      </c>
      <c r="E35" s="913"/>
      <c r="F35" s="914"/>
      <c r="G35" s="913"/>
      <c r="H35" s="914"/>
      <c r="I35" s="913"/>
      <c r="J35" s="914"/>
      <c r="K35" s="913"/>
      <c r="L35" s="914"/>
      <c r="M35" s="913"/>
      <c r="N35" s="914"/>
      <c r="O35" s="913"/>
      <c r="P35" s="914"/>
      <c r="Q35" s="913"/>
      <c r="R35" s="914"/>
      <c r="S35" s="913"/>
      <c r="T35" s="915">
        <f t="shared" si="1"/>
        <v>0</v>
      </c>
      <c r="Z35" s="2113">
        <v>12750000</v>
      </c>
    </row>
    <row r="36" spans="1:26" ht="21.75" customHeight="1" x14ac:dyDescent="0.2">
      <c r="B36" s="912" t="s">
        <v>5473</v>
      </c>
      <c r="C36" s="913"/>
      <c r="D36" s="2250"/>
      <c r="E36" s="913"/>
      <c r="F36" s="2250"/>
      <c r="G36" s="913"/>
      <c r="H36" s="2250"/>
      <c r="I36" s="913"/>
      <c r="J36" s="2250"/>
      <c r="K36" s="913"/>
      <c r="L36" s="2250"/>
      <c r="M36" s="913"/>
      <c r="N36" s="2250"/>
      <c r="O36" s="913"/>
      <c r="P36" s="2250"/>
      <c r="Q36" s="913"/>
      <c r="R36" s="2250"/>
      <c r="S36" s="913"/>
      <c r="T36" s="916"/>
      <c r="Z36" s="2113"/>
    </row>
    <row r="37" spans="1:26" ht="21.75" customHeight="1" x14ac:dyDescent="0.2">
      <c r="A37" s="1412">
        <v>12</v>
      </c>
      <c r="B37" s="246" t="s">
        <v>5467</v>
      </c>
      <c r="C37" s="913"/>
      <c r="D37" s="914" t="str">
        <f>IFERROR(HLOOKUP($N$6,PriorYr905!$E$8:$AH$79,66,FALSE),"")</f>
        <v/>
      </c>
      <c r="E37" s="913"/>
      <c r="F37" s="1445"/>
      <c r="G37" s="913"/>
      <c r="H37" s="914"/>
      <c r="I37" s="913"/>
      <c r="J37" s="914"/>
      <c r="K37" s="913"/>
      <c r="L37" s="914"/>
      <c r="M37" s="913"/>
      <c r="N37" s="914"/>
      <c r="O37" s="913"/>
      <c r="P37" s="914"/>
      <c r="Q37" s="913"/>
      <c r="R37" s="914"/>
      <c r="S37" s="913"/>
      <c r="T37" s="915">
        <f t="shared" si="1"/>
        <v>0</v>
      </c>
      <c r="U37" s="2247"/>
      <c r="V37" s="2249" t="s">
        <v>5430</v>
      </c>
      <c r="Z37" s="2113">
        <v>12700100</v>
      </c>
    </row>
    <row r="38" spans="1:26" ht="21.75" customHeight="1" x14ac:dyDescent="0.2">
      <c r="A38" s="1412">
        <v>13</v>
      </c>
      <c r="B38" s="246" t="s">
        <v>5468</v>
      </c>
      <c r="C38" s="913"/>
      <c r="D38" s="914" t="str">
        <f>IFERROR(HLOOKUP($N$6,PriorYr905!$E$8:$AH$79,67,FALSE),"")</f>
        <v/>
      </c>
      <c r="E38" s="913"/>
      <c r="F38" s="914"/>
      <c r="G38" s="913"/>
      <c r="H38" s="914"/>
      <c r="I38" s="913"/>
      <c r="J38" s="914"/>
      <c r="K38" s="913"/>
      <c r="L38" s="914"/>
      <c r="M38" s="913"/>
      <c r="N38" s="914"/>
      <c r="O38" s="913"/>
      <c r="P38" s="914"/>
      <c r="Q38" s="913"/>
      <c r="R38" s="914"/>
      <c r="S38" s="913"/>
      <c r="T38" s="915">
        <f t="shared" si="1"/>
        <v>0</v>
      </c>
      <c r="U38" s="2249"/>
      <c r="V38" s="2249" t="s">
        <v>5430</v>
      </c>
      <c r="Z38" s="2113">
        <v>12710100</v>
      </c>
    </row>
    <row r="39" spans="1:26" ht="21.75" customHeight="1" x14ac:dyDescent="0.2">
      <c r="A39" s="1412">
        <v>14</v>
      </c>
      <c r="B39" s="246" t="s">
        <v>5469</v>
      </c>
      <c r="C39" s="913"/>
      <c r="D39" s="914" t="str">
        <f>IFERROR(HLOOKUP($N$6,PriorYr905!$E$8:$AH$79,68,FALSE),"")</f>
        <v/>
      </c>
      <c r="E39" s="913"/>
      <c r="F39" s="914"/>
      <c r="G39" s="913"/>
      <c r="H39" s="914"/>
      <c r="I39" s="913"/>
      <c r="J39" s="914"/>
      <c r="K39" s="913"/>
      <c r="L39" s="914"/>
      <c r="M39" s="913"/>
      <c r="N39" s="914"/>
      <c r="O39" s="913"/>
      <c r="P39" s="914"/>
      <c r="Q39" s="913"/>
      <c r="R39" s="914"/>
      <c r="S39" s="913"/>
      <c r="T39" s="915">
        <f t="shared" si="1"/>
        <v>0</v>
      </c>
      <c r="U39" s="2249"/>
      <c r="V39" s="2249" t="s">
        <v>5430</v>
      </c>
      <c r="Z39" s="2113">
        <v>12735000</v>
      </c>
    </row>
    <row r="40" spans="1:26" ht="21.75" customHeight="1" x14ac:dyDescent="0.2">
      <c r="A40" s="1412">
        <v>15</v>
      </c>
      <c r="B40" s="246" t="s">
        <v>5470</v>
      </c>
      <c r="C40" s="913"/>
      <c r="D40" s="914" t="str">
        <f>IFERROR(HLOOKUP($N$6,PriorYr905!$E$8:$AH$79,69,FALSE),"")</f>
        <v/>
      </c>
      <c r="E40" s="913"/>
      <c r="F40" s="1445"/>
      <c r="G40" s="913"/>
      <c r="H40" s="914"/>
      <c r="I40" s="913"/>
      <c r="J40" s="914"/>
      <c r="K40" s="913"/>
      <c r="L40" s="914"/>
      <c r="M40" s="913"/>
      <c r="N40" s="914"/>
      <c r="O40" s="913"/>
      <c r="P40" s="914"/>
      <c r="Q40" s="913"/>
      <c r="R40" s="914"/>
      <c r="S40" s="913"/>
      <c r="T40" s="915">
        <f t="shared" si="1"/>
        <v>0</v>
      </c>
      <c r="U40" s="2249"/>
      <c r="V40" s="2249" t="s">
        <v>5430</v>
      </c>
      <c r="Z40" s="2113">
        <v>12729500</v>
      </c>
    </row>
    <row r="41" spans="1:26" ht="21.75" customHeight="1" thickBot="1" x14ac:dyDescent="0.25">
      <c r="B41" s="917" t="s">
        <v>1056</v>
      </c>
      <c r="C41" s="913"/>
      <c r="D41" s="918">
        <f>SUM(D20:D40)</f>
        <v>0</v>
      </c>
      <c r="E41" s="916">
        <f t="shared" ref="E41:S41" si="2">SUM(E20:E35)</f>
        <v>0</v>
      </c>
      <c r="F41" s="918">
        <f>SUM(F20:F40)</f>
        <v>0</v>
      </c>
      <c r="G41" s="916">
        <f t="shared" si="2"/>
        <v>0</v>
      </c>
      <c r="H41" s="918">
        <f>SUM(H20:H40)</f>
        <v>0</v>
      </c>
      <c r="I41" s="916">
        <f t="shared" si="2"/>
        <v>0</v>
      </c>
      <c r="J41" s="918">
        <f>SUM(J20:J40)</f>
        <v>0</v>
      </c>
      <c r="K41" s="916">
        <f t="shared" si="2"/>
        <v>0</v>
      </c>
      <c r="L41" s="918">
        <f>SUM(L20:L40)</f>
        <v>0</v>
      </c>
      <c r="M41" s="916">
        <f t="shared" si="2"/>
        <v>0</v>
      </c>
      <c r="N41" s="918">
        <f>SUM(N20:N40)</f>
        <v>0</v>
      </c>
      <c r="O41" s="916">
        <f t="shared" si="2"/>
        <v>0</v>
      </c>
      <c r="P41" s="918">
        <f>SUM(P20:P40)</f>
        <v>0</v>
      </c>
      <c r="Q41" s="916">
        <f t="shared" si="2"/>
        <v>0</v>
      </c>
      <c r="R41" s="918">
        <f>SUM(R20:R40)</f>
        <v>0</v>
      </c>
      <c r="S41" s="916">
        <f t="shared" si="2"/>
        <v>0</v>
      </c>
      <c r="T41" s="918">
        <f>SUM(T20:T40)</f>
        <v>0</v>
      </c>
      <c r="Z41" s="2113"/>
    </row>
    <row r="42" spans="1:26" ht="16.5" customHeight="1" thickTop="1" x14ac:dyDescent="0.2">
      <c r="B42" s="919"/>
      <c r="D42" s="916"/>
      <c r="E42" s="913"/>
      <c r="F42" s="1444" t="str">
        <f>IF(W42&gt;0,"Worksheet 430G or Worksheet 430BTA must be completed"," ")</f>
        <v xml:space="preserve"> </v>
      </c>
      <c r="G42" s="913"/>
      <c r="H42" s="916"/>
      <c r="I42" s="913"/>
      <c r="J42" s="916"/>
      <c r="K42" s="913"/>
      <c r="L42" s="916"/>
      <c r="M42" s="913"/>
      <c r="N42" s="87"/>
      <c r="O42" s="913"/>
      <c r="P42" s="916"/>
      <c r="R42" s="916"/>
      <c r="T42" s="916"/>
      <c r="W42" s="911">
        <f>SUM(F20:F35)</f>
        <v>0</v>
      </c>
    </row>
    <row r="43" spans="1:26" ht="6" customHeight="1" x14ac:dyDescent="0.2">
      <c r="B43" s="919"/>
      <c r="D43" s="916"/>
      <c r="E43" s="913"/>
      <c r="F43" s="916"/>
      <c r="G43" s="913"/>
      <c r="H43" s="916"/>
      <c r="I43" s="913"/>
      <c r="J43" s="916"/>
      <c r="K43" s="913"/>
      <c r="L43" s="916"/>
      <c r="M43" s="913"/>
      <c r="N43" s="87"/>
      <c r="O43" s="913"/>
      <c r="P43" s="916"/>
      <c r="R43" s="916"/>
      <c r="T43" s="916"/>
    </row>
    <row r="44" spans="1:26" ht="6" customHeight="1" x14ac:dyDescent="0.2">
      <c r="B44" s="919"/>
      <c r="D44" s="916"/>
      <c r="E44" s="913"/>
      <c r="F44" s="916"/>
      <c r="G44" s="913"/>
      <c r="H44" s="916"/>
      <c r="I44" s="913"/>
      <c r="J44" s="916"/>
      <c r="K44" s="913"/>
      <c r="L44" s="916"/>
      <c r="M44" s="913"/>
      <c r="N44" s="87"/>
      <c r="O44" s="913"/>
      <c r="P44" s="916"/>
      <c r="R44" s="916"/>
      <c r="T44" s="916"/>
    </row>
    <row r="45" spans="1:26" ht="12" customHeight="1" x14ac:dyDescent="0.2">
      <c r="B45" s="2468" t="s">
        <v>3632</v>
      </c>
      <c r="C45" s="2469"/>
      <c r="D45" s="2469"/>
      <c r="E45" s="2469"/>
      <c r="F45" s="2469"/>
      <c r="G45" s="2469"/>
      <c r="H45" s="2469"/>
      <c r="I45" s="2469"/>
      <c r="J45" s="2469"/>
      <c r="K45" s="2469"/>
      <c r="L45" s="2469"/>
      <c r="M45" s="2469"/>
      <c r="N45" s="2469"/>
      <c r="O45" s="2469"/>
      <c r="P45" s="2469"/>
      <c r="Q45" s="2469"/>
      <c r="R45" s="2469"/>
      <c r="S45" s="2469"/>
      <c r="T45" s="2469"/>
    </row>
    <row r="46" spans="1:26" ht="15.75" customHeight="1" x14ac:dyDescent="0.25">
      <c r="B46" s="917" t="s">
        <v>5625</v>
      </c>
      <c r="E46" s="62"/>
      <c r="F46" s="62"/>
      <c r="G46" s="62"/>
      <c r="H46" s="62"/>
      <c r="I46" s="62"/>
      <c r="J46" s="62"/>
      <c r="K46" s="62"/>
      <c r="L46" s="62"/>
      <c r="M46" s="62"/>
      <c r="N46" s="62"/>
      <c r="O46" s="62"/>
      <c r="P46" s="62"/>
      <c r="Q46" s="62"/>
      <c r="R46" s="62"/>
      <c r="S46" s="62"/>
      <c r="T46" s="62"/>
    </row>
    <row r="47" spans="1:26" ht="15.75" customHeight="1" x14ac:dyDescent="0.25">
      <c r="B47" s="912" t="s">
        <v>4909</v>
      </c>
      <c r="E47" s="62"/>
      <c r="F47" s="62"/>
      <c r="G47" s="62"/>
      <c r="H47" s="62"/>
      <c r="I47" s="62"/>
      <c r="J47" s="62"/>
      <c r="K47" s="62"/>
      <c r="L47" s="62"/>
      <c r="M47" s="62"/>
      <c r="N47" s="62"/>
      <c r="O47" s="62"/>
      <c r="P47" s="62"/>
      <c r="Q47" s="62"/>
      <c r="R47" s="62"/>
      <c r="S47" s="62"/>
      <c r="T47" s="62"/>
    </row>
    <row r="48" spans="1:26" ht="15.75" customHeight="1" x14ac:dyDescent="0.25">
      <c r="B48" s="1035" t="s">
        <v>3723</v>
      </c>
      <c r="E48" s="62"/>
      <c r="F48" s="62"/>
      <c r="G48" s="62"/>
      <c r="H48" s="62"/>
      <c r="I48" s="62"/>
      <c r="J48" s="62"/>
      <c r="K48" s="62"/>
      <c r="L48" s="62"/>
      <c r="M48" s="62"/>
      <c r="N48" s="62"/>
      <c r="O48" s="62"/>
      <c r="P48" s="62"/>
      <c r="Q48" s="62"/>
      <c r="R48" s="62"/>
      <c r="S48" s="62"/>
      <c r="T48" s="62"/>
    </row>
    <row r="49" spans="1:26" ht="15.75" customHeight="1" x14ac:dyDescent="0.25">
      <c r="B49" s="917"/>
      <c r="D49" s="748"/>
      <c r="E49" s="62"/>
      <c r="F49" s="62"/>
      <c r="G49" s="62"/>
      <c r="I49" s="920"/>
      <c r="J49" s="920"/>
      <c r="K49" s="920"/>
      <c r="L49" s="921"/>
      <c r="M49" s="920"/>
      <c r="N49" s="920"/>
      <c r="O49" s="897"/>
      <c r="Q49" s="62"/>
      <c r="R49" s="62"/>
      <c r="S49" s="62"/>
      <c r="T49" s="62"/>
    </row>
    <row r="50" spans="1:26" ht="7.5" customHeight="1" x14ac:dyDescent="0.25">
      <c r="B50" s="917"/>
      <c r="E50" s="62"/>
      <c r="F50" s="62"/>
      <c r="G50" s="62"/>
      <c r="H50" s="748"/>
      <c r="I50" s="920"/>
      <c r="J50" s="920"/>
      <c r="K50" s="920"/>
      <c r="L50" s="920"/>
      <c r="M50" s="920"/>
      <c r="N50" s="920"/>
      <c r="O50" s="897"/>
      <c r="P50" s="921"/>
      <c r="Q50" s="62"/>
      <c r="R50" s="62"/>
      <c r="S50" s="62"/>
      <c r="T50" s="62"/>
    </row>
    <row r="51" spans="1:26" ht="15.75" customHeight="1" x14ac:dyDescent="0.25">
      <c r="B51" s="917"/>
      <c r="E51" s="62"/>
      <c r="F51" s="62"/>
      <c r="G51" s="62"/>
      <c r="H51" s="62"/>
      <c r="I51" s="62"/>
      <c r="J51" s="62"/>
      <c r="K51" s="62"/>
      <c r="L51" s="62"/>
      <c r="M51" s="62"/>
      <c r="N51" s="62"/>
      <c r="O51" s="62"/>
      <c r="P51" s="62"/>
      <c r="Q51" s="62"/>
      <c r="R51" s="62"/>
      <c r="S51" s="62"/>
      <c r="T51" s="62"/>
    </row>
    <row r="52" spans="1:26" ht="13.5" customHeight="1" x14ac:dyDescent="0.2">
      <c r="B52" s="748"/>
      <c r="C52" s="920"/>
      <c r="D52" s="920"/>
      <c r="E52" s="920"/>
      <c r="F52" s="920"/>
      <c r="G52" s="920"/>
      <c r="H52" s="920"/>
      <c r="I52" s="897"/>
      <c r="J52" s="921"/>
      <c r="Q52" s="921"/>
      <c r="R52" s="921"/>
      <c r="S52" s="921"/>
      <c r="T52" s="921"/>
    </row>
    <row r="53" spans="1:26" ht="13.5" customHeight="1" x14ac:dyDescent="0.2">
      <c r="A53" s="1415" t="str">
        <f ca="1">MID(CELL("filename",A1),FIND("]",CELL("filename",A1))+1,256)</f>
        <v>201</v>
      </c>
      <c r="B53" s="922"/>
      <c r="C53" s="920"/>
      <c r="D53" s="920"/>
      <c r="E53" s="920"/>
      <c r="F53" s="920"/>
      <c r="G53" s="920"/>
      <c r="H53" s="920"/>
      <c r="I53" s="920"/>
      <c r="J53" s="921"/>
      <c r="K53" s="921"/>
      <c r="L53" s="921"/>
      <c r="M53" s="921"/>
      <c r="N53" s="921"/>
      <c r="O53" s="921"/>
      <c r="P53" s="921"/>
      <c r="Q53" s="921"/>
      <c r="R53" s="921"/>
      <c r="S53" s="921"/>
      <c r="T53" s="921"/>
    </row>
    <row r="54" spans="1:26" ht="15" x14ac:dyDescent="0.2">
      <c r="A54" s="1415"/>
      <c r="B54" s="921"/>
      <c r="C54" s="923"/>
      <c r="D54" s="921"/>
      <c r="E54" s="921"/>
      <c r="F54" s="921"/>
      <c r="G54" s="921"/>
      <c r="H54" s="921"/>
      <c r="I54" s="921"/>
      <c r="J54" s="921"/>
      <c r="K54" s="921"/>
      <c r="L54" s="921"/>
      <c r="M54" s="921"/>
      <c r="N54" s="921"/>
      <c r="O54" s="921"/>
      <c r="P54" s="921"/>
      <c r="Q54" s="921"/>
      <c r="R54" s="921"/>
      <c r="S54" s="921"/>
      <c r="T54" s="921"/>
    </row>
    <row r="55" spans="1:26" ht="15" x14ac:dyDescent="0.2">
      <c r="A55" s="1415"/>
      <c r="B55" s="794"/>
      <c r="C55" s="794"/>
    </row>
    <row r="56" spans="1:26" s="76" customFormat="1" ht="15" x14ac:dyDescent="0.2">
      <c r="A56" s="1415"/>
      <c r="B56" s="794" t="s">
        <v>449</v>
      </c>
      <c r="C56" s="794"/>
      <c r="Z56" s="2114"/>
    </row>
    <row r="57" spans="1:26" s="76" customFormat="1" ht="15" x14ac:dyDescent="0.2">
      <c r="A57" s="1415" t="s">
        <v>446</v>
      </c>
      <c r="B57" s="794" t="str">
        <f t="shared" ref="B57:B66" ca="1" si="3">IF(ISNA(INDEX(ErrorTable,MATCH($A$53&amp;$A57&amp;FALSE,ErrorKey,0),6)),"",INDEX(ErrorTable,MATCH($A$53&amp;$A57&amp;FALSE,ErrorKey,0),6))</f>
        <v>GASB number is blank.</v>
      </c>
      <c r="C57" s="794"/>
      <c r="Z57" s="2114"/>
    </row>
    <row r="58" spans="1:26" s="76" customFormat="1" ht="15" x14ac:dyDescent="0.2">
      <c r="A58" s="1415" t="s">
        <v>447</v>
      </c>
      <c r="B58" s="794" t="str">
        <f t="shared" ca="1" si="3"/>
        <v/>
      </c>
      <c r="C58" s="794"/>
      <c r="Z58" s="2114"/>
    </row>
    <row r="59" spans="1:26" s="76" customFormat="1" ht="15" x14ac:dyDescent="0.2">
      <c r="A59" s="1415" t="s">
        <v>448</v>
      </c>
      <c r="B59" s="794" t="str">
        <f t="shared" ca="1" si="3"/>
        <v/>
      </c>
      <c r="C59" s="794"/>
      <c r="Z59" s="2114"/>
    </row>
    <row r="60" spans="1:26" s="76" customFormat="1" ht="15" x14ac:dyDescent="0.2">
      <c r="A60" s="1415" t="s">
        <v>450</v>
      </c>
      <c r="B60" s="794" t="str">
        <f t="shared" ca="1" si="3"/>
        <v/>
      </c>
      <c r="C60" s="794"/>
      <c r="Z60" s="2114"/>
    </row>
    <row r="61" spans="1:26" s="76" customFormat="1" ht="15" x14ac:dyDescent="0.2">
      <c r="A61" s="1415" t="s">
        <v>451</v>
      </c>
      <c r="B61" s="794" t="str">
        <f t="shared" ca="1" si="3"/>
        <v/>
      </c>
      <c r="C61" s="794"/>
      <c r="Z61" s="2114"/>
    </row>
    <row r="62" spans="1:26" s="76" customFormat="1" ht="15" x14ac:dyDescent="0.2">
      <c r="A62" s="1415" t="s">
        <v>452</v>
      </c>
      <c r="B62" s="794" t="str">
        <f t="shared" ca="1" si="3"/>
        <v/>
      </c>
      <c r="C62" s="794"/>
      <c r="Z62" s="2114"/>
    </row>
    <row r="63" spans="1:26" s="76" customFormat="1" ht="15" x14ac:dyDescent="0.2">
      <c r="A63" s="1415" t="s">
        <v>453</v>
      </c>
      <c r="B63" s="794" t="str">
        <f t="shared" ca="1" si="3"/>
        <v/>
      </c>
      <c r="C63" s="794"/>
      <c r="Z63" s="2114"/>
    </row>
    <row r="64" spans="1:26" s="76" customFormat="1" ht="20.100000000000001" customHeight="1" x14ac:dyDescent="0.2">
      <c r="A64" s="1415" t="s">
        <v>454</v>
      </c>
      <c r="B64" s="794" t="str">
        <f t="shared" ca="1" si="3"/>
        <v/>
      </c>
      <c r="Z64" s="2114"/>
    </row>
    <row r="65" spans="1:26" s="76" customFormat="1" ht="20.100000000000001" customHeight="1" x14ac:dyDescent="0.2">
      <c r="A65" s="1415" t="s">
        <v>455</v>
      </c>
      <c r="B65" s="794" t="str">
        <f t="shared" ca="1" si="3"/>
        <v/>
      </c>
      <c r="Z65" s="2114"/>
    </row>
    <row r="66" spans="1:26" s="76" customFormat="1" ht="20.100000000000001" customHeight="1" x14ac:dyDescent="0.2">
      <c r="A66" s="1415" t="s">
        <v>456</v>
      </c>
      <c r="B66" s="794" t="str">
        <f t="shared" ca="1" si="3"/>
        <v/>
      </c>
      <c r="Z66" s="2114"/>
    </row>
    <row r="67" spans="1:26" s="76" customFormat="1" ht="20.100000000000001" customHeight="1" x14ac:dyDescent="0.2">
      <c r="A67" s="1416"/>
      <c r="Z67" s="2114"/>
    </row>
    <row r="68" spans="1:26" s="76" customFormat="1" ht="20.100000000000001" customHeight="1" x14ac:dyDescent="0.2">
      <c r="A68" s="1416"/>
      <c r="Z68" s="2114"/>
    </row>
    <row r="69" spans="1:26" s="76" customFormat="1" ht="20.100000000000001" customHeight="1" x14ac:dyDescent="0.2">
      <c r="A69" s="1416"/>
      <c r="Z69" s="2114"/>
    </row>
    <row r="70" spans="1:26" s="76" customFormat="1" ht="20.100000000000001" customHeight="1" x14ac:dyDescent="0.2">
      <c r="A70" s="1416"/>
      <c r="Z70" s="2114"/>
    </row>
    <row r="71" spans="1:26" ht="20.100000000000001" customHeight="1" x14ac:dyDescent="0.2">
      <c r="A71" s="1416"/>
      <c r="Q71" s="76"/>
      <c r="R71" s="76"/>
    </row>
    <row r="72" spans="1:26" ht="20.100000000000001" customHeight="1" x14ac:dyDescent="0.2">
      <c r="A72" s="1416"/>
      <c r="Q72" s="76"/>
      <c r="R72" s="76"/>
    </row>
    <row r="73" spans="1:26" ht="20.100000000000001" customHeight="1" x14ac:dyDescent="0.2">
      <c r="A73" s="1416"/>
      <c r="Q73" s="76"/>
      <c r="R73" s="76"/>
    </row>
    <row r="74" spans="1:26" ht="20.100000000000001" customHeight="1" x14ac:dyDescent="0.2">
      <c r="Q74" s="76"/>
      <c r="R74" s="76"/>
    </row>
    <row r="75" spans="1:26" ht="20.100000000000001" customHeight="1" x14ac:dyDescent="0.2">
      <c r="Q75" s="76"/>
      <c r="R75" s="76"/>
    </row>
    <row r="76" spans="1:26" ht="20.100000000000001" customHeight="1" x14ac:dyDescent="0.2">
      <c r="Q76" s="76"/>
      <c r="R76" s="76"/>
    </row>
    <row r="77" spans="1:26" ht="20.100000000000001" customHeight="1" x14ac:dyDescent="0.2">
      <c r="Q77" s="76"/>
      <c r="R77" s="76"/>
    </row>
    <row r="78" spans="1:26" ht="20.100000000000001" customHeight="1" x14ac:dyDescent="0.2">
      <c r="Q78" s="76"/>
      <c r="R78" s="76"/>
    </row>
    <row r="79" spans="1:26" ht="20.100000000000001" customHeight="1" x14ac:dyDescent="0.2">
      <c r="Q79" s="76"/>
      <c r="R79" s="76"/>
    </row>
    <row r="80" spans="1:26" x14ac:dyDescent="0.2">
      <c r="Q80" s="76"/>
      <c r="R80" s="76"/>
    </row>
    <row r="81" spans="17:18" x14ac:dyDescent="0.2">
      <c r="Q81" s="76"/>
      <c r="R81" s="76"/>
    </row>
    <row r="82" spans="17:18" x14ac:dyDescent="0.2">
      <c r="Q82" s="76"/>
      <c r="R82" s="76"/>
    </row>
    <row r="83" spans="17:18" x14ac:dyDescent="0.2">
      <c r="Q83" s="76"/>
      <c r="R83" s="76"/>
    </row>
    <row r="84" spans="17:18" x14ac:dyDescent="0.2">
      <c r="Q84" s="76"/>
      <c r="R84" s="76"/>
    </row>
    <row r="85" spans="17:18" x14ac:dyDescent="0.2">
      <c r="Q85" s="76"/>
      <c r="R85" s="76"/>
    </row>
  </sheetData>
  <sheetProtection algorithmName="SHA-512" hashValue="A5F7au2/F1H+F3yfZoobQKU2OfthLgd8qWZxC+v0f5LoX9hj+c6M6n2clz7tOP632qviWp+tPosHtUscghPGlw==" saltValue="p9c/xOZPiWDixlpKQOa7sA==" spinCount="100000" sheet="1" objects="1" scenarios="1" autoFilter="0"/>
  <customSheetViews>
    <customSheetView guid="{B08879A4-635B-4C39-9937-AC7883D562FC}" showGridLines="0" fitToPage="1" hiddenColumns="1" topLeftCell="B1">
      <selection activeCell="H38" sqref="H38"/>
      <pageMargins left="0.5" right="0.5" top="0.75" bottom="0.5" header="0.5" footer="0.25"/>
      <pageSetup scale="66" pageOrder="overThenDown" orientation="landscape" r:id="rId1"/>
      <headerFooter alignWithMargins="0">
        <oddFooter>&amp;R&amp;A</oddFooter>
      </headerFooter>
    </customSheetView>
    <customSheetView guid="{9FCFC836-1CA5-48BF-958D-24D2EA94B219}" showGridLines="0" fitToPage="1" hiddenColumns="1" topLeftCell="B1">
      <selection activeCell="H38" sqref="H38"/>
      <pageMargins left="0.5" right="0.5" top="0.75" bottom="0.5" header="0.5" footer="0.25"/>
      <pageSetup scale="66" pageOrder="overThenDown" orientation="landscape" r:id="rId2"/>
      <headerFooter alignWithMargins="0">
        <oddFooter>&amp;R&amp;A</oddFooter>
      </headerFooter>
    </customSheetView>
  </customSheetViews>
  <mergeCells count="10">
    <mergeCell ref="N9:T9"/>
    <mergeCell ref="H13:H16"/>
    <mergeCell ref="L13:N13"/>
    <mergeCell ref="B45:T45"/>
    <mergeCell ref="B1:T1"/>
    <mergeCell ref="U1:U3"/>
    <mergeCell ref="B2:T2"/>
    <mergeCell ref="B3:T3"/>
    <mergeCell ref="N7:T7"/>
    <mergeCell ref="N8:T8"/>
  </mergeCells>
  <conditionalFormatting sqref="U1:U4">
    <cfRule type="cellIs" dxfId="169" priority="1" stopIfTrue="1" operator="equal">
      <formula>"na"</formula>
    </cfRule>
  </conditionalFormatting>
  <dataValidations xWindow="336" yWindow="316" count="7">
    <dataValidation type="decimal" operator="lessThanOrEqual" allowBlank="1" showInputMessage="1" showErrorMessage="1" errorTitle="Invalid data!" error="Decrease in CIP must be a negative number." sqref="R24:R25" xr:uid="{00000000-0002-0000-0700-000000000000}">
      <formula1>0</formula1>
    </dataValidation>
    <dataValidation type="textLength" operator="equal" allowBlank="1" showInputMessage="1" showErrorMessage="1" errorTitle="Invalid data!" error="GASB number must be 4 digits." promptTitle="Capital Assets GASB Number" prompt="For primary government governmental fund types, the GASB fund number for Capital Assets should be 5100." sqref="D8:D9" xr:uid="{00000000-0002-0000-0700-000001000000}">
      <formula1>4</formula1>
    </dataValidation>
    <dataValidation type="decimal" operator="greaterThanOrEqual" allowBlank="1" showInputMessage="1" showErrorMessage="1" errorTitle="Invalid data!" error="Amount must be positive." sqref="J22:J24 H20:H25 H27:H40" xr:uid="{00000000-0002-0000-0700-000002000000}">
      <formula1>0</formula1>
    </dataValidation>
    <dataValidation type="decimal" operator="lessThan" allowBlank="1" showErrorMessage="1" errorTitle="Invalid data!" error="Retirements must be entered as negative numbers." sqref="P20:P25 P27:P40" xr:uid="{00000000-0002-0000-0700-000003000000}">
      <formula1>0</formula1>
    </dataValidation>
    <dataValidation type="decimal" operator="lessThanOrEqual" allowBlank="1" showInputMessage="1" showErrorMessage="1" errorTitle="Invalid data!" error="Amount must be negative." sqref="J25 J20:J21 J27:J40" xr:uid="{00000000-0002-0000-0700-000004000000}">
      <formula1>0</formula1>
    </dataValidation>
    <dataValidation type="decimal" operator="greaterThanOrEqual" allowBlank="1" showInputMessage="1" showErrorMessage="1" errorTitle="Invalid data!" error="Amount must be positive!" sqref="L20:L25 N20:N25 N27:N40 L27:L40" xr:uid="{00000000-0002-0000-0700-000005000000}">
      <formula1>0</formula1>
    </dataValidation>
    <dataValidation type="list" allowBlank="1" showInputMessage="1" showErrorMessage="1" sqref="D7" xr:uid="{15963BF4-3A6B-457B-B467-68E2EBD16FB5}">
      <formula1>"No Function,General government,Primary and secondary education, Higher education, Health and human services,Economic development, Environment and natural resources, Public safety, Transportation, Agriculture"</formula1>
    </dataValidation>
  </dataValidations>
  <hyperlinks>
    <hyperlink ref="B1:T1" location="Index!A1" display="Index!A1" xr:uid="{00000000-0004-0000-0700-000000000000}"/>
  </hyperlinks>
  <pageMargins left="0.5" right="0.5" top="0.75" bottom="0.5" header="0.5" footer="0.25"/>
  <pageSetup scale="64" pageOrder="overThenDown" orientation="landscape" r:id="rId3"/>
  <headerFooter alignWithMargins="0">
    <oddFooter>&amp;R&amp;A</oddFooter>
  </headerFooter>
  <ignoredErrors>
    <ignoredError sqref="D20:D40" unlockedFormula="1"/>
    <ignoredError sqref="K41:L41 N41 P41 R41" formula="1"/>
  </ignoredErrors>
  <legacyDrawing r:id="rId4"/>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5">
    <pageSetUpPr fitToPage="1"/>
  </sheetPr>
  <dimension ref="A1:Y257"/>
  <sheetViews>
    <sheetView showGridLines="0" zoomScaleNormal="100" zoomScaleSheetLayoutView="100" workbookViewId="0">
      <selection activeCell="A184" sqref="A184"/>
    </sheetView>
  </sheetViews>
  <sheetFormatPr defaultColWidth="9.42578125" defaultRowHeight="12.75" x14ac:dyDescent="0.2"/>
  <cols>
    <col min="1" max="1" width="4.42578125" bestFit="1" customWidth="1"/>
    <col min="2" max="2" width="15.42578125" customWidth="1"/>
    <col min="3" max="3" width="21.42578125" customWidth="1"/>
    <col min="4" max="4" width="1.5703125" customWidth="1"/>
    <col min="5" max="5" width="2.42578125" customWidth="1"/>
    <col min="6" max="6" width="19.42578125" style="649" customWidth="1"/>
    <col min="7" max="7" width="1.5703125" customWidth="1"/>
    <col min="8" max="8" width="17.85546875" style="649" bestFit="1" customWidth="1"/>
    <col min="9" max="9" width="1.42578125" customWidth="1"/>
    <col min="10" max="10" width="15.5703125" customWidth="1"/>
    <col min="11" max="11" width="1.42578125" customWidth="1"/>
    <col min="12" max="12" width="11.5703125" customWidth="1"/>
    <col min="13" max="13" width="1.42578125" customWidth="1"/>
    <col min="14" max="14" width="10.42578125" customWidth="1"/>
  </cols>
  <sheetData>
    <row r="1" spans="1:25" ht="15.75" x14ac:dyDescent="0.25">
      <c r="A1" s="2449" t="str">
        <f>+Index!$A$1</f>
        <v xml:space="preserve">                                                               Office of the State Controller                                                                </v>
      </c>
      <c r="B1" s="2449"/>
      <c r="C1" s="2449"/>
      <c r="D1" s="2449"/>
      <c r="E1" s="2449"/>
      <c r="F1" s="2449"/>
      <c r="G1" s="2449"/>
      <c r="H1" s="622"/>
      <c r="I1" s="622"/>
      <c r="J1" s="1576"/>
      <c r="K1" s="1577" t="s">
        <v>3952</v>
      </c>
      <c r="L1" s="1576"/>
      <c r="M1" s="622"/>
      <c r="N1" s="2457" t="str">
        <f>IF(Index!$B$108="na", "NA", "")</f>
        <v/>
      </c>
      <c r="O1" s="622"/>
      <c r="Q1" s="622"/>
      <c r="R1" s="622"/>
      <c r="S1" s="622"/>
      <c r="T1" s="622"/>
      <c r="U1" s="622"/>
      <c r="V1" s="622"/>
      <c r="W1" s="622"/>
      <c r="X1" s="622"/>
    </row>
    <row r="2" spans="1:25" ht="16.5" x14ac:dyDescent="0.3">
      <c r="A2" s="3012" t="str">
        <f>+Index!$A$2</f>
        <v>2022 ACFR Worksheets</v>
      </c>
      <c r="B2" s="3012"/>
      <c r="C2" s="3012"/>
      <c r="D2" s="3012"/>
      <c r="E2" s="3012"/>
      <c r="F2" s="3012"/>
      <c r="G2" s="3012"/>
      <c r="H2" s="622"/>
      <c r="I2" s="281"/>
      <c r="J2" s="1578"/>
      <c r="K2" s="1575" t="s">
        <v>3953</v>
      </c>
      <c r="L2" s="1579">
        <v>0.15</v>
      </c>
      <c r="M2" s="281"/>
      <c r="N2" s="2457"/>
      <c r="O2" s="281"/>
      <c r="Q2" s="632"/>
      <c r="R2" s="632"/>
      <c r="S2" s="632"/>
      <c r="T2" s="632"/>
      <c r="U2" s="632"/>
      <c r="V2" s="632"/>
      <c r="W2" s="632"/>
      <c r="X2" s="632"/>
    </row>
    <row r="3" spans="1:25" ht="16.5" customHeight="1" x14ac:dyDescent="0.3">
      <c r="B3" s="2993" t="s">
        <v>3954</v>
      </c>
      <c r="C3" s="2993"/>
      <c r="D3" s="2993"/>
      <c r="E3" s="2993"/>
      <c r="F3" s="2993"/>
      <c r="G3" s="2993"/>
      <c r="H3" s="637"/>
      <c r="I3" s="637"/>
      <c r="J3" s="1580"/>
      <c r="K3" s="1575" t="s">
        <v>3955</v>
      </c>
      <c r="L3" s="1581">
        <f>IF(C5="69",15000000,IF(C5="U30",30000000,IF(OR(C5="U20",C5="48",C5="48E",C5="48L",C5="48R",C5="48C",C5="48T",C5="48HP",C5="48CW",C5="48X"),40000000,10000000)))</f>
        <v>10000000</v>
      </c>
      <c r="M3" s="637"/>
      <c r="N3" s="2457"/>
      <c r="O3" s="637"/>
      <c r="Q3" s="632"/>
      <c r="R3" s="632"/>
      <c r="S3" s="632"/>
      <c r="T3" s="632"/>
      <c r="U3" s="632"/>
      <c r="V3" s="632"/>
      <c r="W3" s="632"/>
      <c r="X3" s="632"/>
    </row>
    <row r="4" spans="1:25" ht="13.5" x14ac:dyDescent="0.25">
      <c r="A4" s="2577" t="s">
        <v>3956</v>
      </c>
      <c r="B4" s="2577"/>
      <c r="C4" s="2577"/>
      <c r="D4" s="2577"/>
      <c r="E4" s="2577"/>
      <c r="F4" s="2577"/>
      <c r="G4" s="2577"/>
      <c r="H4" s="4"/>
      <c r="I4" s="4"/>
      <c r="J4" s="1582"/>
      <c r="K4" s="1575" t="s">
        <v>3957</v>
      </c>
      <c r="L4" s="1583">
        <f>COUNTIF(N6:N253,"=C")</f>
        <v>0</v>
      </c>
      <c r="M4" s="4"/>
    </row>
    <row r="5" spans="1:25" s="200" customFormat="1" ht="15" customHeight="1" x14ac:dyDescent="0.2">
      <c r="B5" s="200" t="s">
        <v>327</v>
      </c>
      <c r="C5" s="639" t="str">
        <f>+Index!$E$10</f>
        <v>01</v>
      </c>
      <c r="D5" s="635"/>
      <c r="E5" s="635"/>
      <c r="H5" s="806" t="s">
        <v>972</v>
      </c>
      <c r="I5" s="2986" t="str">
        <f>+CONCATENATE(Index!$E$12," ",Index!$E$14)</f>
        <v xml:space="preserve"> </v>
      </c>
      <c r="J5" s="2986"/>
      <c r="K5" s="2986"/>
      <c r="L5" s="2986"/>
      <c r="M5"/>
      <c r="N5"/>
      <c r="O5"/>
      <c r="Q5" s="633"/>
      <c r="Y5" s="199"/>
    </row>
    <row r="6" spans="1:25" s="200" customFormat="1" ht="15" customHeight="1" x14ac:dyDescent="0.2">
      <c r="B6" s="200" t="s">
        <v>1154</v>
      </c>
      <c r="C6" s="3010" t="str">
        <f>+Index!$E$11</f>
        <v>North Carolina General Assembly</v>
      </c>
      <c r="D6" s="3010"/>
      <c r="E6" s="3010"/>
      <c r="F6" s="3010"/>
      <c r="H6" s="800" t="s">
        <v>348</v>
      </c>
      <c r="I6" s="679"/>
      <c r="J6" s="3011">
        <f>+Index!$E$13</f>
        <v>0</v>
      </c>
      <c r="K6" s="3011"/>
      <c r="L6" s="3011"/>
      <c r="Q6" s="634"/>
      <c r="R6" s="634"/>
      <c r="S6" s="634"/>
      <c r="T6" s="634"/>
      <c r="U6" s="634"/>
      <c r="V6" s="634"/>
      <c r="W6" s="634"/>
      <c r="X6" s="201"/>
      <c r="Y6" s="199"/>
    </row>
    <row r="7" spans="1:25" s="200" customFormat="1" ht="15" customHeight="1" x14ac:dyDescent="0.2">
      <c r="B7" s="200" t="s">
        <v>477</v>
      </c>
      <c r="C7" s="1574" t="e">
        <f>INDEX(NetAssetsData,MATCH('905'!$C$5,NetAssetsDataRow,0),4)</f>
        <v>#N/A</v>
      </c>
      <c r="D7" s="1047"/>
      <c r="E7" s="1047"/>
      <c r="G7" s="633"/>
      <c r="Y7" s="199"/>
    </row>
    <row r="8" spans="1:25" s="38" customFormat="1" ht="12" customHeight="1" x14ac:dyDescent="0.2">
      <c r="B8" s="1359" t="s">
        <v>3481</v>
      </c>
      <c r="C8" s="1360"/>
      <c r="D8" s="1360"/>
      <c r="E8" s="1360"/>
      <c r="F8" s="1360"/>
      <c r="G8" s="1360"/>
      <c r="H8" s="1360"/>
      <c r="I8" s="1361"/>
      <c r="J8" s="1360"/>
      <c r="K8" s="1362"/>
      <c r="L8" s="725"/>
      <c r="O8" s="122"/>
    </row>
    <row r="9" spans="1:25" x14ac:dyDescent="0.2">
      <c r="F9" s="1231" t="s">
        <v>1745</v>
      </c>
      <c r="H9" s="1231" t="s">
        <v>1746</v>
      </c>
      <c r="N9" s="1565" t="s">
        <v>3958</v>
      </c>
    </row>
    <row r="10" spans="1:25" ht="12.75" customHeight="1" x14ac:dyDescent="0.25">
      <c r="B10" s="109"/>
      <c r="C10" s="392"/>
      <c r="D10" s="392"/>
      <c r="E10" s="392"/>
      <c r="F10" s="408" t="str">
        <f>CONCATENATE("FY",YEAR(Data!$A$3),"-",YEAR(Data!$A$2))</f>
        <v>FY2021-2022</v>
      </c>
      <c r="G10" s="409"/>
      <c r="H10" s="408" t="str">
        <f>CONCATENATE("FY",YEAR(Data!$A$3)-1,"-",YEAR(Data!$A$2)-1)</f>
        <v>FY2020-2021</v>
      </c>
      <c r="I10" s="410"/>
      <c r="J10" s="408" t="s">
        <v>478</v>
      </c>
      <c r="K10" s="411"/>
      <c r="L10" s="412" t="s">
        <v>1012</v>
      </c>
      <c r="M10" s="411"/>
      <c r="N10" s="412" t="s">
        <v>3959</v>
      </c>
    </row>
    <row r="11" spans="1:25" x14ac:dyDescent="0.2">
      <c r="B11" s="394" t="s">
        <v>3964</v>
      </c>
      <c r="C11" s="807"/>
      <c r="D11" s="807"/>
      <c r="E11" s="807"/>
      <c r="F11" s="807"/>
      <c r="G11" s="807"/>
    </row>
    <row r="12" spans="1:25" x14ac:dyDescent="0.2">
      <c r="B12" s="784" t="s">
        <v>629</v>
      </c>
      <c r="C12" s="395"/>
      <c r="D12" s="395"/>
      <c r="E12" s="395"/>
    </row>
    <row r="13" spans="1:25" ht="14.25" customHeight="1" x14ac:dyDescent="0.25">
      <c r="A13" s="335">
        <v>1000</v>
      </c>
      <c r="B13" s="3009" t="s">
        <v>630</v>
      </c>
      <c r="C13" s="3009"/>
      <c r="D13" s="643"/>
      <c r="E13" s="643"/>
      <c r="F13" s="650">
        <f>'905'!F13</f>
        <v>0</v>
      </c>
      <c r="H13" s="650" t="e">
        <f>INDEX(PY905Data,MATCH($A13,PY905Row,0),MATCH($C$5,PY905Col,0))</f>
        <v>#N/A</v>
      </c>
      <c r="J13" s="413" t="e">
        <f>F13-H13</f>
        <v>#N/A</v>
      </c>
      <c r="L13" s="414" t="e">
        <f>IF(H13=0,0,J13/H13)</f>
        <v>#N/A</v>
      </c>
      <c r="N13" s="26" t="str">
        <f>IF($F$84=0," ",IF(AND(ABS(J13)&gt;$L$3,ABS(L13)&gt;$L$2),"C",IF(AND(ABS(F13+H13)&gt;0,H13=0,ABS(J13)&gt;$L$3),"C"," ")))</f>
        <v xml:space="preserve"> </v>
      </c>
    </row>
    <row r="14" spans="1:25" ht="13.5" x14ac:dyDescent="0.25">
      <c r="A14" s="335">
        <v>1010</v>
      </c>
      <c r="B14" s="2876" t="s">
        <v>270</v>
      </c>
      <c r="C14" s="2876"/>
      <c r="D14" s="398"/>
      <c r="E14" s="398"/>
      <c r="F14" s="649">
        <f>'905'!F14</f>
        <v>0</v>
      </c>
      <c r="H14" s="649" t="e">
        <f>INDEX(PY905Data,MATCH($A14,PY905Row,0),MATCH($C$5,PY905Col,0))</f>
        <v>#N/A</v>
      </c>
      <c r="J14" s="413" t="e">
        <f>F14-H14</f>
        <v>#N/A</v>
      </c>
      <c r="L14" s="414" t="e">
        <f>IF(H14=0,0,J14/H14)</f>
        <v>#N/A</v>
      </c>
      <c r="N14" s="26" t="str">
        <f t="shared" ref="N14:N36" si="0">IF($F$84=0," ",IF(AND(ABS(J14)&gt;$L$3,ABS(L14)&gt;$L$2),"C",IF(AND(ABS(F14+H14)&gt;0,H14=0,ABS(J14)&gt;$L$3),"C"," ")))</f>
        <v xml:space="preserve"> </v>
      </c>
    </row>
    <row r="15" spans="1:25" ht="13.5" x14ac:dyDescent="0.25">
      <c r="A15" s="335">
        <v>1050</v>
      </c>
      <c r="B15" s="2876" t="s">
        <v>425</v>
      </c>
      <c r="C15" s="2876"/>
      <c r="D15" s="398"/>
      <c r="E15" s="398"/>
      <c r="F15" s="649">
        <f>'905'!F15</f>
        <v>0</v>
      </c>
      <c r="H15" s="649" t="e">
        <f>INDEX(PY905Data,MATCH($A15,PY905Row,0),MATCH($C$5,PY905Col,0))</f>
        <v>#N/A</v>
      </c>
      <c r="J15" s="413" t="e">
        <f>F15-H15</f>
        <v>#N/A</v>
      </c>
      <c r="L15" s="414" t="e">
        <f>IF(H15=0,0,J15/H15)</f>
        <v>#N/A</v>
      </c>
      <c r="N15" s="26" t="str">
        <f t="shared" si="0"/>
        <v xml:space="preserve"> </v>
      </c>
    </row>
    <row r="16" spans="1:25" ht="13.5" x14ac:dyDescent="0.25">
      <c r="A16" s="335">
        <v>1060</v>
      </c>
      <c r="B16" s="2876" t="s">
        <v>1223</v>
      </c>
      <c r="C16" s="2876"/>
      <c r="D16" s="398"/>
      <c r="E16" s="398"/>
      <c r="F16" s="649">
        <f>'905'!F16</f>
        <v>0</v>
      </c>
      <c r="H16" s="649" t="e">
        <f>INDEX(PY905Data,MATCH($A16,PY905Row,0),MATCH($C$5,PY905Col,0))</f>
        <v>#N/A</v>
      </c>
      <c r="J16" s="413" t="e">
        <f>F16-H16</f>
        <v>#N/A</v>
      </c>
      <c r="L16" s="414" t="e">
        <f>IF(H16=0,0,J16/H16)</f>
        <v>#N/A</v>
      </c>
      <c r="N16" s="26" t="str">
        <f t="shared" si="0"/>
        <v xml:space="preserve"> </v>
      </c>
    </row>
    <row r="17" spans="1:14" ht="13.5" x14ac:dyDescent="0.25">
      <c r="A17" s="335">
        <v>1090</v>
      </c>
      <c r="B17" s="2876" t="s">
        <v>1403</v>
      </c>
      <c r="C17" s="2876"/>
      <c r="D17" s="398"/>
      <c r="E17" s="398"/>
      <c r="F17" s="649">
        <f>'905'!F17</f>
        <v>0</v>
      </c>
      <c r="H17" s="649" t="e">
        <f>INDEX(PY905Data,MATCH($A17,PY905Row,0),MATCH($C$5,PY905Col,0))</f>
        <v>#N/A</v>
      </c>
      <c r="J17" s="413" t="e">
        <f>F17-H17</f>
        <v>#N/A</v>
      </c>
      <c r="L17" s="414" t="e">
        <f>IF(H17=0,0,J17/H17)</f>
        <v>#N/A</v>
      </c>
      <c r="N17" s="26" t="str">
        <f t="shared" si="0"/>
        <v xml:space="preserve"> </v>
      </c>
    </row>
    <row r="18" spans="1:14" ht="13.5" x14ac:dyDescent="0.25">
      <c r="A18" s="335"/>
      <c r="B18" s="335" t="s">
        <v>198</v>
      </c>
      <c r="C18" s="335"/>
      <c r="D18" s="335"/>
      <c r="E18" s="335"/>
      <c r="J18" s="413"/>
      <c r="L18" s="414"/>
    </row>
    <row r="19" spans="1:14" ht="13.5" x14ac:dyDescent="0.25">
      <c r="A19" s="335">
        <v>1110</v>
      </c>
      <c r="B19" s="3007" t="s">
        <v>199</v>
      </c>
      <c r="C19" s="3007"/>
      <c r="D19" s="399"/>
      <c r="E19" s="399"/>
      <c r="F19" s="649">
        <f>'905'!F19</f>
        <v>0</v>
      </c>
      <c r="H19" s="649" t="e">
        <f t="shared" ref="H19:H36" si="1">INDEX(PY905Data,MATCH($A19,PY905Row,0),MATCH($C$5,PY905Col,0))</f>
        <v>#N/A</v>
      </c>
      <c r="J19" s="413" t="e">
        <f t="shared" ref="J19:J27" si="2">F19-H19</f>
        <v>#N/A</v>
      </c>
      <c r="L19" s="414" t="e">
        <f t="shared" ref="L19:L27" si="3">IF(H19=0,0,J19/H19)</f>
        <v>#N/A</v>
      </c>
      <c r="N19" s="26" t="str">
        <f t="shared" si="0"/>
        <v xml:space="preserve"> </v>
      </c>
    </row>
    <row r="20" spans="1:14" ht="13.5" x14ac:dyDescent="0.25">
      <c r="A20" s="335">
        <v>1120</v>
      </c>
      <c r="B20" s="3007" t="s">
        <v>312</v>
      </c>
      <c r="C20" s="3007"/>
      <c r="D20" s="399"/>
      <c r="E20" s="399"/>
      <c r="F20" s="649">
        <f>'905'!F20</f>
        <v>0</v>
      </c>
      <c r="H20" s="649" t="e">
        <f t="shared" si="1"/>
        <v>#N/A</v>
      </c>
      <c r="J20" s="413" t="e">
        <f t="shared" si="2"/>
        <v>#N/A</v>
      </c>
      <c r="L20" s="414" t="e">
        <f t="shared" si="3"/>
        <v>#N/A</v>
      </c>
      <c r="N20" s="26" t="str">
        <f t="shared" si="0"/>
        <v xml:space="preserve"> </v>
      </c>
    </row>
    <row r="21" spans="1:14" ht="13.5" x14ac:dyDescent="0.25">
      <c r="A21" s="335">
        <v>1130</v>
      </c>
      <c r="B21" s="3007" t="s">
        <v>200</v>
      </c>
      <c r="C21" s="3007"/>
      <c r="D21" s="399"/>
      <c r="E21" s="399"/>
      <c r="F21" s="649">
        <f>'905'!F21</f>
        <v>0</v>
      </c>
      <c r="H21" s="649" t="e">
        <f t="shared" si="1"/>
        <v>#N/A</v>
      </c>
      <c r="J21" s="413" t="e">
        <f t="shared" si="2"/>
        <v>#N/A</v>
      </c>
      <c r="L21" s="414" t="e">
        <f t="shared" si="3"/>
        <v>#N/A</v>
      </c>
      <c r="N21" s="26" t="str">
        <f t="shared" si="0"/>
        <v xml:space="preserve"> </v>
      </c>
    </row>
    <row r="22" spans="1:14" ht="13.5" x14ac:dyDescent="0.25">
      <c r="A22" s="335">
        <v>1160</v>
      </c>
      <c r="B22" s="3007" t="s">
        <v>637</v>
      </c>
      <c r="C22" s="3007"/>
      <c r="D22" s="399"/>
      <c r="E22" s="399"/>
      <c r="F22" s="649">
        <f>'905'!F22</f>
        <v>0</v>
      </c>
      <c r="H22" s="649" t="e">
        <f t="shared" si="1"/>
        <v>#N/A</v>
      </c>
      <c r="J22" s="413" t="e">
        <f t="shared" si="2"/>
        <v>#N/A</v>
      </c>
      <c r="L22" s="414" t="e">
        <f t="shared" si="3"/>
        <v>#N/A</v>
      </c>
      <c r="N22" s="26" t="str">
        <f t="shared" si="0"/>
        <v xml:space="preserve"> </v>
      </c>
    </row>
    <row r="23" spans="1:14" ht="13.5" x14ac:dyDescent="0.25">
      <c r="A23" s="335">
        <v>1175</v>
      </c>
      <c r="B23" s="2876" t="s">
        <v>4815</v>
      </c>
      <c r="C23" s="2876"/>
      <c r="D23" s="399"/>
      <c r="E23" s="399"/>
      <c r="F23" s="649">
        <f>'905'!F23</f>
        <v>0</v>
      </c>
      <c r="H23" s="649" t="e">
        <f t="shared" si="1"/>
        <v>#N/A</v>
      </c>
      <c r="J23" s="413" t="e">
        <f t="shared" si="2"/>
        <v>#N/A</v>
      </c>
      <c r="L23" s="414" t="e">
        <f t="shared" si="3"/>
        <v>#N/A</v>
      </c>
      <c r="N23" s="26" t="str">
        <f t="shared" si="0"/>
        <v xml:space="preserve"> </v>
      </c>
    </row>
    <row r="24" spans="1:14" ht="13.5" x14ac:dyDescent="0.25">
      <c r="A24" s="1129">
        <v>1190</v>
      </c>
      <c r="B24" s="2876" t="s">
        <v>638</v>
      </c>
      <c r="C24" s="2876"/>
      <c r="D24" s="398"/>
      <c r="E24" s="398"/>
      <c r="F24" s="649">
        <f>'905'!F24</f>
        <v>0</v>
      </c>
      <c r="H24" s="649" t="e">
        <f t="shared" si="1"/>
        <v>#N/A</v>
      </c>
      <c r="J24" s="413" t="e">
        <f t="shared" si="2"/>
        <v>#N/A</v>
      </c>
      <c r="L24" s="414" t="e">
        <f t="shared" si="3"/>
        <v>#N/A</v>
      </c>
      <c r="N24" s="26" t="str">
        <f t="shared" si="0"/>
        <v xml:space="preserve"> </v>
      </c>
    </row>
    <row r="25" spans="1:14" ht="13.5" x14ac:dyDescent="0.25">
      <c r="A25" s="1129">
        <v>1195</v>
      </c>
      <c r="B25" s="2876" t="s">
        <v>1531</v>
      </c>
      <c r="C25" s="2876"/>
      <c r="D25" s="398"/>
      <c r="E25" s="398"/>
      <c r="F25" s="649">
        <f>'905'!F25</f>
        <v>0</v>
      </c>
      <c r="H25" s="649" t="e">
        <f t="shared" si="1"/>
        <v>#N/A</v>
      </c>
      <c r="J25" s="413" t="e">
        <f t="shared" si="2"/>
        <v>#N/A</v>
      </c>
      <c r="L25" s="414" t="e">
        <f t="shared" si="3"/>
        <v>#N/A</v>
      </c>
      <c r="N25" s="26" t="str">
        <f t="shared" si="0"/>
        <v xml:space="preserve"> </v>
      </c>
    </row>
    <row r="26" spans="1:14" ht="13.5" x14ac:dyDescent="0.25">
      <c r="A26" s="1129">
        <v>1200</v>
      </c>
      <c r="B26" s="2876" t="s">
        <v>361</v>
      </c>
      <c r="C26" s="2876"/>
      <c r="D26" s="398"/>
      <c r="E26" s="398"/>
      <c r="F26" s="649">
        <f>'905'!F26</f>
        <v>0</v>
      </c>
      <c r="H26" s="649" t="e">
        <f t="shared" si="1"/>
        <v>#N/A</v>
      </c>
      <c r="J26" s="413" t="e">
        <f t="shared" si="2"/>
        <v>#N/A</v>
      </c>
      <c r="L26" s="414" t="e">
        <f t="shared" si="3"/>
        <v>#N/A</v>
      </c>
      <c r="N26" s="26" t="str">
        <f t="shared" si="0"/>
        <v xml:space="preserve"> </v>
      </c>
    </row>
    <row r="27" spans="1:14" ht="13.5" x14ac:dyDescent="0.25">
      <c r="A27" s="335">
        <v>1220</v>
      </c>
      <c r="B27" s="2876" t="s">
        <v>931</v>
      </c>
      <c r="C27" s="2876"/>
      <c r="D27" s="398"/>
      <c r="E27" s="398"/>
      <c r="F27" s="649">
        <f>'905'!F27</f>
        <v>0</v>
      </c>
      <c r="H27" s="649" t="e">
        <f t="shared" si="1"/>
        <v>#N/A</v>
      </c>
      <c r="J27" s="413" t="e">
        <f t="shared" si="2"/>
        <v>#N/A</v>
      </c>
      <c r="L27" s="414" t="e">
        <f t="shared" si="3"/>
        <v>#N/A</v>
      </c>
      <c r="N27" s="26" t="str">
        <f t="shared" si="0"/>
        <v xml:space="preserve"> </v>
      </c>
    </row>
    <row r="28" spans="1:14" ht="13.5" x14ac:dyDescent="0.25">
      <c r="A28" s="335">
        <v>1230</v>
      </c>
      <c r="B28" s="2876" t="s">
        <v>631</v>
      </c>
      <c r="C28" s="2876"/>
      <c r="D28" s="398"/>
      <c r="E28" s="398"/>
      <c r="F28" s="649">
        <f>'905'!F28</f>
        <v>0</v>
      </c>
      <c r="H28" s="649" t="e">
        <f t="shared" si="1"/>
        <v>#N/A</v>
      </c>
      <c r="J28" s="413" t="e">
        <f t="shared" ref="J28:J36" si="4">F28-H28</f>
        <v>#N/A</v>
      </c>
      <c r="L28" s="414" t="e">
        <f t="shared" ref="L28:L36" si="5">IF(H28=0,0,J28/H28)</f>
        <v>#N/A</v>
      </c>
      <c r="N28" s="26" t="str">
        <f t="shared" si="0"/>
        <v xml:space="preserve"> </v>
      </c>
    </row>
    <row r="29" spans="1:14" ht="13.5" x14ac:dyDescent="0.25">
      <c r="A29" s="335">
        <v>1210</v>
      </c>
      <c r="B29" s="2876" t="s">
        <v>549</v>
      </c>
      <c r="C29" s="2876"/>
      <c r="D29" s="398"/>
      <c r="E29" s="398"/>
      <c r="F29" s="649">
        <f>'905'!F29</f>
        <v>0</v>
      </c>
      <c r="H29" s="649" t="e">
        <f t="shared" si="1"/>
        <v>#N/A</v>
      </c>
      <c r="J29" s="413" t="e">
        <f t="shared" si="4"/>
        <v>#N/A</v>
      </c>
      <c r="L29" s="414" t="e">
        <f t="shared" si="5"/>
        <v>#N/A</v>
      </c>
      <c r="N29" s="26" t="str">
        <f t="shared" si="0"/>
        <v xml:space="preserve"> </v>
      </c>
    </row>
    <row r="30" spans="1:14" ht="13.5" x14ac:dyDescent="0.25">
      <c r="A30" s="335">
        <v>1211</v>
      </c>
      <c r="B30" s="2974" t="s">
        <v>5517</v>
      </c>
      <c r="C30" s="2974"/>
      <c r="D30" s="398"/>
      <c r="E30" s="398"/>
      <c r="F30" s="649">
        <f>'905'!F30</f>
        <v>0</v>
      </c>
      <c r="H30" s="649" t="e">
        <f t="shared" si="1"/>
        <v>#N/A</v>
      </c>
      <c r="J30" s="413" t="e">
        <f t="shared" si="4"/>
        <v>#N/A</v>
      </c>
      <c r="L30" s="414" t="e">
        <f t="shared" si="5"/>
        <v>#N/A</v>
      </c>
      <c r="N30" s="26" t="str">
        <f t="shared" si="0"/>
        <v xml:space="preserve"> </v>
      </c>
    </row>
    <row r="31" spans="1:14" ht="13.5" x14ac:dyDescent="0.25">
      <c r="A31" s="335">
        <v>1020</v>
      </c>
      <c r="B31" s="3009" t="s">
        <v>641</v>
      </c>
      <c r="C31" s="3009"/>
      <c r="D31" s="643"/>
      <c r="E31" s="643"/>
      <c r="F31" s="649">
        <f>'905'!F31</f>
        <v>0</v>
      </c>
      <c r="H31" s="649" t="e">
        <f t="shared" si="1"/>
        <v>#N/A</v>
      </c>
      <c r="J31" s="413" t="e">
        <f t="shared" si="4"/>
        <v>#N/A</v>
      </c>
      <c r="L31" s="414" t="e">
        <f t="shared" si="5"/>
        <v>#N/A</v>
      </c>
      <c r="N31" s="26" t="str">
        <f t="shared" si="0"/>
        <v xml:space="preserve"> </v>
      </c>
    </row>
    <row r="32" spans="1:14" ht="13.5" x14ac:dyDescent="0.25">
      <c r="A32" s="335">
        <v>1030</v>
      </c>
      <c r="B32" s="2876" t="s">
        <v>1532</v>
      </c>
      <c r="C32" s="3009"/>
      <c r="D32" s="643"/>
      <c r="E32" s="643"/>
      <c r="F32" s="393">
        <f>'905'!F32</f>
        <v>0</v>
      </c>
      <c r="H32" s="649" t="e">
        <f t="shared" si="1"/>
        <v>#N/A</v>
      </c>
      <c r="J32" s="413" t="e">
        <f>F32-H32</f>
        <v>#N/A</v>
      </c>
      <c r="L32" s="414" t="e">
        <f>IF(H32=0,0,J32/H32)</f>
        <v>#N/A</v>
      </c>
      <c r="N32" s="26" t="str">
        <f t="shared" si="0"/>
        <v xml:space="preserve"> </v>
      </c>
    </row>
    <row r="33" spans="1:15" ht="13.5" x14ac:dyDescent="0.25">
      <c r="A33" s="335">
        <v>1070</v>
      </c>
      <c r="B33" s="2876" t="s">
        <v>426</v>
      </c>
      <c r="C33" s="2876"/>
      <c r="D33" s="398"/>
      <c r="E33" s="398"/>
      <c r="F33" s="393">
        <f>'905'!F33</f>
        <v>0</v>
      </c>
      <c r="H33" s="649" t="e">
        <f t="shared" si="1"/>
        <v>#N/A</v>
      </c>
      <c r="J33" s="413" t="e">
        <f t="shared" si="4"/>
        <v>#N/A</v>
      </c>
      <c r="L33" s="414" t="e">
        <f t="shared" si="5"/>
        <v>#N/A</v>
      </c>
      <c r="N33" s="26" t="str">
        <f t="shared" si="0"/>
        <v xml:space="preserve"> </v>
      </c>
    </row>
    <row r="34" spans="1:15" ht="13.5" x14ac:dyDescent="0.25">
      <c r="A34" s="335">
        <v>1232</v>
      </c>
      <c r="B34" s="2876" t="s">
        <v>1346</v>
      </c>
      <c r="C34" s="2876"/>
      <c r="D34" s="398"/>
      <c r="E34" s="398"/>
      <c r="F34" s="393">
        <f>'905'!F34</f>
        <v>0</v>
      </c>
      <c r="H34" s="649" t="e">
        <f t="shared" si="1"/>
        <v>#N/A</v>
      </c>
      <c r="J34" s="413" t="e">
        <f>F34-H34</f>
        <v>#N/A</v>
      </c>
      <c r="L34" s="414" t="e">
        <f>IF(H34=0,0,J34/H34)</f>
        <v>#N/A</v>
      </c>
      <c r="N34" s="26" t="str">
        <f>IF($F$84=0," ",IF(AND(ABS(J34)&gt;$L$3,ABS(L34)&gt;$L$2),"C",IF(AND(ABS(F34+H34)&gt;0,H34=0,ABS(J34)&gt;$L$3),"C"," ")))</f>
        <v xml:space="preserve"> </v>
      </c>
    </row>
    <row r="35" spans="1:15" ht="13.5" x14ac:dyDescent="0.25">
      <c r="A35" s="335">
        <v>1235</v>
      </c>
      <c r="B35" s="2876" t="s">
        <v>4445</v>
      </c>
      <c r="C35" s="2876"/>
      <c r="D35" s="398"/>
      <c r="E35" s="398"/>
      <c r="F35" s="393">
        <f>'905'!F35</f>
        <v>0</v>
      </c>
      <c r="H35" s="649" t="e">
        <f t="shared" si="1"/>
        <v>#N/A</v>
      </c>
      <c r="J35" s="413" t="e">
        <f>F35-H35</f>
        <v>#N/A</v>
      </c>
      <c r="L35" s="414" t="e">
        <f>IF(H35=0,0,J35/H35)</f>
        <v>#N/A</v>
      </c>
      <c r="N35" s="26" t="str">
        <f>IF($F$84=0," ",IF(AND(ABS(J35)&gt;$L$3,ABS(L35)&gt;$L$2),"C",IF(AND(ABS(F35+H35)&gt;0,H35=0,ABS(J35)&gt;$L$3),"C"," ")))</f>
        <v xml:space="preserve"> </v>
      </c>
      <c r="O35" s="1610"/>
    </row>
    <row r="36" spans="1:15" ht="13.5" x14ac:dyDescent="0.25">
      <c r="A36" s="335">
        <v>1233</v>
      </c>
      <c r="B36" s="2876" t="s">
        <v>4441</v>
      </c>
      <c r="C36" s="2876"/>
      <c r="D36" s="398"/>
      <c r="E36" s="398"/>
      <c r="F36" s="393">
        <f>'905'!F36</f>
        <v>0</v>
      </c>
      <c r="H36" s="649" t="e">
        <f t="shared" si="1"/>
        <v>#N/A</v>
      </c>
      <c r="J36" s="413" t="e">
        <f t="shared" si="4"/>
        <v>#N/A</v>
      </c>
      <c r="L36" s="414" t="e">
        <f t="shared" si="5"/>
        <v>#N/A</v>
      </c>
      <c r="N36" s="26" t="str">
        <f t="shared" si="0"/>
        <v xml:space="preserve"> </v>
      </c>
      <c r="O36" s="1610"/>
    </row>
    <row r="37" spans="1:15" ht="13.5" x14ac:dyDescent="0.25">
      <c r="B37" s="2876" t="s">
        <v>639</v>
      </c>
      <c r="C37" s="2876"/>
      <c r="D37" s="398"/>
      <c r="E37" s="398"/>
      <c r="F37" s="661">
        <f>SUM(F13:F36)</f>
        <v>0</v>
      </c>
      <c r="H37" s="661" t="e">
        <f>SUM(H13:H36)</f>
        <v>#N/A</v>
      </c>
      <c r="J37" s="413" t="e">
        <f>F37-H37</f>
        <v>#N/A</v>
      </c>
      <c r="L37" s="414" t="e">
        <f>IF(H37=0,0,J37/H37)</f>
        <v>#N/A</v>
      </c>
    </row>
    <row r="38" spans="1:15" ht="6" customHeight="1" x14ac:dyDescent="0.25">
      <c r="B38" s="415"/>
      <c r="C38" s="415"/>
      <c r="D38" s="415"/>
      <c r="E38" s="415"/>
      <c r="L38" s="414"/>
    </row>
    <row r="39" spans="1:15" ht="13.5" x14ac:dyDescent="0.25">
      <c r="B39" s="395" t="s">
        <v>640</v>
      </c>
      <c r="C39" s="395"/>
      <c r="D39" s="395"/>
      <c r="E39" s="395"/>
      <c r="L39" s="414"/>
    </row>
    <row r="40" spans="1:15" ht="13.5" x14ac:dyDescent="0.25">
      <c r="A40" s="335">
        <v>1300</v>
      </c>
      <c r="B40" s="2876" t="s">
        <v>548</v>
      </c>
      <c r="C40" s="2876"/>
      <c r="D40" s="398"/>
      <c r="E40" s="398"/>
      <c r="F40" s="649">
        <f>'905'!F40</f>
        <v>0</v>
      </c>
      <c r="H40" s="649" t="e">
        <f>INDEX(PY905Data,MATCH($A40,PY905Row,0),MATCH($C$5,PY905Col,0))</f>
        <v>#N/A</v>
      </c>
      <c r="J40" s="413" t="e">
        <f>F40-H40</f>
        <v>#N/A</v>
      </c>
      <c r="L40" s="414" t="e">
        <f>IF(H40=0,0,J40/H40)</f>
        <v>#N/A</v>
      </c>
      <c r="N40" s="26" t="str">
        <f t="shared" ref="N40:N66" si="6">IF($F$84=0," ",IF(AND(ABS(J40)&gt;$L$3,ABS(L40)&gt;$L$2),"C",IF(AND(ABS(F40+H40)&gt;0,H40=0,ABS(J40)&gt;$L$3),"C"," ")))</f>
        <v xml:space="preserve"> </v>
      </c>
    </row>
    <row r="41" spans="1:15" ht="13.5" x14ac:dyDescent="0.25">
      <c r="A41" s="335">
        <v>1310</v>
      </c>
      <c r="B41" s="2876" t="s">
        <v>1297</v>
      </c>
      <c r="C41" s="2876"/>
      <c r="D41" s="398"/>
      <c r="E41" s="398"/>
      <c r="F41" s="649">
        <f>'905'!F41</f>
        <v>0</v>
      </c>
      <c r="H41" s="649" t="e">
        <f>INDEX(PY905Data,MATCH($A41,PY905Row,0),MATCH($C$5,PY905Col,0))</f>
        <v>#N/A</v>
      </c>
      <c r="J41" s="413" t="e">
        <f>F41-H41</f>
        <v>#N/A</v>
      </c>
      <c r="L41" s="414" t="e">
        <f>IF(H41=0,0,J41/H41)</f>
        <v>#N/A</v>
      </c>
      <c r="N41" s="26" t="str">
        <f t="shared" si="6"/>
        <v xml:space="preserve"> </v>
      </c>
    </row>
    <row r="42" spans="1:15" ht="13.5" x14ac:dyDescent="0.25">
      <c r="A42" s="335"/>
      <c r="B42" s="335" t="s">
        <v>198</v>
      </c>
      <c r="C42" s="335"/>
      <c r="D42" s="335"/>
      <c r="E42" s="335"/>
      <c r="J42" s="413"/>
      <c r="L42" s="414"/>
    </row>
    <row r="43" spans="1:15" ht="13.5" x14ac:dyDescent="0.25">
      <c r="A43" s="335">
        <v>1340</v>
      </c>
      <c r="B43" s="3007" t="s">
        <v>199</v>
      </c>
      <c r="C43" s="3007"/>
      <c r="D43" s="399"/>
      <c r="E43" s="399"/>
      <c r="F43" s="649">
        <f>'905'!F43</f>
        <v>0</v>
      </c>
      <c r="H43" s="649" t="e">
        <f t="shared" ref="H43:H53" si="7">INDEX(PY905Data,MATCH($A43,PY905Row,0),MATCH($C$5,PY905Col,0))</f>
        <v>#N/A</v>
      </c>
      <c r="J43" s="413" t="e">
        <f t="shared" ref="J43:J59" si="8">F43-H43</f>
        <v>#N/A</v>
      </c>
      <c r="L43" s="414" t="e">
        <f t="shared" ref="L43:L59" si="9">IF(H43=0,0,J43/H43)</f>
        <v>#N/A</v>
      </c>
      <c r="N43" s="26" t="str">
        <f t="shared" si="6"/>
        <v xml:space="preserve"> </v>
      </c>
    </row>
    <row r="44" spans="1:15" ht="13.5" x14ac:dyDescent="0.25">
      <c r="A44" s="335">
        <v>1345</v>
      </c>
      <c r="B44" s="3007" t="s">
        <v>312</v>
      </c>
      <c r="C44" s="3007"/>
      <c r="D44" s="399"/>
      <c r="E44" s="399"/>
      <c r="F44" s="649">
        <f>'905'!F44</f>
        <v>0</v>
      </c>
      <c r="H44" s="649" t="e">
        <f t="shared" si="7"/>
        <v>#N/A</v>
      </c>
      <c r="J44" s="413" t="e">
        <f t="shared" si="8"/>
        <v>#N/A</v>
      </c>
      <c r="L44" s="414" t="e">
        <f t="shared" si="9"/>
        <v>#N/A</v>
      </c>
      <c r="N44" s="26" t="str">
        <f t="shared" si="6"/>
        <v xml:space="preserve"> </v>
      </c>
    </row>
    <row r="45" spans="1:15" ht="13.5" x14ac:dyDescent="0.25">
      <c r="A45" s="335">
        <v>1350</v>
      </c>
      <c r="B45" s="3007" t="s">
        <v>200</v>
      </c>
      <c r="C45" s="3007"/>
      <c r="D45" s="399"/>
      <c r="E45" s="399"/>
      <c r="F45" s="649">
        <f>'905'!F45</f>
        <v>0</v>
      </c>
      <c r="H45" s="649" t="e">
        <f t="shared" si="7"/>
        <v>#N/A</v>
      </c>
      <c r="J45" s="413" t="e">
        <f t="shared" si="8"/>
        <v>#N/A</v>
      </c>
      <c r="L45" s="414" t="e">
        <f t="shared" si="9"/>
        <v>#N/A</v>
      </c>
      <c r="N45" s="26" t="str">
        <f t="shared" si="6"/>
        <v xml:space="preserve"> </v>
      </c>
    </row>
    <row r="46" spans="1:15" ht="13.5" x14ac:dyDescent="0.25">
      <c r="A46" s="335">
        <v>1370</v>
      </c>
      <c r="B46" s="3007" t="s">
        <v>637</v>
      </c>
      <c r="C46" s="3007"/>
      <c r="D46" s="399"/>
      <c r="E46" s="399"/>
      <c r="F46" s="649">
        <f>'905'!F46</f>
        <v>0</v>
      </c>
      <c r="H46" s="649" t="e">
        <f t="shared" si="7"/>
        <v>#N/A</v>
      </c>
      <c r="J46" s="413" t="e">
        <f t="shared" si="8"/>
        <v>#N/A</v>
      </c>
      <c r="L46" s="414" t="e">
        <f t="shared" si="9"/>
        <v>#N/A</v>
      </c>
      <c r="N46" s="26" t="str">
        <f t="shared" si="6"/>
        <v xml:space="preserve"> </v>
      </c>
    </row>
    <row r="47" spans="1:15" ht="13.5" x14ac:dyDescent="0.25">
      <c r="A47" s="335">
        <v>1400</v>
      </c>
      <c r="B47" s="2876" t="s">
        <v>549</v>
      </c>
      <c r="C47" s="2876"/>
      <c r="D47" s="398"/>
      <c r="E47" s="398"/>
      <c r="F47" s="649">
        <f>'905'!F47</f>
        <v>0</v>
      </c>
      <c r="H47" s="649" t="e">
        <f t="shared" si="7"/>
        <v>#N/A</v>
      </c>
      <c r="J47" s="413" t="e">
        <f t="shared" si="8"/>
        <v>#N/A</v>
      </c>
      <c r="L47" s="414" t="e">
        <f t="shared" si="9"/>
        <v>#N/A</v>
      </c>
      <c r="N47" s="26" t="str">
        <f t="shared" si="6"/>
        <v xml:space="preserve"> </v>
      </c>
    </row>
    <row r="48" spans="1:15" ht="13.5" x14ac:dyDescent="0.25">
      <c r="A48" s="335">
        <v>1401</v>
      </c>
      <c r="B48" s="2974" t="s">
        <v>5517</v>
      </c>
      <c r="C48" s="2974"/>
      <c r="D48" s="398"/>
      <c r="E48" s="398"/>
      <c r="F48" s="649">
        <f>'905'!F48</f>
        <v>0</v>
      </c>
      <c r="H48" s="649" t="e">
        <f t="shared" si="7"/>
        <v>#N/A</v>
      </c>
      <c r="J48" s="413" t="e">
        <f t="shared" si="8"/>
        <v>#N/A</v>
      </c>
      <c r="L48" s="414" t="e">
        <f t="shared" si="9"/>
        <v>#N/A</v>
      </c>
      <c r="N48" s="26" t="str">
        <f t="shared" si="6"/>
        <v xml:space="preserve"> </v>
      </c>
    </row>
    <row r="49" spans="1:15" ht="13.5" x14ac:dyDescent="0.25">
      <c r="A49" s="335">
        <v>1415</v>
      </c>
      <c r="B49" s="2876" t="s">
        <v>1417</v>
      </c>
      <c r="C49" s="2876"/>
      <c r="D49" s="398"/>
      <c r="E49" s="398"/>
      <c r="F49" s="649">
        <f>'905'!F49</f>
        <v>0</v>
      </c>
      <c r="H49" s="649" t="e">
        <f t="shared" si="7"/>
        <v>#N/A</v>
      </c>
      <c r="J49" s="413" t="e">
        <f t="shared" si="8"/>
        <v>#N/A</v>
      </c>
      <c r="L49" s="414" t="e">
        <f t="shared" si="9"/>
        <v>#N/A</v>
      </c>
      <c r="N49" s="26" t="str">
        <f t="shared" si="6"/>
        <v xml:space="preserve"> </v>
      </c>
    </row>
    <row r="50" spans="1:15" ht="13.5" x14ac:dyDescent="0.25">
      <c r="A50" s="335">
        <v>1420</v>
      </c>
      <c r="B50" s="2876" t="s">
        <v>3699</v>
      </c>
      <c r="C50" s="2876"/>
      <c r="D50" s="398"/>
      <c r="E50" s="398"/>
      <c r="F50" s="649">
        <f>'905'!F50</f>
        <v>0</v>
      </c>
      <c r="H50" s="649" t="e">
        <f t="shared" si="7"/>
        <v>#N/A</v>
      </c>
      <c r="J50" s="413" t="e">
        <f t="shared" si="8"/>
        <v>#N/A</v>
      </c>
      <c r="L50" s="414" t="e">
        <f t="shared" si="9"/>
        <v>#N/A</v>
      </c>
      <c r="N50" s="26" t="str">
        <f t="shared" si="6"/>
        <v xml:space="preserve"> </v>
      </c>
    </row>
    <row r="51" spans="1:15" ht="13.5" x14ac:dyDescent="0.25">
      <c r="A51" s="335">
        <v>1270</v>
      </c>
      <c r="B51" s="2876" t="s">
        <v>641</v>
      </c>
      <c r="C51" s="2876"/>
      <c r="D51" s="398"/>
      <c r="E51" s="398"/>
      <c r="F51" s="649">
        <f>'905'!F51</f>
        <v>0</v>
      </c>
      <c r="H51" s="649" t="e">
        <f t="shared" si="7"/>
        <v>#N/A</v>
      </c>
      <c r="J51" s="413" t="e">
        <f t="shared" si="8"/>
        <v>#N/A</v>
      </c>
      <c r="L51" s="414" t="e">
        <f t="shared" si="9"/>
        <v>#N/A</v>
      </c>
      <c r="N51" s="26" t="str">
        <f t="shared" si="6"/>
        <v xml:space="preserve"> </v>
      </c>
    </row>
    <row r="52" spans="1:15" ht="13.5" x14ac:dyDescent="0.25">
      <c r="A52" s="335">
        <v>1280</v>
      </c>
      <c r="B52" s="2876" t="s">
        <v>1422</v>
      </c>
      <c r="C52" s="2876"/>
      <c r="D52" s="398"/>
      <c r="E52" s="398"/>
      <c r="F52" s="649">
        <f>'905'!F52</f>
        <v>0</v>
      </c>
      <c r="H52" s="649" t="e">
        <f t="shared" si="7"/>
        <v>#N/A</v>
      </c>
      <c r="J52" s="413" t="e">
        <f t="shared" si="8"/>
        <v>#N/A</v>
      </c>
      <c r="L52" s="414" t="e">
        <f t="shared" si="9"/>
        <v>#N/A</v>
      </c>
      <c r="N52" s="26" t="str">
        <f t="shared" si="6"/>
        <v xml:space="preserve"> </v>
      </c>
    </row>
    <row r="53" spans="1:15" ht="13.5" x14ac:dyDescent="0.25">
      <c r="A53" s="335">
        <v>1410</v>
      </c>
      <c r="B53" s="2876" t="s">
        <v>642</v>
      </c>
      <c r="C53" s="2876"/>
      <c r="D53" s="398"/>
      <c r="E53" s="398"/>
      <c r="F53" s="649">
        <f>'905'!F53</f>
        <v>0</v>
      </c>
      <c r="H53" s="649" t="e">
        <f t="shared" si="7"/>
        <v>#N/A</v>
      </c>
      <c r="J53" s="413" t="e">
        <f t="shared" si="8"/>
        <v>#N/A</v>
      </c>
      <c r="L53" s="414" t="e">
        <f t="shared" si="9"/>
        <v>#N/A</v>
      </c>
      <c r="N53" s="26" t="str">
        <f t="shared" si="6"/>
        <v xml:space="preserve"> </v>
      </c>
    </row>
    <row r="54" spans="1:15" ht="13.5" x14ac:dyDescent="0.25">
      <c r="A54" s="335"/>
      <c r="B54" s="2876" t="s">
        <v>1224</v>
      </c>
      <c r="C54" s="2876"/>
      <c r="D54" s="398"/>
      <c r="E54" s="398"/>
      <c r="F54" s="649">
        <f>'905'!F54</f>
        <v>0</v>
      </c>
      <c r="J54" s="413">
        <f t="shared" si="8"/>
        <v>0</v>
      </c>
      <c r="L54" s="414">
        <f t="shared" si="9"/>
        <v>0</v>
      </c>
      <c r="N54" s="26" t="str">
        <f t="shared" si="6"/>
        <v xml:space="preserve"> </v>
      </c>
    </row>
    <row r="55" spans="1:15" ht="13.5" x14ac:dyDescent="0.25">
      <c r="A55" s="1129">
        <v>1395</v>
      </c>
      <c r="B55" s="2876" t="s">
        <v>1213</v>
      </c>
      <c r="C55" s="2876"/>
      <c r="D55" s="398"/>
      <c r="E55" s="398"/>
      <c r="F55" s="649">
        <f>'905'!F55</f>
        <v>0</v>
      </c>
      <c r="H55" s="649" t="e">
        <f>INDEX(PY905Data,MATCH($A55,PY905Row,0),MATCH($C$5,PY905Col,0))</f>
        <v>#N/A</v>
      </c>
      <c r="J55" s="413" t="e">
        <f t="shared" si="8"/>
        <v>#N/A</v>
      </c>
      <c r="L55" s="414" t="e">
        <f t="shared" si="9"/>
        <v>#N/A</v>
      </c>
      <c r="N55" s="26" t="str">
        <f t="shared" si="6"/>
        <v xml:space="preserve"> </v>
      </c>
    </row>
    <row r="56" spans="1:15" ht="13.5" x14ac:dyDescent="0.25">
      <c r="A56" s="1129">
        <v>1390</v>
      </c>
      <c r="B56" s="2876" t="s">
        <v>646</v>
      </c>
      <c r="C56" s="2876"/>
      <c r="D56" s="398"/>
      <c r="E56" s="398"/>
      <c r="F56" s="649">
        <f>'905'!F56</f>
        <v>0</v>
      </c>
      <c r="H56" s="649" t="e">
        <f>INDEX(PY905Data,MATCH($A56,PY905Row,0),MATCH($C$5,PY905Col,0))</f>
        <v>#N/A</v>
      </c>
      <c r="J56" s="413" t="e">
        <f t="shared" si="8"/>
        <v>#N/A</v>
      </c>
      <c r="L56" s="414" t="e">
        <f t="shared" si="9"/>
        <v>#N/A</v>
      </c>
      <c r="N56" s="26" t="str">
        <f t="shared" si="6"/>
        <v xml:space="preserve"> </v>
      </c>
    </row>
    <row r="57" spans="1:15" ht="13.5" x14ac:dyDescent="0.25">
      <c r="A57" s="335">
        <v>1432</v>
      </c>
      <c r="B57" s="2876" t="s">
        <v>1346</v>
      </c>
      <c r="C57" s="2876"/>
      <c r="D57" s="398"/>
      <c r="E57" s="398"/>
      <c r="F57" s="649">
        <f>'905'!F57</f>
        <v>0</v>
      </c>
      <c r="H57" s="649" t="e">
        <f>INDEX(PY905Data,MATCH($A57,PY905Row,0),MATCH($C$5,PY905Col,0))</f>
        <v>#N/A</v>
      </c>
      <c r="J57" s="413" t="e">
        <f>F57-H57</f>
        <v>#N/A</v>
      </c>
      <c r="L57" s="414" t="e">
        <f>IF(H57=0,0,J57/H57)</f>
        <v>#N/A</v>
      </c>
      <c r="N57" s="26" t="str">
        <f>IF($F$84=0," ",IF(AND(ABS(J57)&gt;$L$3,ABS(L57)&gt;$L$2),"C",IF(AND(ABS(F57+H57)&gt;0,H57=0,ABS(J57)&gt;$L$3),"C"," ")))</f>
        <v xml:space="preserve"> </v>
      </c>
    </row>
    <row r="58" spans="1:15" ht="13.5" x14ac:dyDescent="0.25">
      <c r="A58" s="335">
        <v>1434</v>
      </c>
      <c r="B58" s="2876" t="s">
        <v>4445</v>
      </c>
      <c r="C58" s="2876"/>
      <c r="D58" s="398"/>
      <c r="E58" s="398"/>
      <c r="F58" s="649">
        <f>'905'!F58</f>
        <v>0</v>
      </c>
      <c r="H58" s="649" t="e">
        <f>INDEX(PY905Data,MATCH($A58,PY905Row,0),MATCH($C$5,PY905Col,0))</f>
        <v>#N/A</v>
      </c>
      <c r="J58" s="413" t="e">
        <f>F58-H58</f>
        <v>#N/A</v>
      </c>
      <c r="L58" s="414" t="e">
        <f>IF(H58=0,0,J58/H58)</f>
        <v>#N/A</v>
      </c>
      <c r="N58" s="26" t="str">
        <f>IF($F$84=0," ",IF(AND(ABS(J58)&gt;$L$3,ABS(L58)&gt;$L$2),"C",IF(AND(ABS(F58+H58)&gt;0,H58=0,ABS(J58)&gt;$L$3),"C"," ")))</f>
        <v xml:space="preserve"> </v>
      </c>
      <c r="O58" s="1610"/>
    </row>
    <row r="59" spans="1:15" ht="13.5" x14ac:dyDescent="0.25">
      <c r="A59" s="335">
        <v>1433</v>
      </c>
      <c r="B59" s="2876" t="s">
        <v>4441</v>
      </c>
      <c r="C59" s="2876"/>
      <c r="D59" s="398"/>
      <c r="E59" s="398"/>
      <c r="F59" s="649">
        <f>'905'!F59</f>
        <v>0</v>
      </c>
      <c r="H59" s="649" t="e">
        <f>INDEX(PY905Data,MATCH($A59,PY905Row,0),MATCH($C$5,PY905Col,0))</f>
        <v>#N/A</v>
      </c>
      <c r="J59" s="413" t="e">
        <f t="shared" si="8"/>
        <v>#N/A</v>
      </c>
      <c r="L59" s="414" t="e">
        <f t="shared" si="9"/>
        <v>#N/A</v>
      </c>
      <c r="N59" s="26" t="str">
        <f t="shared" si="6"/>
        <v xml:space="preserve"> </v>
      </c>
      <c r="O59" s="1610"/>
    </row>
    <row r="60" spans="1:15" ht="13.5" x14ac:dyDescent="0.25">
      <c r="A60" s="335"/>
      <c r="B60" s="335" t="s">
        <v>1533</v>
      </c>
      <c r="C60" s="335"/>
      <c r="D60" s="335"/>
      <c r="E60" s="335"/>
      <c r="J60" s="413"/>
      <c r="L60" s="414"/>
    </row>
    <row r="61" spans="1:15" ht="13.5" x14ac:dyDescent="0.25">
      <c r="A61" s="1129">
        <v>1480</v>
      </c>
      <c r="B61" s="3007" t="s">
        <v>1407</v>
      </c>
      <c r="C61" s="3007"/>
      <c r="D61" s="399"/>
      <c r="E61" s="399"/>
      <c r="F61" s="649">
        <f>'905'!F61</f>
        <v>0</v>
      </c>
      <c r="H61" s="649" t="e">
        <f t="shared" ref="H61:H66" si="10">INDEX(PY905Data,MATCH($A61,PY905Row,0),MATCH($C$5,PY905Col,0))</f>
        <v>#N/A</v>
      </c>
      <c r="J61" s="413" t="e">
        <f t="shared" ref="J61:J67" si="11">F61-H61</f>
        <v>#N/A</v>
      </c>
      <c r="L61" s="414" t="e">
        <f t="shared" ref="L61:L67" si="12">IF(H61=0,0,J61/H61)</f>
        <v>#N/A</v>
      </c>
      <c r="N61" s="26" t="str">
        <f t="shared" si="6"/>
        <v xml:space="preserve"> </v>
      </c>
    </row>
    <row r="62" spans="1:15" ht="13.5" x14ac:dyDescent="0.25">
      <c r="A62" s="1129">
        <v>1490</v>
      </c>
      <c r="B62" s="3007" t="s">
        <v>1408</v>
      </c>
      <c r="C62" s="3007"/>
      <c r="D62" s="399"/>
      <c r="E62" s="399"/>
      <c r="F62" s="649">
        <f>'905'!F62</f>
        <v>0</v>
      </c>
      <c r="H62" s="649" t="e">
        <f t="shared" si="10"/>
        <v>#N/A</v>
      </c>
      <c r="J62" s="413" t="e">
        <f t="shared" si="11"/>
        <v>#N/A</v>
      </c>
      <c r="L62" s="414" t="e">
        <f t="shared" si="12"/>
        <v>#N/A</v>
      </c>
      <c r="N62" s="26" t="str">
        <f t="shared" si="6"/>
        <v xml:space="preserve"> </v>
      </c>
    </row>
    <row r="63" spans="1:15" ht="13.5" x14ac:dyDescent="0.25">
      <c r="A63" s="1129">
        <v>1500</v>
      </c>
      <c r="B63" s="3007" t="s">
        <v>1409</v>
      </c>
      <c r="C63" s="3007"/>
      <c r="D63" s="399"/>
      <c r="E63" s="399"/>
      <c r="F63" s="649">
        <f>'905'!F63</f>
        <v>0</v>
      </c>
      <c r="H63" s="649" t="e">
        <f t="shared" si="10"/>
        <v>#N/A</v>
      </c>
      <c r="J63" s="413" t="e">
        <f t="shared" si="11"/>
        <v>#N/A</v>
      </c>
      <c r="L63" s="414" t="e">
        <f t="shared" si="12"/>
        <v>#N/A</v>
      </c>
      <c r="N63" s="26" t="str">
        <f t="shared" si="6"/>
        <v xml:space="preserve"> </v>
      </c>
    </row>
    <row r="64" spans="1:15" ht="13.5" x14ac:dyDescent="0.25">
      <c r="A64" s="1129">
        <v>1503</v>
      </c>
      <c r="B64" s="3007" t="s">
        <v>1534</v>
      </c>
      <c r="C64" s="3007"/>
      <c r="D64" s="399"/>
      <c r="E64" s="399"/>
      <c r="F64" s="649">
        <f>'905'!F64</f>
        <v>0</v>
      </c>
      <c r="H64" s="649" t="e">
        <f t="shared" si="10"/>
        <v>#N/A</v>
      </c>
      <c r="J64" s="413" t="e">
        <f t="shared" si="11"/>
        <v>#N/A</v>
      </c>
      <c r="L64" s="414" t="e">
        <f t="shared" si="12"/>
        <v>#N/A</v>
      </c>
      <c r="N64" s="26" t="str">
        <f t="shared" si="6"/>
        <v xml:space="preserve"> </v>
      </c>
    </row>
    <row r="65" spans="1:14" ht="13.5" x14ac:dyDescent="0.25">
      <c r="A65" s="1129">
        <v>1505</v>
      </c>
      <c r="B65" s="3007" t="s">
        <v>1410</v>
      </c>
      <c r="C65" s="3007"/>
      <c r="D65" s="399"/>
      <c r="E65" s="399"/>
      <c r="F65" s="649">
        <f>'905'!F65</f>
        <v>0</v>
      </c>
      <c r="H65" s="649" t="e">
        <f t="shared" si="10"/>
        <v>#N/A</v>
      </c>
      <c r="J65" s="413" t="e">
        <f t="shared" si="11"/>
        <v>#N/A</v>
      </c>
      <c r="L65" s="414" t="e">
        <f t="shared" si="12"/>
        <v>#N/A</v>
      </c>
      <c r="N65" s="26" t="str">
        <f t="shared" si="6"/>
        <v xml:space="preserve"> </v>
      </c>
    </row>
    <row r="66" spans="1:14" ht="13.5" x14ac:dyDescent="0.25">
      <c r="A66" s="1129">
        <v>1506</v>
      </c>
      <c r="B66" s="3007" t="s">
        <v>1806</v>
      </c>
      <c r="C66" s="3007"/>
      <c r="D66" s="399"/>
      <c r="E66" s="399"/>
      <c r="F66" s="651">
        <f>'905'!F66</f>
        <v>0</v>
      </c>
      <c r="H66" s="649" t="e">
        <f t="shared" si="10"/>
        <v>#N/A</v>
      </c>
      <c r="J66" s="413" t="e">
        <f>F66-H66</f>
        <v>#N/A</v>
      </c>
      <c r="L66" s="414" t="e">
        <f>IF(H66=0,0,J66/H66)</f>
        <v>#N/A</v>
      </c>
      <c r="N66" s="26" t="str">
        <f t="shared" si="6"/>
        <v xml:space="preserve"> </v>
      </c>
    </row>
    <row r="67" spans="1:14" ht="13.5" x14ac:dyDescent="0.25">
      <c r="A67" s="335"/>
      <c r="B67" s="2876" t="s">
        <v>1535</v>
      </c>
      <c r="C67" s="2876"/>
      <c r="D67" s="398"/>
      <c r="E67" s="398"/>
      <c r="F67" s="661">
        <f>SUM(F61:F66)</f>
        <v>0</v>
      </c>
      <c r="H67" s="661" t="e">
        <f>SUM(H61:H66)</f>
        <v>#N/A</v>
      </c>
      <c r="J67" s="413" t="e">
        <f t="shared" si="11"/>
        <v>#N/A</v>
      </c>
      <c r="L67" s="414" t="e">
        <f t="shared" si="12"/>
        <v>#N/A</v>
      </c>
    </row>
    <row r="68" spans="1:14" ht="13.5" x14ac:dyDescent="0.25">
      <c r="A68" s="335"/>
      <c r="B68" s="335" t="s">
        <v>1536</v>
      </c>
      <c r="C68" s="335"/>
      <c r="D68" s="335"/>
      <c r="E68" s="335"/>
      <c r="J68" s="413"/>
      <c r="L68" s="414"/>
    </row>
    <row r="69" spans="1:14" ht="13.5" x14ac:dyDescent="0.25">
      <c r="A69" s="1129">
        <v>1520</v>
      </c>
      <c r="B69" s="3007" t="s">
        <v>617</v>
      </c>
      <c r="C69" s="3007"/>
      <c r="D69" s="399"/>
      <c r="E69" s="399"/>
      <c r="F69" s="649">
        <f>'905'!F69</f>
        <v>0</v>
      </c>
      <c r="H69" s="649" t="e">
        <f t="shared" ref="H69:H80" si="13">INDEX(PY905Data,MATCH($A69,PY905Row,0),MATCH($C$5,PY905Col,0))</f>
        <v>#N/A</v>
      </c>
      <c r="J69" s="413" t="e">
        <f t="shared" ref="J69:J82" si="14">F69-H69</f>
        <v>#N/A</v>
      </c>
      <c r="L69" s="414" t="e">
        <f t="shared" ref="L69:L82" si="15">IF(H69=0,0,J69/H69)</f>
        <v>#N/A</v>
      </c>
      <c r="N69" s="26" t="str">
        <f t="shared" ref="N69:N80" si="16">IF($F$84=0," ",IF(AND(ABS(J69)&gt;$L$3,ABS(L69)&gt;$L$2),"C",IF(AND(ABS(F69+H69)&gt;0,H69=0,ABS(J69)&gt;$L$3),"C"," ")))</f>
        <v xml:space="preserve"> </v>
      </c>
    </row>
    <row r="70" spans="1:14" ht="13.5" x14ac:dyDescent="0.25">
      <c r="A70" s="1129">
        <v>1530</v>
      </c>
      <c r="B70" s="3007" t="s">
        <v>1411</v>
      </c>
      <c r="C70" s="3007"/>
      <c r="D70" s="399"/>
      <c r="E70" s="399"/>
      <c r="F70" s="649">
        <f>'905'!F70</f>
        <v>0</v>
      </c>
      <c r="H70" s="649" t="e">
        <f t="shared" si="13"/>
        <v>#N/A</v>
      </c>
      <c r="J70" s="413" t="e">
        <f t="shared" si="14"/>
        <v>#N/A</v>
      </c>
      <c r="L70" s="414" t="e">
        <f t="shared" si="15"/>
        <v>#N/A</v>
      </c>
      <c r="N70" s="26" t="str">
        <f t="shared" si="16"/>
        <v xml:space="preserve"> </v>
      </c>
    </row>
    <row r="71" spans="1:14" ht="13.5" x14ac:dyDescent="0.25">
      <c r="A71" s="1129">
        <v>1540</v>
      </c>
      <c r="B71" s="3007" t="s">
        <v>1537</v>
      </c>
      <c r="C71" s="3007"/>
      <c r="D71" s="399"/>
      <c r="E71" s="399"/>
      <c r="F71" s="649">
        <f>'905'!F71</f>
        <v>0</v>
      </c>
      <c r="H71" s="649" t="e">
        <f t="shared" si="13"/>
        <v>#N/A</v>
      </c>
      <c r="J71" s="413" t="e">
        <f t="shared" si="14"/>
        <v>#N/A</v>
      </c>
      <c r="L71" s="414" t="e">
        <f t="shared" si="15"/>
        <v>#N/A</v>
      </c>
      <c r="N71" s="26" t="str">
        <f t="shared" si="16"/>
        <v xml:space="preserve"> </v>
      </c>
    </row>
    <row r="72" spans="1:14" ht="13.5" x14ac:dyDescent="0.25">
      <c r="A72" s="1129">
        <v>1550</v>
      </c>
      <c r="B72" s="3007" t="s">
        <v>1412</v>
      </c>
      <c r="C72" s="3007"/>
      <c r="D72" s="399"/>
      <c r="E72" s="399"/>
      <c r="F72" s="649">
        <f>'905'!F72</f>
        <v>0</v>
      </c>
      <c r="H72" s="649" t="e">
        <f t="shared" si="13"/>
        <v>#N/A</v>
      </c>
      <c r="J72" s="413" t="e">
        <f t="shared" si="14"/>
        <v>#N/A</v>
      </c>
      <c r="L72" s="414" t="e">
        <f t="shared" si="15"/>
        <v>#N/A</v>
      </c>
      <c r="N72" s="26" t="str">
        <f t="shared" si="16"/>
        <v xml:space="preserve"> </v>
      </c>
    </row>
    <row r="73" spans="1:14" ht="13.5" x14ac:dyDescent="0.25">
      <c r="A73" s="1129">
        <v>1481</v>
      </c>
      <c r="B73" s="3006" t="s">
        <v>5518</v>
      </c>
      <c r="C73" s="3006"/>
      <c r="D73" s="399"/>
      <c r="E73" s="399"/>
      <c r="F73" s="649">
        <f>'905'!F73</f>
        <v>0</v>
      </c>
      <c r="H73" s="649" t="e">
        <f t="shared" si="13"/>
        <v>#N/A</v>
      </c>
      <c r="J73" s="413" t="e">
        <f t="shared" si="14"/>
        <v>#N/A</v>
      </c>
      <c r="L73" s="414" t="e">
        <f t="shared" si="15"/>
        <v>#N/A</v>
      </c>
      <c r="N73" s="26" t="str">
        <f t="shared" si="16"/>
        <v xml:space="preserve"> </v>
      </c>
    </row>
    <row r="74" spans="1:14" ht="13.5" x14ac:dyDescent="0.25">
      <c r="A74" s="1129">
        <v>1521</v>
      </c>
      <c r="B74" s="3006" t="s">
        <v>5519</v>
      </c>
      <c r="C74" s="3006"/>
      <c r="D74" s="399"/>
      <c r="E74" s="399"/>
      <c r="F74" s="649">
        <f>'905'!F74</f>
        <v>0</v>
      </c>
      <c r="H74" s="649" t="e">
        <f t="shared" si="13"/>
        <v>#N/A</v>
      </c>
      <c r="J74" s="413" t="e">
        <f t="shared" si="14"/>
        <v>#N/A</v>
      </c>
      <c r="L74" s="414" t="e">
        <f t="shared" si="15"/>
        <v>#N/A</v>
      </c>
      <c r="N74" s="26" t="str">
        <f t="shared" si="16"/>
        <v xml:space="preserve"> </v>
      </c>
    </row>
    <row r="75" spans="1:14" ht="13.5" x14ac:dyDescent="0.25">
      <c r="A75" s="1129">
        <v>1531</v>
      </c>
      <c r="B75" s="3006" t="s">
        <v>5520</v>
      </c>
      <c r="C75" s="3006"/>
      <c r="D75" s="399"/>
      <c r="E75" s="399"/>
      <c r="F75" s="649">
        <f>'905'!F75</f>
        <v>0</v>
      </c>
      <c r="H75" s="649" t="e">
        <f t="shared" si="13"/>
        <v>#N/A</v>
      </c>
      <c r="J75" s="413" t="e">
        <f t="shared" si="14"/>
        <v>#N/A</v>
      </c>
      <c r="L75" s="414" t="e">
        <f t="shared" si="15"/>
        <v>#N/A</v>
      </c>
      <c r="N75" s="26" t="str">
        <f t="shared" si="16"/>
        <v xml:space="preserve"> </v>
      </c>
    </row>
    <row r="76" spans="1:14" ht="13.5" x14ac:dyDescent="0.25">
      <c r="A76" s="1129">
        <v>1551</v>
      </c>
      <c r="B76" s="3006" t="s">
        <v>5521</v>
      </c>
      <c r="C76" s="3006"/>
      <c r="D76" s="399"/>
      <c r="E76" s="399"/>
      <c r="F76" s="649">
        <f>'905'!F76</f>
        <v>0</v>
      </c>
      <c r="H76" s="649" t="e">
        <f t="shared" si="13"/>
        <v>#N/A</v>
      </c>
      <c r="J76" s="413" t="e">
        <f t="shared" si="14"/>
        <v>#N/A</v>
      </c>
      <c r="L76" s="414" t="e">
        <f t="shared" si="15"/>
        <v>#N/A</v>
      </c>
      <c r="N76" s="26" t="str">
        <f t="shared" si="16"/>
        <v xml:space="preserve"> </v>
      </c>
    </row>
    <row r="77" spans="1:14" ht="13.5" x14ac:dyDescent="0.25">
      <c r="A77" s="1129">
        <v>1553</v>
      </c>
      <c r="B77" s="3007" t="s">
        <v>1538</v>
      </c>
      <c r="C77" s="3007"/>
      <c r="D77" s="399"/>
      <c r="E77" s="399"/>
      <c r="F77" s="649">
        <f>'905'!F77</f>
        <v>0</v>
      </c>
      <c r="H77" s="649" t="e">
        <f t="shared" si="13"/>
        <v>#N/A</v>
      </c>
      <c r="J77" s="413" t="e">
        <f t="shared" si="14"/>
        <v>#N/A</v>
      </c>
      <c r="L77" s="414" t="e">
        <f t="shared" si="15"/>
        <v>#N/A</v>
      </c>
      <c r="N77" s="26" t="str">
        <f t="shared" si="16"/>
        <v xml:space="preserve"> </v>
      </c>
    </row>
    <row r="78" spans="1:14" ht="13.5" x14ac:dyDescent="0.25">
      <c r="A78" s="1129">
        <v>1555</v>
      </c>
      <c r="B78" s="3007" t="s">
        <v>1413</v>
      </c>
      <c r="C78" s="3007"/>
      <c r="D78" s="399"/>
      <c r="E78" s="399"/>
      <c r="F78" s="649">
        <f>'905'!F78</f>
        <v>0</v>
      </c>
      <c r="H78" s="649" t="e">
        <f t="shared" si="13"/>
        <v>#N/A</v>
      </c>
      <c r="J78" s="413" t="e">
        <f t="shared" si="14"/>
        <v>#N/A</v>
      </c>
      <c r="L78" s="414" t="e">
        <f t="shared" si="15"/>
        <v>#N/A</v>
      </c>
      <c r="N78" s="26" t="str">
        <f t="shared" si="16"/>
        <v xml:space="preserve"> </v>
      </c>
    </row>
    <row r="79" spans="1:14" ht="13.5" x14ac:dyDescent="0.25">
      <c r="A79" s="1129">
        <v>1560</v>
      </c>
      <c r="B79" s="3007" t="s">
        <v>1807</v>
      </c>
      <c r="C79" s="3007"/>
      <c r="D79" s="399"/>
      <c r="E79" s="399"/>
      <c r="F79" s="649">
        <f>'905'!F79</f>
        <v>0</v>
      </c>
      <c r="H79" s="649" t="e">
        <f t="shared" si="13"/>
        <v>#N/A</v>
      </c>
      <c r="J79" s="413" t="e">
        <f t="shared" si="14"/>
        <v>#N/A</v>
      </c>
      <c r="L79" s="414" t="e">
        <f t="shared" si="15"/>
        <v>#N/A</v>
      </c>
      <c r="N79" s="26" t="str">
        <f t="shared" si="16"/>
        <v xml:space="preserve"> </v>
      </c>
    </row>
    <row r="80" spans="1:14" ht="13.5" x14ac:dyDescent="0.25">
      <c r="A80" s="1129">
        <v>1570</v>
      </c>
      <c r="B80" s="2876" t="s">
        <v>1539</v>
      </c>
      <c r="C80" s="2876"/>
      <c r="D80" s="398"/>
      <c r="E80" s="398"/>
      <c r="F80" s="651">
        <f>'905'!F80</f>
        <v>0</v>
      </c>
      <c r="H80" s="651" t="e">
        <f t="shared" si="13"/>
        <v>#N/A</v>
      </c>
      <c r="J80" s="413" t="e">
        <f t="shared" si="14"/>
        <v>#N/A</v>
      </c>
      <c r="L80" s="414" t="e">
        <f t="shared" si="15"/>
        <v>#N/A</v>
      </c>
      <c r="N80" s="26" t="str">
        <f t="shared" si="16"/>
        <v xml:space="preserve"> </v>
      </c>
    </row>
    <row r="81" spans="1:15" ht="13.5" x14ac:dyDescent="0.25">
      <c r="A81" s="785"/>
      <c r="B81" s="2876" t="s">
        <v>1540</v>
      </c>
      <c r="C81" s="2876"/>
      <c r="D81" s="398"/>
      <c r="E81" s="398"/>
      <c r="F81" s="649">
        <f>SUM(F69:F80)</f>
        <v>0</v>
      </c>
      <c r="H81" s="649" t="e">
        <f>SUM(H69:H80)</f>
        <v>#N/A</v>
      </c>
      <c r="J81" s="413" t="e">
        <f t="shared" si="14"/>
        <v>#N/A</v>
      </c>
      <c r="L81" s="414" t="e">
        <f t="shared" si="15"/>
        <v>#N/A</v>
      </c>
    </row>
    <row r="82" spans="1:15" ht="13.5" x14ac:dyDescent="0.25">
      <c r="A82" s="675"/>
      <c r="B82" s="2876" t="s">
        <v>271</v>
      </c>
      <c r="C82" s="2876"/>
      <c r="D82" s="398"/>
      <c r="E82" s="398"/>
      <c r="F82" s="662">
        <f>SUM(F40:F81)-F67-F81</f>
        <v>0</v>
      </c>
      <c r="H82" s="662" t="e">
        <f>SUM(H40:H81)-H67-H81</f>
        <v>#N/A</v>
      </c>
      <c r="J82" s="413" t="e">
        <f t="shared" si="14"/>
        <v>#N/A</v>
      </c>
      <c r="L82" s="414" t="e">
        <f t="shared" si="15"/>
        <v>#N/A</v>
      </c>
    </row>
    <row r="83" spans="1:15" ht="6" customHeight="1" x14ac:dyDescent="0.25">
      <c r="B83" s="398"/>
      <c r="C83" s="398"/>
      <c r="D83" s="398"/>
      <c r="E83" s="398"/>
      <c r="J83" s="413"/>
      <c r="L83" s="414"/>
    </row>
    <row r="84" spans="1:15" ht="13.5" x14ac:dyDescent="0.25">
      <c r="B84" s="2876" t="s">
        <v>272</v>
      </c>
      <c r="C84" s="2876"/>
      <c r="D84" s="398"/>
      <c r="E84" s="398"/>
      <c r="F84" s="400">
        <f>F37+F82</f>
        <v>0</v>
      </c>
      <c r="H84" s="400" t="e">
        <f>H37+H82</f>
        <v>#N/A</v>
      </c>
      <c r="J84" s="413" t="e">
        <f>F84-H84</f>
        <v>#N/A</v>
      </c>
      <c r="L84" s="414" t="e">
        <f>IF(H84=0,0,J84/H84)</f>
        <v>#N/A</v>
      </c>
    </row>
    <row r="85" spans="1:15" ht="13.5" x14ac:dyDescent="0.25">
      <c r="B85" s="398"/>
      <c r="C85" s="398"/>
      <c r="D85" s="398"/>
      <c r="E85" s="398"/>
      <c r="F85" s="808"/>
      <c r="H85" s="808"/>
      <c r="J85" s="413"/>
      <c r="L85" s="414"/>
    </row>
    <row r="86" spans="1:15" ht="13.5" x14ac:dyDescent="0.25">
      <c r="B86" s="783" t="s">
        <v>1929</v>
      </c>
      <c r="F86"/>
      <c r="H86" s="1435"/>
      <c r="I86" s="2"/>
      <c r="J86" s="1366"/>
      <c r="L86" s="414"/>
    </row>
    <row r="87" spans="1:15" ht="13.5" x14ac:dyDescent="0.25">
      <c r="A87" s="1401">
        <v>1234</v>
      </c>
      <c r="B87" s="2876" t="s">
        <v>1930</v>
      </c>
      <c r="C87" s="2876"/>
      <c r="D87" s="2876"/>
      <c r="E87" s="2876"/>
      <c r="F87" s="649">
        <f>'905'!F87</f>
        <v>0</v>
      </c>
      <c r="G87" s="398"/>
      <c r="H87" s="649" t="e">
        <f t="shared" ref="H87:H93" si="17">INDEX(PY905Data,MATCH($A87,PY905Row,0),MATCH($C$5,PY905Col,0))</f>
        <v>#N/A</v>
      </c>
      <c r="J87" s="413" t="e">
        <f t="shared" ref="J87:J94" si="18">F87-H87</f>
        <v>#N/A</v>
      </c>
      <c r="L87" s="414" t="e">
        <f t="shared" ref="L87:L94" si="19">IF(H87=0,0,J87/H87)</f>
        <v>#N/A</v>
      </c>
      <c r="N87" s="26" t="str">
        <f t="shared" ref="N87:N93" si="20">IF($F$84=0," ",IF(AND(ABS(J87)&gt;$L$3,ABS(L87)&gt;$L$2),"C",IF(AND(ABS(F87+H87)&gt;0,H87=0,ABS(J87)&gt;$L$3),"C"," ")))</f>
        <v xml:space="preserve"> </v>
      </c>
    </row>
    <row r="88" spans="1:15" ht="13.5" x14ac:dyDescent="0.25">
      <c r="A88" s="1401">
        <v>1236</v>
      </c>
      <c r="B88" s="2876" t="s">
        <v>3582</v>
      </c>
      <c r="C88" s="2876"/>
      <c r="D88" s="2876"/>
      <c r="E88" s="2876"/>
      <c r="F88" s="649">
        <f>'905'!F88</f>
        <v>0</v>
      </c>
      <c r="G88" s="398"/>
      <c r="H88" s="649" t="e">
        <f t="shared" si="17"/>
        <v>#N/A</v>
      </c>
      <c r="J88" s="413" t="e">
        <f t="shared" si="18"/>
        <v>#N/A</v>
      </c>
      <c r="L88" s="414" t="e">
        <f t="shared" si="19"/>
        <v>#N/A</v>
      </c>
      <c r="N88" s="26" t="str">
        <f t="shared" si="20"/>
        <v xml:space="preserve"> </v>
      </c>
    </row>
    <row r="89" spans="1:15" ht="13.5" x14ac:dyDescent="0.25">
      <c r="A89" s="1401">
        <v>1242</v>
      </c>
      <c r="B89" s="2876" t="s">
        <v>4599</v>
      </c>
      <c r="C89" s="2876"/>
      <c r="D89" s="2876"/>
      <c r="E89" s="2876"/>
      <c r="F89" s="649">
        <f>'905'!F89</f>
        <v>0</v>
      </c>
      <c r="G89" s="398"/>
      <c r="H89" s="649" t="e">
        <f t="shared" si="17"/>
        <v>#N/A</v>
      </c>
      <c r="J89" s="413" t="e">
        <f>F89-H89</f>
        <v>#N/A</v>
      </c>
      <c r="L89" s="414" t="e">
        <f>IF(H89=0,0,J89/H89)</f>
        <v>#N/A</v>
      </c>
      <c r="N89" s="26" t="str">
        <f>IF($F$84=0," ",IF(AND(ABS(J89)&gt;$L$3,ABS(L89)&gt;$L$2),"C",IF(AND(ABS(F89+H89)&gt;0,H89=0,ABS(J89)&gt;$L$3),"C"," ")))</f>
        <v xml:space="preserve"> </v>
      </c>
    </row>
    <row r="90" spans="1:15" ht="13.5" x14ac:dyDescent="0.25">
      <c r="A90" s="1853">
        <v>1237</v>
      </c>
      <c r="B90" s="3008" t="s">
        <v>3866</v>
      </c>
      <c r="C90" s="3008"/>
      <c r="D90" s="3008"/>
      <c r="E90" s="3008"/>
      <c r="F90" s="649">
        <f>'905'!F90</f>
        <v>0</v>
      </c>
      <c r="G90" s="398"/>
      <c r="H90" s="649" t="e">
        <f t="shared" si="17"/>
        <v>#N/A</v>
      </c>
      <c r="J90" s="413" t="e">
        <f>F90-H90</f>
        <v>#N/A</v>
      </c>
      <c r="L90" s="414" t="e">
        <f>IF(H90=0,0,J90/H90)</f>
        <v>#N/A</v>
      </c>
      <c r="N90" s="26" t="str">
        <f t="shared" si="20"/>
        <v xml:space="preserve"> </v>
      </c>
    </row>
    <row r="91" spans="1:15" ht="13.5" x14ac:dyDescent="0.25">
      <c r="A91" s="1401">
        <v>1241</v>
      </c>
      <c r="B91" s="3008" t="s">
        <v>4443</v>
      </c>
      <c r="C91" s="3008"/>
      <c r="D91" s="3008"/>
      <c r="E91" s="3008"/>
      <c r="F91" s="649">
        <f>'905'!F91</f>
        <v>0</v>
      </c>
      <c r="G91" s="398"/>
      <c r="H91" s="649" t="e">
        <f t="shared" si="17"/>
        <v>#N/A</v>
      </c>
      <c r="J91" s="413" t="e">
        <f t="shared" si="18"/>
        <v>#N/A</v>
      </c>
      <c r="L91" s="414" t="e">
        <f t="shared" si="19"/>
        <v>#N/A</v>
      </c>
      <c r="N91" s="26" t="str">
        <f t="shared" si="20"/>
        <v xml:space="preserve"> </v>
      </c>
      <c r="O91" s="1610"/>
    </row>
    <row r="92" spans="1:15" ht="13.5" x14ac:dyDescent="0.25">
      <c r="A92" s="1401">
        <v>1238</v>
      </c>
      <c r="B92" s="2876" t="s">
        <v>3873</v>
      </c>
      <c r="C92" s="2876"/>
      <c r="D92" s="2876"/>
      <c r="E92" s="2876"/>
      <c r="F92" s="649">
        <f>'905'!F92</f>
        <v>0</v>
      </c>
      <c r="G92" s="398"/>
      <c r="H92" s="649" t="e">
        <f t="shared" si="17"/>
        <v>#N/A</v>
      </c>
      <c r="J92" s="413" t="e">
        <f t="shared" si="18"/>
        <v>#N/A</v>
      </c>
      <c r="L92" s="414" t="e">
        <f t="shared" si="19"/>
        <v>#N/A</v>
      </c>
      <c r="N92" s="26" t="str">
        <f t="shared" si="20"/>
        <v xml:space="preserve"> </v>
      </c>
    </row>
    <row r="93" spans="1:15" ht="13.5" x14ac:dyDescent="0.25">
      <c r="A93" s="1401">
        <v>1239</v>
      </c>
      <c r="B93" s="2876" t="s">
        <v>3944</v>
      </c>
      <c r="C93" s="2876"/>
      <c r="D93" s="2876"/>
      <c r="E93" s="2876"/>
      <c r="F93" s="649">
        <f>'905'!F93</f>
        <v>0</v>
      </c>
      <c r="G93" s="398"/>
      <c r="H93" s="649" t="e">
        <f t="shared" si="17"/>
        <v>#N/A</v>
      </c>
      <c r="J93" s="413" t="e">
        <f t="shared" si="18"/>
        <v>#N/A</v>
      </c>
      <c r="L93" s="414" t="e">
        <f t="shared" si="19"/>
        <v>#N/A</v>
      </c>
      <c r="N93" s="26" t="str">
        <f t="shared" si="20"/>
        <v xml:space="preserve"> </v>
      </c>
    </row>
    <row r="94" spans="1:15" ht="13.5" x14ac:dyDescent="0.25">
      <c r="B94" s="2876" t="s">
        <v>3700</v>
      </c>
      <c r="C94" s="2876"/>
      <c r="D94" s="398"/>
      <c r="E94" s="398"/>
      <c r="F94" s="400">
        <f>SUM(F87:F93)</f>
        <v>0</v>
      </c>
      <c r="H94" s="400" t="e">
        <f>SUM(H87:H93)</f>
        <v>#N/A</v>
      </c>
      <c r="J94" s="413" t="e">
        <f t="shared" si="18"/>
        <v>#N/A</v>
      </c>
      <c r="L94" s="414" t="e">
        <f t="shared" si="19"/>
        <v>#N/A</v>
      </c>
    </row>
    <row r="95" spans="1:15" ht="7.5" customHeight="1" x14ac:dyDescent="0.25">
      <c r="B95" s="398"/>
      <c r="C95" s="398"/>
      <c r="D95" s="398"/>
      <c r="E95" s="398"/>
      <c r="F95" s="808"/>
      <c r="H95" s="808"/>
      <c r="J95" s="413"/>
      <c r="L95" s="414"/>
    </row>
    <row r="96" spans="1:15" x14ac:dyDescent="0.2">
      <c r="B96" s="394" t="s">
        <v>273</v>
      </c>
      <c r="C96" s="394"/>
      <c r="D96" s="394"/>
      <c r="E96" s="394"/>
    </row>
    <row r="97" spans="1:14" x14ac:dyDescent="0.2">
      <c r="B97" s="401" t="s">
        <v>274</v>
      </c>
      <c r="C97" s="401"/>
      <c r="D97" s="401"/>
      <c r="E97" s="401"/>
    </row>
    <row r="98" spans="1:14" x14ac:dyDescent="0.2">
      <c r="A98" s="335"/>
      <c r="B98" s="335" t="s">
        <v>275</v>
      </c>
      <c r="C98" s="335"/>
      <c r="D98" s="335"/>
      <c r="E98" s="335"/>
    </row>
    <row r="99" spans="1:14" ht="13.5" x14ac:dyDescent="0.25">
      <c r="A99" s="335">
        <v>1640</v>
      </c>
      <c r="B99" s="3007" t="s">
        <v>1060</v>
      </c>
      <c r="C99" s="3007"/>
      <c r="D99" s="399"/>
      <c r="E99" s="399"/>
      <c r="F99" s="649">
        <f>'905'!F99</f>
        <v>0</v>
      </c>
      <c r="H99" s="649" t="e">
        <f>INDEX(PY905Data,MATCH($A99,PY905Row,0),MATCH($C$5,PY905Col,0))</f>
        <v>#N/A</v>
      </c>
      <c r="J99" s="413" t="e">
        <f>F99-H99</f>
        <v>#N/A</v>
      </c>
      <c r="L99" s="414" t="e">
        <f>IF(H99=0,0,J99/H99)</f>
        <v>#N/A</v>
      </c>
      <c r="N99" s="26" t="str">
        <f t="shared" ref="N99:N131" si="21">IF($F$84=0," ",IF(AND(ABS(J99)&gt;$L$3,ABS(L99)&gt;$L$2),"C",IF(AND(ABS(F99+H99)&gt;0,H99=0,ABS(J99)&gt;$L$3),"C"," ")))</f>
        <v xml:space="preserve"> </v>
      </c>
    </row>
    <row r="100" spans="1:14" ht="13.5" x14ac:dyDescent="0.25">
      <c r="A100" s="335">
        <v>1650</v>
      </c>
      <c r="B100" s="3007" t="s">
        <v>815</v>
      </c>
      <c r="C100" s="3007"/>
      <c r="D100" s="399"/>
      <c r="E100" s="399"/>
      <c r="F100" s="649">
        <f>'905'!F100</f>
        <v>0</v>
      </c>
      <c r="H100" s="649" t="e">
        <f>INDEX(PY905Data,MATCH($A100,PY905Row,0),MATCH($C$5,PY905Col,0))</f>
        <v>#N/A</v>
      </c>
      <c r="J100" s="413" t="e">
        <f>F100-H100</f>
        <v>#N/A</v>
      </c>
      <c r="L100" s="414" t="e">
        <f>IF(H100=0,0,J100/H100)</f>
        <v>#N/A</v>
      </c>
      <c r="N100" s="26" t="str">
        <f t="shared" si="21"/>
        <v xml:space="preserve"> </v>
      </c>
    </row>
    <row r="101" spans="1:14" ht="13.5" x14ac:dyDescent="0.25">
      <c r="A101" s="335">
        <v>1660</v>
      </c>
      <c r="B101" s="3007" t="s">
        <v>816</v>
      </c>
      <c r="C101" s="3007"/>
      <c r="D101" s="399"/>
      <c r="E101" s="399"/>
      <c r="F101" s="649">
        <f>'905'!F101</f>
        <v>0</v>
      </c>
      <c r="H101" s="649" t="e">
        <f>INDEX(PY905Data,MATCH($A101,PY905Row,0),MATCH($C$5,PY905Col,0))</f>
        <v>#N/A</v>
      </c>
      <c r="J101" s="413" t="e">
        <f>F101-H101</f>
        <v>#N/A</v>
      </c>
      <c r="L101" s="414" t="e">
        <f>IF(H101=0,0,J101/H101)</f>
        <v>#N/A</v>
      </c>
      <c r="N101" s="26" t="str">
        <f t="shared" si="21"/>
        <v xml:space="preserve"> </v>
      </c>
    </row>
    <row r="102" spans="1:14" ht="13.5" x14ac:dyDescent="0.25">
      <c r="A102" s="335">
        <v>1670</v>
      </c>
      <c r="B102" s="3007" t="s">
        <v>700</v>
      </c>
      <c r="C102" s="3007"/>
      <c r="D102" s="399"/>
      <c r="E102" s="399"/>
      <c r="F102" s="649">
        <f>'905'!F102</f>
        <v>0</v>
      </c>
      <c r="H102" s="649" t="e">
        <f>INDEX(PY905Data,MATCH($A102,PY905Row,0),MATCH($C$5,PY905Col,0))</f>
        <v>#N/A</v>
      </c>
      <c r="J102" s="413" t="e">
        <f>F102-H102</f>
        <v>#N/A</v>
      </c>
      <c r="L102" s="414" t="e">
        <f>IF(H102=0,0,J102/H102)</f>
        <v>#N/A</v>
      </c>
      <c r="N102" s="26" t="str">
        <f t="shared" si="21"/>
        <v xml:space="preserve"> </v>
      </c>
    </row>
    <row r="103" spans="1:14" ht="13.5" x14ac:dyDescent="0.25">
      <c r="A103" s="335">
        <v>1840</v>
      </c>
      <c r="B103" s="2876" t="s">
        <v>278</v>
      </c>
      <c r="C103" s="2876"/>
      <c r="D103" s="398"/>
      <c r="E103" s="398"/>
      <c r="F103" s="649">
        <f>'905'!F103</f>
        <v>0</v>
      </c>
      <c r="H103" s="649" t="e">
        <f>INDEX(PY905Data,MATCH($A103,PY905Row,0),MATCH($C$5,PY905Col,0))</f>
        <v>#N/A</v>
      </c>
      <c r="J103" s="413" t="e">
        <f>F103-H103</f>
        <v>#N/A</v>
      </c>
      <c r="L103" s="414" t="e">
        <f>IF(H103=0,0,J103/H103)</f>
        <v>#N/A</v>
      </c>
      <c r="N103" s="26" t="str">
        <f t="shared" si="21"/>
        <v xml:space="preserve"> </v>
      </c>
    </row>
    <row r="104" spans="1:14" ht="13.5" x14ac:dyDescent="0.25">
      <c r="A104" s="335"/>
      <c r="B104" s="335" t="s">
        <v>1423</v>
      </c>
      <c r="C104" s="335"/>
      <c r="D104" s="335"/>
      <c r="E104" s="335"/>
      <c r="J104" s="413"/>
      <c r="L104" s="414"/>
      <c r="N104" s="26" t="str">
        <f t="shared" si="21"/>
        <v xml:space="preserve"> </v>
      </c>
    </row>
    <row r="105" spans="1:14" ht="13.5" x14ac:dyDescent="0.25">
      <c r="A105" s="1129">
        <v>1788</v>
      </c>
      <c r="B105" s="3007" t="s">
        <v>4623</v>
      </c>
      <c r="C105" s="3007"/>
      <c r="D105" s="399"/>
      <c r="E105" s="399"/>
      <c r="F105" s="649">
        <f>'905'!F105</f>
        <v>0</v>
      </c>
      <c r="H105" s="649" t="e">
        <f t="shared" ref="H105:H131" si="22">INDEX(PY905Data,MATCH($A105,PY905Row,0),MATCH($C$5,PY905Col,0))</f>
        <v>#N/A</v>
      </c>
      <c r="J105" s="413" t="e">
        <f t="shared" ref="J105:J122" si="23">F105-H105</f>
        <v>#N/A</v>
      </c>
      <c r="L105" s="414" t="e">
        <f t="shared" ref="L105:L122" si="24">IF(H105=0,0,J105/H105)</f>
        <v>#N/A</v>
      </c>
      <c r="N105" s="26" t="str">
        <f t="shared" si="21"/>
        <v xml:space="preserve"> </v>
      </c>
    </row>
    <row r="106" spans="1:14" ht="13.5" x14ac:dyDescent="0.25">
      <c r="A106" s="1129">
        <v>1785</v>
      </c>
      <c r="B106" s="3007" t="s">
        <v>1541</v>
      </c>
      <c r="C106" s="3007"/>
      <c r="D106" s="399"/>
      <c r="E106" s="399"/>
      <c r="F106" s="649">
        <f>'905'!F106</f>
        <v>0</v>
      </c>
      <c r="H106" s="649" t="e">
        <f t="shared" si="22"/>
        <v>#N/A</v>
      </c>
      <c r="J106" s="413" t="e">
        <f t="shared" si="23"/>
        <v>#N/A</v>
      </c>
      <c r="L106" s="414" t="e">
        <f t="shared" si="24"/>
        <v>#N/A</v>
      </c>
      <c r="N106" s="26" t="str">
        <f t="shared" si="21"/>
        <v xml:space="preserve"> </v>
      </c>
    </row>
    <row r="107" spans="1:14" ht="13.5" x14ac:dyDescent="0.25">
      <c r="A107" s="1129">
        <v>1790</v>
      </c>
      <c r="B107" s="3007" t="s">
        <v>4595</v>
      </c>
      <c r="C107" s="3007"/>
      <c r="D107" s="399"/>
      <c r="E107" s="399"/>
      <c r="F107" s="649">
        <f>'905'!F107</f>
        <v>0</v>
      </c>
      <c r="H107" s="649" t="e">
        <f t="shared" si="22"/>
        <v>#N/A</v>
      </c>
      <c r="J107" s="413" t="e">
        <f t="shared" si="23"/>
        <v>#N/A</v>
      </c>
      <c r="L107" s="414" t="e">
        <f t="shared" si="24"/>
        <v>#N/A</v>
      </c>
      <c r="N107" s="26" t="str">
        <f t="shared" si="21"/>
        <v xml:space="preserve"> </v>
      </c>
    </row>
    <row r="108" spans="1:14" ht="13.5" x14ac:dyDescent="0.25">
      <c r="A108" s="1129">
        <v>1791</v>
      </c>
      <c r="B108" s="3007" t="s">
        <v>4692</v>
      </c>
      <c r="C108" s="3007"/>
      <c r="D108" s="399"/>
      <c r="E108" s="399"/>
      <c r="F108" s="649">
        <f>'905'!F108</f>
        <v>0</v>
      </c>
      <c r="H108" s="649" t="e">
        <f t="shared" si="22"/>
        <v>#N/A</v>
      </c>
      <c r="J108" s="413" t="e">
        <f t="shared" si="23"/>
        <v>#N/A</v>
      </c>
      <c r="L108" s="414" t="e">
        <f t="shared" si="24"/>
        <v>#N/A</v>
      </c>
      <c r="N108" s="26" t="str">
        <f t="shared" si="21"/>
        <v xml:space="preserve"> </v>
      </c>
    </row>
    <row r="109" spans="1:14" ht="13.5" x14ac:dyDescent="0.25">
      <c r="A109" s="1129">
        <v>1787</v>
      </c>
      <c r="B109" s="3007" t="s">
        <v>1542</v>
      </c>
      <c r="C109" s="3007"/>
      <c r="D109" s="399"/>
      <c r="E109" s="399"/>
      <c r="F109" s="649">
        <f>'905'!F109</f>
        <v>0</v>
      </c>
      <c r="H109" s="649" t="e">
        <f t="shared" si="22"/>
        <v>#N/A</v>
      </c>
      <c r="J109" s="413" t="e">
        <f t="shared" si="23"/>
        <v>#N/A</v>
      </c>
      <c r="L109" s="414" t="e">
        <f t="shared" si="24"/>
        <v>#N/A</v>
      </c>
      <c r="N109" s="26" t="str">
        <f t="shared" si="21"/>
        <v xml:space="preserve"> </v>
      </c>
    </row>
    <row r="110" spans="1:14" ht="13.5" x14ac:dyDescent="0.25">
      <c r="A110" s="1129">
        <v>1730</v>
      </c>
      <c r="B110" s="2876" t="s">
        <v>276</v>
      </c>
      <c r="C110" s="2876"/>
      <c r="D110" s="398"/>
      <c r="E110" s="398"/>
      <c r="F110" s="649">
        <f>'905'!F110</f>
        <v>0</v>
      </c>
      <c r="H110" s="649" t="e">
        <f t="shared" si="22"/>
        <v>#N/A</v>
      </c>
      <c r="J110" s="413" t="e">
        <f t="shared" si="23"/>
        <v>#N/A</v>
      </c>
      <c r="L110" s="414" t="e">
        <f t="shared" si="24"/>
        <v>#N/A</v>
      </c>
      <c r="N110" s="26" t="str">
        <f t="shared" si="21"/>
        <v xml:space="preserve"> </v>
      </c>
    </row>
    <row r="111" spans="1:14" ht="13.5" x14ac:dyDescent="0.25">
      <c r="A111" s="335">
        <v>1735</v>
      </c>
      <c r="B111" s="2876" t="s">
        <v>1543</v>
      </c>
      <c r="C111" s="2876"/>
      <c r="D111" s="398"/>
      <c r="E111" s="398"/>
      <c r="F111" s="649">
        <f>'905'!F111</f>
        <v>0</v>
      </c>
      <c r="H111" s="649" t="e">
        <f t="shared" si="22"/>
        <v>#N/A</v>
      </c>
      <c r="J111" s="413" t="e">
        <f t="shared" si="23"/>
        <v>#N/A</v>
      </c>
      <c r="L111" s="414" t="e">
        <f t="shared" si="24"/>
        <v>#N/A</v>
      </c>
      <c r="N111" s="26" t="str">
        <f t="shared" si="21"/>
        <v xml:space="preserve"> </v>
      </c>
    </row>
    <row r="112" spans="1:14" ht="13.5" x14ac:dyDescent="0.25">
      <c r="A112" s="1129">
        <v>1740</v>
      </c>
      <c r="B112" s="2876" t="s">
        <v>699</v>
      </c>
      <c r="C112" s="2876"/>
      <c r="D112" s="398"/>
      <c r="E112" s="398"/>
      <c r="F112" s="649">
        <f>'905'!F112</f>
        <v>0</v>
      </c>
      <c r="H112" s="649" t="e">
        <f t="shared" si="22"/>
        <v>#N/A</v>
      </c>
      <c r="J112" s="413" t="e">
        <f t="shared" si="23"/>
        <v>#N/A</v>
      </c>
      <c r="L112" s="414" t="e">
        <f t="shared" si="24"/>
        <v>#N/A</v>
      </c>
      <c r="N112" s="26" t="str">
        <f t="shared" si="21"/>
        <v xml:space="preserve"> </v>
      </c>
    </row>
    <row r="113" spans="1:14" ht="13.5" x14ac:dyDescent="0.25">
      <c r="A113" s="335">
        <v>1890</v>
      </c>
      <c r="B113" s="2876" t="s">
        <v>569</v>
      </c>
      <c r="C113" s="2876"/>
      <c r="D113" s="398"/>
      <c r="E113" s="398"/>
      <c r="F113" s="649">
        <f>'905'!F113</f>
        <v>0</v>
      </c>
      <c r="H113" s="649" t="e">
        <f t="shared" si="22"/>
        <v>#N/A</v>
      </c>
      <c r="J113" s="413" t="e">
        <f t="shared" si="23"/>
        <v>#N/A</v>
      </c>
      <c r="L113" s="414" t="e">
        <f t="shared" si="24"/>
        <v>#N/A</v>
      </c>
      <c r="N113" s="26" t="str">
        <f t="shared" si="21"/>
        <v xml:space="preserve"> </v>
      </c>
    </row>
    <row r="114" spans="1:14" ht="13.5" x14ac:dyDescent="0.25">
      <c r="A114" s="335">
        <v>1750</v>
      </c>
      <c r="B114" s="2876" t="s">
        <v>277</v>
      </c>
      <c r="C114" s="2876"/>
      <c r="D114" s="398"/>
      <c r="E114" s="398"/>
      <c r="F114" s="649">
        <f>'905'!F114</f>
        <v>0</v>
      </c>
      <c r="H114" s="649" t="e">
        <f t="shared" si="22"/>
        <v>#N/A</v>
      </c>
      <c r="J114" s="413" t="e">
        <f t="shared" si="23"/>
        <v>#N/A</v>
      </c>
      <c r="L114" s="414" t="e">
        <f t="shared" si="24"/>
        <v>#N/A</v>
      </c>
      <c r="N114" s="26" t="str">
        <f t="shared" si="21"/>
        <v xml:space="preserve"> </v>
      </c>
    </row>
    <row r="115" spans="1:14" ht="13.5" x14ac:dyDescent="0.25">
      <c r="A115" s="335">
        <v>1760</v>
      </c>
      <c r="B115" s="2876" t="s">
        <v>1402</v>
      </c>
      <c r="C115" s="2876"/>
      <c r="D115" s="398"/>
      <c r="E115" s="398"/>
      <c r="F115" s="649">
        <f>'905'!F115</f>
        <v>0</v>
      </c>
      <c r="H115" s="649" t="e">
        <f t="shared" si="22"/>
        <v>#N/A</v>
      </c>
      <c r="J115" s="413" t="e">
        <f t="shared" si="23"/>
        <v>#N/A</v>
      </c>
      <c r="L115" s="414" t="e">
        <f t="shared" si="24"/>
        <v>#N/A</v>
      </c>
      <c r="N115" s="26" t="str">
        <f t="shared" si="21"/>
        <v xml:space="preserve"> </v>
      </c>
    </row>
    <row r="116" spans="1:14" ht="13.5" x14ac:dyDescent="0.25">
      <c r="A116" s="335">
        <v>1870</v>
      </c>
      <c r="B116" s="2876" t="s">
        <v>739</v>
      </c>
      <c r="C116" s="2876"/>
      <c r="D116" s="398"/>
      <c r="E116" s="398"/>
      <c r="F116" s="649">
        <f>'905'!F116</f>
        <v>0</v>
      </c>
      <c r="H116" s="649" t="e">
        <f t="shared" si="22"/>
        <v>#N/A</v>
      </c>
      <c r="J116" s="413" t="e">
        <f t="shared" si="23"/>
        <v>#N/A</v>
      </c>
      <c r="L116" s="414" t="e">
        <f t="shared" si="24"/>
        <v>#N/A</v>
      </c>
      <c r="N116" s="26" t="str">
        <f t="shared" si="21"/>
        <v xml:space="preserve"> </v>
      </c>
    </row>
    <row r="117" spans="1:14" ht="13.5" x14ac:dyDescent="0.25">
      <c r="A117" s="335">
        <v>1880</v>
      </c>
      <c r="B117" s="2876" t="s">
        <v>701</v>
      </c>
      <c r="C117" s="2876"/>
      <c r="D117" s="398"/>
      <c r="E117" s="398"/>
      <c r="F117" s="649">
        <f>'905'!F117</f>
        <v>0</v>
      </c>
      <c r="H117" s="649" t="e">
        <f t="shared" si="22"/>
        <v>#N/A</v>
      </c>
      <c r="J117" s="413" t="e">
        <f t="shared" si="23"/>
        <v>#N/A</v>
      </c>
      <c r="L117" s="414" t="e">
        <f t="shared" si="24"/>
        <v>#N/A</v>
      </c>
      <c r="N117" s="26" t="str">
        <f t="shared" si="21"/>
        <v xml:space="preserve"> </v>
      </c>
    </row>
    <row r="118" spans="1:14" ht="13.5" x14ac:dyDescent="0.25">
      <c r="A118" s="335">
        <v>1762</v>
      </c>
      <c r="B118" s="2876" t="s">
        <v>1347</v>
      </c>
      <c r="C118" s="2876"/>
      <c r="D118" s="398"/>
      <c r="E118" s="398"/>
      <c r="F118" s="649">
        <f>'905'!F118</f>
        <v>0</v>
      </c>
      <c r="H118" s="649" t="e">
        <f t="shared" si="22"/>
        <v>#N/A</v>
      </c>
      <c r="J118" s="413" t="e">
        <f t="shared" si="23"/>
        <v>#N/A</v>
      </c>
      <c r="L118" s="414" t="e">
        <f t="shared" si="24"/>
        <v>#N/A</v>
      </c>
      <c r="N118" s="26" t="str">
        <f t="shared" si="21"/>
        <v xml:space="preserve"> </v>
      </c>
    </row>
    <row r="119" spans="1:14" ht="13.5" x14ac:dyDescent="0.25">
      <c r="A119" s="1129">
        <v>1775</v>
      </c>
      <c r="B119" s="2876" t="s">
        <v>4624</v>
      </c>
      <c r="C119" s="2876"/>
      <c r="D119" s="398"/>
      <c r="E119" s="398"/>
      <c r="F119" s="649">
        <f>'905'!F119</f>
        <v>0</v>
      </c>
      <c r="H119" s="649" t="e">
        <f t="shared" si="22"/>
        <v>#N/A</v>
      </c>
      <c r="J119" s="413" t="e">
        <f t="shared" si="23"/>
        <v>#N/A</v>
      </c>
      <c r="L119" s="414" t="e">
        <f t="shared" si="24"/>
        <v>#N/A</v>
      </c>
      <c r="N119" s="26" t="str">
        <f t="shared" si="21"/>
        <v xml:space="preserve"> </v>
      </c>
    </row>
    <row r="120" spans="1:14" ht="13.5" x14ac:dyDescent="0.25">
      <c r="A120" s="1129">
        <v>1780</v>
      </c>
      <c r="B120" s="2974" t="s">
        <v>5522</v>
      </c>
      <c r="C120" s="2974"/>
      <c r="D120" s="398"/>
      <c r="E120" s="398"/>
      <c r="F120" s="649">
        <f>'905'!F120</f>
        <v>0</v>
      </c>
      <c r="H120" s="649" t="e">
        <f t="shared" si="22"/>
        <v>#N/A</v>
      </c>
      <c r="J120" s="413" t="e">
        <f t="shared" si="23"/>
        <v>#N/A</v>
      </c>
      <c r="L120" s="414" t="e">
        <f t="shared" si="24"/>
        <v>#N/A</v>
      </c>
      <c r="N120" s="26" t="str">
        <f t="shared" si="21"/>
        <v xml:space="preserve"> </v>
      </c>
    </row>
    <row r="121" spans="1:14" ht="13.5" x14ac:dyDescent="0.25">
      <c r="A121" s="1129">
        <v>1800</v>
      </c>
      <c r="B121" s="2876" t="s">
        <v>1544</v>
      </c>
      <c r="C121" s="2876"/>
      <c r="D121" s="398"/>
      <c r="E121" s="398"/>
      <c r="F121" s="649">
        <f>'905'!F121</f>
        <v>0</v>
      </c>
      <c r="H121" s="649" t="e">
        <f t="shared" si="22"/>
        <v>#N/A</v>
      </c>
      <c r="J121" s="413" t="e">
        <f t="shared" si="23"/>
        <v>#N/A</v>
      </c>
      <c r="L121" s="414" t="e">
        <f t="shared" si="24"/>
        <v>#N/A</v>
      </c>
      <c r="N121" s="26" t="str">
        <f t="shared" si="21"/>
        <v xml:space="preserve"> </v>
      </c>
    </row>
    <row r="122" spans="1:14" ht="13.5" x14ac:dyDescent="0.25">
      <c r="A122" s="1129">
        <v>1850</v>
      </c>
      <c r="B122" s="2876" t="s">
        <v>1165</v>
      </c>
      <c r="C122" s="2876"/>
      <c r="D122" s="398"/>
      <c r="E122" s="398"/>
      <c r="F122" s="649">
        <f>'905'!F122</f>
        <v>0</v>
      </c>
      <c r="H122" s="649" t="e">
        <f t="shared" si="22"/>
        <v>#N/A</v>
      </c>
      <c r="J122" s="413" t="e">
        <f t="shared" si="23"/>
        <v>#N/A</v>
      </c>
      <c r="L122" s="414" t="e">
        <f t="shared" si="24"/>
        <v>#N/A</v>
      </c>
      <c r="N122" s="26" t="str">
        <f t="shared" si="21"/>
        <v xml:space="preserve"> </v>
      </c>
    </row>
    <row r="123" spans="1:14" ht="13.5" x14ac:dyDescent="0.25">
      <c r="A123" s="1129">
        <v>1851</v>
      </c>
      <c r="B123" s="2876" t="s">
        <v>3801</v>
      </c>
      <c r="C123" s="2876"/>
      <c r="D123" s="398"/>
      <c r="E123" s="398"/>
      <c r="F123" s="649">
        <f>'905'!F123</f>
        <v>0</v>
      </c>
      <c r="H123" s="649" t="e">
        <f t="shared" si="22"/>
        <v>#N/A</v>
      </c>
      <c r="J123" s="413" t="e">
        <f t="shared" ref="J123:J131" si="25">F123-H123</f>
        <v>#N/A</v>
      </c>
      <c r="L123" s="414" t="e">
        <f t="shared" ref="L123:L131" si="26">IF(H123=0,0,J123/H123)</f>
        <v>#N/A</v>
      </c>
      <c r="N123" s="26" t="str">
        <f t="shared" si="21"/>
        <v xml:space="preserve"> </v>
      </c>
    </row>
    <row r="124" spans="1:14" ht="13.5" x14ac:dyDescent="0.25">
      <c r="A124" s="1129">
        <v>1786</v>
      </c>
      <c r="B124" s="2876" t="s">
        <v>1545</v>
      </c>
      <c r="C124" s="2876"/>
      <c r="D124" s="398"/>
      <c r="E124" s="398"/>
      <c r="F124" s="649">
        <f>'905'!F124</f>
        <v>0</v>
      </c>
      <c r="H124" s="649" t="e">
        <f t="shared" si="22"/>
        <v>#N/A</v>
      </c>
      <c r="J124" s="413" t="e">
        <f t="shared" si="25"/>
        <v>#N/A</v>
      </c>
      <c r="L124" s="414" t="e">
        <f t="shared" si="26"/>
        <v>#N/A</v>
      </c>
      <c r="N124" s="26" t="str">
        <f t="shared" si="21"/>
        <v xml:space="preserve"> </v>
      </c>
    </row>
    <row r="125" spans="1:14" ht="13.5" x14ac:dyDescent="0.25">
      <c r="A125" s="1129">
        <v>1855</v>
      </c>
      <c r="B125" s="2876" t="s">
        <v>1295</v>
      </c>
      <c r="C125" s="2876"/>
      <c r="D125" s="398"/>
      <c r="E125" s="398"/>
      <c r="F125" s="649">
        <f>'905'!F125</f>
        <v>0</v>
      </c>
      <c r="H125" s="649" t="e">
        <f t="shared" si="22"/>
        <v>#N/A</v>
      </c>
      <c r="J125" s="413" t="e">
        <f t="shared" si="25"/>
        <v>#N/A</v>
      </c>
      <c r="L125" s="414" t="e">
        <f t="shared" si="26"/>
        <v>#N/A</v>
      </c>
      <c r="N125" s="26" t="str">
        <f t="shared" si="21"/>
        <v xml:space="preserve"> </v>
      </c>
    </row>
    <row r="126" spans="1:14" ht="13.5" x14ac:dyDescent="0.25">
      <c r="A126" s="1129">
        <v>1857</v>
      </c>
      <c r="B126" s="2876" t="s">
        <v>4612</v>
      </c>
      <c r="C126" s="2876"/>
      <c r="D126" s="398"/>
      <c r="E126" s="398"/>
      <c r="F126" s="649">
        <f>'905'!F126</f>
        <v>0</v>
      </c>
      <c r="H126" s="649" t="e">
        <f t="shared" si="22"/>
        <v>#N/A</v>
      </c>
      <c r="J126" s="413" t="e">
        <f>F126-H126</f>
        <v>#N/A</v>
      </c>
      <c r="L126" s="414" t="e">
        <f>IF(H126=0,0,J126/H126)</f>
        <v>#N/A</v>
      </c>
      <c r="N126" s="26" t="str">
        <f>IF($F$84=0," ",IF(AND(ABS(J126)&gt;$L$3,ABS(L126)&gt;$L$2),"C",IF(AND(ABS(F126+H126)&gt;0,H126=0,ABS(J126)&gt;$L$3),"C"," ")))</f>
        <v xml:space="preserve"> </v>
      </c>
    </row>
    <row r="127" spans="1:14" ht="13.5" x14ac:dyDescent="0.25">
      <c r="A127" s="1129">
        <v>1860</v>
      </c>
      <c r="B127" s="2876" t="s">
        <v>3874</v>
      </c>
      <c r="C127" s="2876"/>
      <c r="D127" s="2876"/>
      <c r="E127" s="2876"/>
      <c r="F127" s="649">
        <f>'905'!F127</f>
        <v>0</v>
      </c>
      <c r="H127" s="649" t="e">
        <f t="shared" si="22"/>
        <v>#N/A</v>
      </c>
      <c r="J127" s="413" t="e">
        <f t="shared" si="25"/>
        <v>#N/A</v>
      </c>
      <c r="L127" s="414" t="e">
        <f t="shared" si="26"/>
        <v>#N/A</v>
      </c>
      <c r="N127" s="26" t="str">
        <f t="shared" si="21"/>
        <v xml:space="preserve"> </v>
      </c>
    </row>
    <row r="128" spans="1:14" ht="13.5" x14ac:dyDescent="0.25">
      <c r="A128" s="1129">
        <v>1868</v>
      </c>
      <c r="B128" s="2876" t="s">
        <v>4481</v>
      </c>
      <c r="C128" s="2876"/>
      <c r="D128" s="2876"/>
      <c r="E128" s="2876"/>
      <c r="F128" s="649">
        <f>'905'!F128</f>
        <v>0</v>
      </c>
      <c r="H128" s="649" t="e">
        <f t="shared" si="22"/>
        <v>#N/A</v>
      </c>
      <c r="J128" s="413" t="e">
        <f>F128-H128</f>
        <v>#N/A</v>
      </c>
      <c r="L128" s="414" t="e">
        <f>IF(H128=0,0,J128/H128)</f>
        <v>#N/A</v>
      </c>
      <c r="N128" s="26" t="str">
        <f>IF($F$84=0," ",IF(AND(ABS(J128)&gt;$L$3,ABS(L128)&gt;$L$2),"C",IF(AND(ABS(F128+H128)&gt;0,H128=0,ABS(J128)&gt;$L$3),"C"," ")))</f>
        <v xml:space="preserve"> </v>
      </c>
    </row>
    <row r="129" spans="1:15" ht="13.5" x14ac:dyDescent="0.25">
      <c r="A129" s="1129">
        <v>1869</v>
      </c>
      <c r="B129" s="3008" t="s">
        <v>4482</v>
      </c>
      <c r="C129" s="3008"/>
      <c r="D129" s="3008"/>
      <c r="E129" s="3008"/>
      <c r="F129" s="649">
        <f>'905'!F129</f>
        <v>0</v>
      </c>
      <c r="H129" s="649" t="e">
        <f t="shared" si="22"/>
        <v>#N/A</v>
      </c>
      <c r="J129" s="413" t="e">
        <f>F129-H129</f>
        <v>#N/A</v>
      </c>
      <c r="L129" s="414" t="e">
        <f>IF(H129=0,0,J129/H129)</f>
        <v>#N/A</v>
      </c>
      <c r="N129" s="26" t="str">
        <f t="shared" si="21"/>
        <v xml:space="preserve"> </v>
      </c>
      <c r="O129" s="1610"/>
    </row>
    <row r="130" spans="1:15" ht="13.5" x14ac:dyDescent="0.25">
      <c r="A130" s="1129">
        <v>1865</v>
      </c>
      <c r="B130" s="2876" t="s">
        <v>1546</v>
      </c>
      <c r="C130" s="2876"/>
      <c r="D130" s="398"/>
      <c r="E130" s="398"/>
      <c r="F130" s="649">
        <f>'905'!F130</f>
        <v>0</v>
      </c>
      <c r="H130" s="649" t="e">
        <f t="shared" si="22"/>
        <v>#N/A</v>
      </c>
      <c r="J130" s="413" t="e">
        <f t="shared" si="25"/>
        <v>#N/A</v>
      </c>
      <c r="L130" s="414" t="e">
        <f t="shared" si="26"/>
        <v>#N/A</v>
      </c>
      <c r="N130" s="26" t="str">
        <f t="shared" si="21"/>
        <v xml:space="preserve"> </v>
      </c>
    </row>
    <row r="131" spans="1:15" ht="13.5" x14ac:dyDescent="0.25">
      <c r="A131" s="1129">
        <v>1866</v>
      </c>
      <c r="B131" s="2876" t="s">
        <v>1547</v>
      </c>
      <c r="C131" s="2876"/>
      <c r="D131" s="398"/>
      <c r="E131" s="398"/>
      <c r="F131" s="649">
        <f>'905'!F131</f>
        <v>0</v>
      </c>
      <c r="H131" s="649" t="e">
        <f t="shared" si="22"/>
        <v>#N/A</v>
      </c>
      <c r="J131" s="413" t="e">
        <f t="shared" si="25"/>
        <v>#N/A</v>
      </c>
      <c r="L131" s="414" t="e">
        <f t="shared" si="26"/>
        <v>#N/A</v>
      </c>
      <c r="N131" s="26" t="str">
        <f t="shared" si="21"/>
        <v xml:space="preserve"> </v>
      </c>
    </row>
    <row r="132" spans="1:15" ht="13.5" x14ac:dyDescent="0.25">
      <c r="B132" s="2876" t="s">
        <v>787</v>
      </c>
      <c r="C132" s="2876"/>
      <c r="D132" s="398"/>
      <c r="E132" s="398"/>
      <c r="F132" s="402">
        <f>SUM(F98:F131)</f>
        <v>0</v>
      </c>
      <c r="H132" s="402" t="e">
        <f>SUM(H98:H131)</f>
        <v>#N/A</v>
      </c>
      <c r="J132" s="413" t="e">
        <f>F132-H132</f>
        <v>#N/A</v>
      </c>
      <c r="L132" s="414" t="e">
        <f>IF(H132=0,0,J132/H132)</f>
        <v>#N/A</v>
      </c>
    </row>
    <row r="133" spans="1:15" ht="9.75" customHeight="1" x14ac:dyDescent="0.25">
      <c r="B133" s="398"/>
      <c r="C133" s="398"/>
      <c r="D133" s="398"/>
      <c r="E133" s="398"/>
      <c r="J133" s="413"/>
      <c r="L133" s="414"/>
    </row>
    <row r="134" spans="1:15" ht="13.5" x14ac:dyDescent="0.25">
      <c r="B134" s="403" t="s">
        <v>788</v>
      </c>
      <c r="C134" s="403"/>
      <c r="D134" s="403"/>
      <c r="E134" s="403"/>
      <c r="J134" s="413"/>
      <c r="L134" s="414"/>
    </row>
    <row r="135" spans="1:15" x14ac:dyDescent="0.2">
      <c r="A135" s="335"/>
      <c r="B135" s="335" t="s">
        <v>275</v>
      </c>
      <c r="C135" s="335"/>
      <c r="D135" s="335"/>
      <c r="E135" s="335"/>
    </row>
    <row r="136" spans="1:15" ht="13.5" x14ac:dyDescent="0.25">
      <c r="A136" s="335">
        <v>1940</v>
      </c>
      <c r="B136" s="3007" t="s">
        <v>1060</v>
      </c>
      <c r="C136" s="3007"/>
      <c r="D136" s="399"/>
      <c r="E136" s="399"/>
      <c r="F136" s="649">
        <f>'905'!F136</f>
        <v>0</v>
      </c>
      <c r="H136" s="649" t="e">
        <f t="shared" ref="H136:H156" si="27">INDEX(PY905Data,MATCH($A136,PY905Row,0),MATCH($C$5,PY905Col,0))</f>
        <v>#N/A</v>
      </c>
      <c r="J136" s="413" t="e">
        <f>F136-H136</f>
        <v>#N/A</v>
      </c>
      <c r="L136" s="414" t="e">
        <f>IF(H136=0,0,J136/H136)</f>
        <v>#N/A</v>
      </c>
      <c r="N136" s="26" t="str">
        <f t="shared" ref="N136:N156" si="28">IF($F$84=0," ",IF(AND(ABS(J136)&gt;$L$3,ABS(L136)&gt;$L$2),"C",IF(AND(ABS(F136+H136)&gt;0,H136=0,ABS(J136)&gt;$L$3),"C"," ")))</f>
        <v xml:space="preserve"> </v>
      </c>
    </row>
    <row r="137" spans="1:15" ht="13.5" x14ac:dyDescent="0.25">
      <c r="A137" s="335">
        <v>1950</v>
      </c>
      <c r="B137" s="3007" t="s">
        <v>816</v>
      </c>
      <c r="C137" s="3007"/>
      <c r="D137" s="399"/>
      <c r="E137" s="399"/>
      <c r="F137" s="649">
        <f>'905'!F137</f>
        <v>0</v>
      </c>
      <c r="H137" s="649" t="e">
        <f t="shared" si="27"/>
        <v>#N/A</v>
      </c>
      <c r="J137" s="413" t="e">
        <f t="shared" ref="J137:J159" si="29">F137-H137</f>
        <v>#N/A</v>
      </c>
      <c r="L137" s="414" t="e">
        <f t="shared" ref="L137:L159" si="30">IF(H137=0,0,J137/H137)</f>
        <v>#N/A</v>
      </c>
      <c r="N137" s="26" t="str">
        <f t="shared" si="28"/>
        <v xml:space="preserve"> </v>
      </c>
    </row>
    <row r="138" spans="1:15" ht="13.5" x14ac:dyDescent="0.25">
      <c r="A138" s="335">
        <v>1960</v>
      </c>
      <c r="B138" s="3007" t="s">
        <v>700</v>
      </c>
      <c r="C138" s="3007"/>
      <c r="D138" s="399"/>
      <c r="E138" s="399"/>
      <c r="F138" s="649">
        <f>'905'!F138</f>
        <v>0</v>
      </c>
      <c r="H138" s="649" t="e">
        <f t="shared" si="27"/>
        <v>#N/A</v>
      </c>
      <c r="J138" s="413" t="e">
        <f t="shared" si="29"/>
        <v>#N/A</v>
      </c>
      <c r="L138" s="414" t="e">
        <f t="shared" si="30"/>
        <v>#N/A</v>
      </c>
      <c r="N138" s="26" t="str">
        <f t="shared" si="28"/>
        <v xml:space="preserve"> </v>
      </c>
    </row>
    <row r="139" spans="1:15" ht="13.5" x14ac:dyDescent="0.25">
      <c r="A139" s="1129">
        <v>2020</v>
      </c>
      <c r="B139" s="2876" t="s">
        <v>789</v>
      </c>
      <c r="C139" s="2876"/>
      <c r="D139" s="398"/>
      <c r="E139" s="398"/>
      <c r="F139" s="649">
        <f>'905'!F139</f>
        <v>0</v>
      </c>
      <c r="H139" s="649" t="e">
        <f t="shared" si="27"/>
        <v>#N/A</v>
      </c>
      <c r="J139" s="413" t="e">
        <f t="shared" si="29"/>
        <v>#N/A</v>
      </c>
      <c r="L139" s="414" t="e">
        <f t="shared" si="30"/>
        <v>#N/A</v>
      </c>
      <c r="N139" s="26" t="str">
        <f t="shared" si="28"/>
        <v xml:space="preserve"> </v>
      </c>
    </row>
    <row r="140" spans="1:15" ht="13.5" x14ac:dyDescent="0.25">
      <c r="A140" s="335">
        <v>2097</v>
      </c>
      <c r="B140" s="2876" t="s">
        <v>569</v>
      </c>
      <c r="C140" s="2876"/>
      <c r="D140" s="398"/>
      <c r="E140" s="398"/>
      <c r="F140" s="649">
        <f>'905'!F140</f>
        <v>0</v>
      </c>
      <c r="H140" s="649" t="e">
        <f t="shared" si="27"/>
        <v>#N/A</v>
      </c>
      <c r="J140" s="413" t="e">
        <f>F140-H140</f>
        <v>#N/A</v>
      </c>
      <c r="L140" s="414" t="e">
        <f>IF(H140=0,0,J140/H140)</f>
        <v>#N/A</v>
      </c>
      <c r="N140" s="26" t="str">
        <f t="shared" si="28"/>
        <v xml:space="preserve"> </v>
      </c>
    </row>
    <row r="141" spans="1:15" ht="13.5" x14ac:dyDescent="0.25">
      <c r="A141" s="335">
        <v>2070</v>
      </c>
      <c r="B141" s="2876" t="s">
        <v>739</v>
      </c>
      <c r="C141" s="2876"/>
      <c r="D141" s="398"/>
      <c r="E141" s="398"/>
      <c r="F141" s="649">
        <f>'905'!F141</f>
        <v>0</v>
      </c>
      <c r="H141" s="649" t="e">
        <f t="shared" si="27"/>
        <v>#N/A</v>
      </c>
      <c r="J141" s="413" t="e">
        <f t="shared" si="29"/>
        <v>#N/A</v>
      </c>
      <c r="L141" s="414" t="e">
        <f t="shared" si="30"/>
        <v>#N/A</v>
      </c>
      <c r="N141" s="26" t="str">
        <f t="shared" si="28"/>
        <v xml:space="preserve"> </v>
      </c>
    </row>
    <row r="142" spans="1:15" ht="13.5" x14ac:dyDescent="0.25">
      <c r="A142" s="335">
        <v>2080</v>
      </c>
      <c r="B142" s="2876" t="s">
        <v>701</v>
      </c>
      <c r="C142" s="2876"/>
      <c r="D142" s="398"/>
      <c r="E142" s="398"/>
      <c r="F142" s="649">
        <f>'905'!F142</f>
        <v>0</v>
      </c>
      <c r="H142" s="649" t="e">
        <f t="shared" si="27"/>
        <v>#N/A</v>
      </c>
      <c r="J142" s="413" t="e">
        <f t="shared" si="29"/>
        <v>#N/A</v>
      </c>
      <c r="L142" s="414" t="e">
        <f t="shared" si="30"/>
        <v>#N/A</v>
      </c>
      <c r="N142" s="26" t="str">
        <f t="shared" si="28"/>
        <v xml:space="preserve"> </v>
      </c>
    </row>
    <row r="143" spans="1:15" ht="13.5" x14ac:dyDescent="0.25">
      <c r="A143" s="335">
        <v>2024</v>
      </c>
      <c r="B143" s="2876" t="s">
        <v>1347</v>
      </c>
      <c r="C143" s="2876"/>
      <c r="D143" s="398"/>
      <c r="E143" s="398"/>
      <c r="F143" s="649">
        <f>'905'!F143</f>
        <v>0</v>
      </c>
      <c r="H143" s="649" t="e">
        <f t="shared" si="27"/>
        <v>#N/A</v>
      </c>
      <c r="J143" s="413" t="e">
        <f>F143-H143</f>
        <v>#N/A</v>
      </c>
      <c r="L143" s="414" t="e">
        <f>IF(H143=0,0,J143/H143)</f>
        <v>#N/A</v>
      </c>
      <c r="N143" s="26" t="str">
        <f t="shared" si="28"/>
        <v xml:space="preserve"> </v>
      </c>
    </row>
    <row r="144" spans="1:15" ht="13.5" x14ac:dyDescent="0.25">
      <c r="A144" s="1129">
        <v>2035</v>
      </c>
      <c r="B144" s="2876" t="s">
        <v>4595</v>
      </c>
      <c r="C144" s="2876"/>
      <c r="D144" s="398"/>
      <c r="E144" s="398"/>
      <c r="F144" s="649">
        <f>'905'!F144</f>
        <v>0</v>
      </c>
      <c r="H144" s="649" t="e">
        <f t="shared" si="27"/>
        <v>#N/A</v>
      </c>
      <c r="J144" s="413" t="e">
        <f t="shared" si="29"/>
        <v>#N/A</v>
      </c>
      <c r="L144" s="414" t="e">
        <f t="shared" si="30"/>
        <v>#N/A</v>
      </c>
      <c r="N144" s="26" t="str">
        <f t="shared" si="28"/>
        <v xml:space="preserve"> </v>
      </c>
    </row>
    <row r="145" spans="1:15" ht="13.5" x14ac:dyDescent="0.25">
      <c r="A145" s="1129">
        <v>2040</v>
      </c>
      <c r="B145" s="2974" t="s">
        <v>5477</v>
      </c>
      <c r="C145" s="2974"/>
      <c r="D145" s="398"/>
      <c r="E145" s="398"/>
      <c r="F145" s="649">
        <f>'905'!F145</f>
        <v>0</v>
      </c>
      <c r="H145" s="649" t="e">
        <f t="shared" si="27"/>
        <v>#N/A</v>
      </c>
      <c r="J145" s="413" t="e">
        <f t="shared" si="29"/>
        <v>#N/A</v>
      </c>
      <c r="L145" s="414" t="e">
        <f t="shared" si="30"/>
        <v>#N/A</v>
      </c>
      <c r="N145" s="26" t="str">
        <f t="shared" si="28"/>
        <v xml:space="preserve"> </v>
      </c>
    </row>
    <row r="146" spans="1:15" ht="13.5" x14ac:dyDescent="0.25">
      <c r="A146" s="1129">
        <v>2050</v>
      </c>
      <c r="B146" s="2876" t="s">
        <v>1548</v>
      </c>
      <c r="C146" s="2876"/>
      <c r="D146" s="398"/>
      <c r="E146" s="398"/>
      <c r="F146" s="649">
        <f>'905'!F146</f>
        <v>0</v>
      </c>
      <c r="H146" s="649" t="e">
        <f t="shared" si="27"/>
        <v>#N/A</v>
      </c>
      <c r="J146" s="413" t="e">
        <f t="shared" si="29"/>
        <v>#N/A</v>
      </c>
      <c r="L146" s="414" t="e">
        <f t="shared" si="30"/>
        <v>#N/A</v>
      </c>
      <c r="N146" s="26" t="str">
        <f t="shared" si="28"/>
        <v xml:space="preserve"> </v>
      </c>
    </row>
    <row r="147" spans="1:15" ht="13.5" x14ac:dyDescent="0.25">
      <c r="A147" s="1129">
        <v>2060</v>
      </c>
      <c r="B147" s="2876" t="s">
        <v>1061</v>
      </c>
      <c r="C147" s="2876"/>
      <c r="D147" s="398"/>
      <c r="E147" s="398"/>
      <c r="F147" s="649">
        <f>'905'!F147</f>
        <v>0</v>
      </c>
      <c r="H147" s="649" t="e">
        <f t="shared" si="27"/>
        <v>#N/A</v>
      </c>
      <c r="J147" s="413" t="e">
        <f t="shared" si="29"/>
        <v>#N/A</v>
      </c>
      <c r="L147" s="414" t="e">
        <f t="shared" si="30"/>
        <v>#N/A</v>
      </c>
      <c r="N147" s="26" t="str">
        <f t="shared" si="28"/>
        <v xml:space="preserve"> </v>
      </c>
    </row>
    <row r="148" spans="1:15" ht="13.5" x14ac:dyDescent="0.25">
      <c r="A148" s="1129">
        <v>2061</v>
      </c>
      <c r="B148" s="2876" t="s">
        <v>1062</v>
      </c>
      <c r="C148" s="2876"/>
      <c r="D148" s="398"/>
      <c r="E148" s="398"/>
      <c r="F148" s="649">
        <f>'905'!F148</f>
        <v>0</v>
      </c>
      <c r="H148" s="649" t="e">
        <f t="shared" si="27"/>
        <v>#N/A</v>
      </c>
      <c r="J148" s="413" t="e">
        <f t="shared" ref="J148:J156" si="31">F148-H148</f>
        <v>#N/A</v>
      </c>
      <c r="L148" s="414" t="e">
        <f t="shared" ref="L148:L156" si="32">IF(H148=0,0,J148/H148)</f>
        <v>#N/A</v>
      </c>
      <c r="N148" s="26" t="str">
        <f t="shared" si="28"/>
        <v xml:space="preserve"> </v>
      </c>
    </row>
    <row r="149" spans="1:15" ht="13.5" x14ac:dyDescent="0.25">
      <c r="A149" s="1129">
        <v>2045</v>
      </c>
      <c r="B149" s="2876" t="s">
        <v>93</v>
      </c>
      <c r="C149" s="2876"/>
      <c r="D149" s="398"/>
      <c r="E149" s="398"/>
      <c r="F149" s="649">
        <f>'905'!F149</f>
        <v>0</v>
      </c>
      <c r="H149" s="649" t="e">
        <f t="shared" si="27"/>
        <v>#N/A</v>
      </c>
      <c r="J149" s="413" t="e">
        <f t="shared" si="31"/>
        <v>#N/A</v>
      </c>
      <c r="L149" s="414" t="e">
        <f t="shared" si="32"/>
        <v>#N/A</v>
      </c>
      <c r="N149" s="26" t="str">
        <f t="shared" si="28"/>
        <v xml:space="preserve"> </v>
      </c>
    </row>
    <row r="150" spans="1:15" ht="13.5" x14ac:dyDescent="0.25">
      <c r="A150" s="1129">
        <v>2085</v>
      </c>
      <c r="B150" s="2876" t="s">
        <v>1226</v>
      </c>
      <c r="C150" s="2876"/>
      <c r="D150" s="398"/>
      <c r="E150" s="398"/>
      <c r="F150" s="649">
        <f>'905'!F150</f>
        <v>0</v>
      </c>
      <c r="H150" s="649" t="e">
        <f t="shared" si="27"/>
        <v>#N/A</v>
      </c>
      <c r="J150" s="413" t="e">
        <f t="shared" si="31"/>
        <v>#N/A</v>
      </c>
      <c r="L150" s="414" t="e">
        <f t="shared" si="32"/>
        <v>#N/A</v>
      </c>
      <c r="N150" s="26" t="str">
        <f t="shared" si="28"/>
        <v xml:space="preserve"> </v>
      </c>
    </row>
    <row r="151" spans="1:15" ht="13.5" x14ac:dyDescent="0.25">
      <c r="A151" s="1129">
        <v>2087</v>
      </c>
      <c r="B151" s="2876" t="s">
        <v>4593</v>
      </c>
      <c r="C151" s="2876"/>
      <c r="D151" s="398"/>
      <c r="E151" s="398"/>
      <c r="F151" s="649">
        <f>'905'!F151</f>
        <v>0</v>
      </c>
      <c r="H151" s="649" t="e">
        <f t="shared" si="27"/>
        <v>#N/A</v>
      </c>
      <c r="J151" s="413" t="e">
        <f>F151-H151</f>
        <v>#N/A</v>
      </c>
      <c r="L151" s="414" t="e">
        <f>IF(H151=0,0,J151/H151)</f>
        <v>#N/A</v>
      </c>
      <c r="N151" s="26" t="str">
        <f>IF($F$84=0," ",IF(AND(ABS(J151)&gt;$L$3,ABS(L151)&gt;$L$2),"C",IF(AND(ABS(F151+H151)&gt;0,H151=0,ABS(J151)&gt;$L$3),"C"," ")))</f>
        <v xml:space="preserve"> </v>
      </c>
    </row>
    <row r="152" spans="1:15" ht="13.5" x14ac:dyDescent="0.25">
      <c r="A152" s="1129">
        <v>2090</v>
      </c>
      <c r="B152" s="2876" t="s">
        <v>3875</v>
      </c>
      <c r="C152" s="2876"/>
      <c r="D152" s="2876"/>
      <c r="E152" s="2876"/>
      <c r="F152" s="649">
        <f>'905'!F152</f>
        <v>0</v>
      </c>
      <c r="H152" s="649" t="e">
        <f t="shared" si="27"/>
        <v>#N/A</v>
      </c>
      <c r="J152" s="413" t="e">
        <f t="shared" si="31"/>
        <v>#N/A</v>
      </c>
      <c r="L152" s="414" t="e">
        <f t="shared" si="32"/>
        <v>#N/A</v>
      </c>
      <c r="N152" s="26" t="str">
        <f t="shared" si="28"/>
        <v xml:space="preserve"> </v>
      </c>
    </row>
    <row r="153" spans="1:15" ht="13.5" x14ac:dyDescent="0.25">
      <c r="A153" s="1129">
        <v>2098</v>
      </c>
      <c r="B153" s="2876" t="s">
        <v>3876</v>
      </c>
      <c r="C153" s="2876"/>
      <c r="D153" s="2876"/>
      <c r="E153" s="2876"/>
      <c r="F153" s="649">
        <f>'905'!F153</f>
        <v>0</v>
      </c>
      <c r="H153" s="649" t="e">
        <f t="shared" si="27"/>
        <v>#N/A</v>
      </c>
      <c r="J153" s="413" t="e">
        <f>F153-H153</f>
        <v>#N/A</v>
      </c>
      <c r="L153" s="414" t="e">
        <f>IF(H153=0,0,J153/H153)</f>
        <v>#N/A</v>
      </c>
      <c r="N153" s="26" t="str">
        <f t="shared" si="28"/>
        <v xml:space="preserve"> </v>
      </c>
    </row>
    <row r="154" spans="1:15" ht="13.5" x14ac:dyDescent="0.25">
      <c r="A154" s="1129">
        <v>2099</v>
      </c>
      <c r="B154" s="2876" t="s">
        <v>4428</v>
      </c>
      <c r="C154" s="2876"/>
      <c r="D154" s="398"/>
      <c r="E154" s="398"/>
      <c r="F154" s="649">
        <f>'905'!F154</f>
        <v>0</v>
      </c>
      <c r="H154" s="649" t="e">
        <f t="shared" si="27"/>
        <v>#N/A</v>
      </c>
      <c r="J154" s="413" t="e">
        <f>F154-H154</f>
        <v>#N/A</v>
      </c>
      <c r="L154" s="414" t="e">
        <f>IF(H154=0,0,J154/H154)</f>
        <v>#N/A</v>
      </c>
      <c r="N154" s="26" t="str">
        <f>IF($F$84=0," ",IF(AND(ABS(J154)&gt;$L$3,ABS(L154)&gt;$L$2),"C",IF(AND(ABS(F154+H154)&gt;0,H154=0,ABS(J154)&gt;$L$3),"C"," ")))</f>
        <v xml:space="preserve"> </v>
      </c>
      <c r="O154" s="1610"/>
    </row>
    <row r="155" spans="1:15" ht="13.5" x14ac:dyDescent="0.25">
      <c r="A155" s="1129">
        <v>2095</v>
      </c>
      <c r="B155" s="2876" t="s">
        <v>1424</v>
      </c>
      <c r="C155" s="2876"/>
      <c r="D155" s="398"/>
      <c r="E155" s="398"/>
      <c r="F155" s="649">
        <f>'905'!F155</f>
        <v>0</v>
      </c>
      <c r="H155" s="649" t="e">
        <f t="shared" si="27"/>
        <v>#N/A</v>
      </c>
      <c r="J155" s="413" t="e">
        <f t="shared" si="31"/>
        <v>#N/A</v>
      </c>
      <c r="L155" s="414" t="e">
        <f t="shared" si="32"/>
        <v>#N/A</v>
      </c>
      <c r="N155" s="26" t="str">
        <f t="shared" si="28"/>
        <v xml:space="preserve"> </v>
      </c>
    </row>
    <row r="156" spans="1:15" ht="13.5" x14ac:dyDescent="0.25">
      <c r="A156" s="1129">
        <v>2096</v>
      </c>
      <c r="B156" s="2876" t="s">
        <v>1549</v>
      </c>
      <c r="C156" s="2876"/>
      <c r="D156" s="398"/>
      <c r="E156" s="398"/>
      <c r="F156" s="649">
        <f>'905'!F156</f>
        <v>0</v>
      </c>
      <c r="H156" s="649" t="e">
        <f t="shared" si="27"/>
        <v>#N/A</v>
      </c>
      <c r="J156" s="413" t="e">
        <f t="shared" si="31"/>
        <v>#N/A</v>
      </c>
      <c r="L156" s="414" t="e">
        <f t="shared" si="32"/>
        <v>#N/A</v>
      </c>
      <c r="N156" s="26" t="str">
        <f t="shared" si="28"/>
        <v xml:space="preserve"> </v>
      </c>
    </row>
    <row r="157" spans="1:15" ht="13.5" x14ac:dyDescent="0.25">
      <c r="B157" s="2876" t="s">
        <v>474</v>
      </c>
      <c r="C157" s="2876"/>
      <c r="D157" s="398"/>
      <c r="E157" s="398"/>
      <c r="F157" s="402">
        <f>SUM(F135:F156)</f>
        <v>0</v>
      </c>
      <c r="H157" s="402" t="e">
        <f>SUM(H135:H156)</f>
        <v>#N/A</v>
      </c>
      <c r="J157" s="413" t="e">
        <f t="shared" si="29"/>
        <v>#N/A</v>
      </c>
      <c r="L157" s="414" t="e">
        <f t="shared" si="30"/>
        <v>#N/A</v>
      </c>
    </row>
    <row r="158" spans="1:15" ht="5.25" customHeight="1" x14ac:dyDescent="0.25">
      <c r="B158" s="398"/>
      <c r="C158" s="398"/>
      <c r="D158" s="398"/>
      <c r="E158" s="398"/>
      <c r="F158" s="404"/>
      <c r="H158" s="404"/>
      <c r="J158" s="413"/>
      <c r="L158" s="414"/>
    </row>
    <row r="159" spans="1:15" ht="13.5" x14ac:dyDescent="0.25">
      <c r="B159" s="2876" t="s">
        <v>791</v>
      </c>
      <c r="C159" s="2876"/>
      <c r="D159" s="398"/>
      <c r="E159" s="398"/>
      <c r="F159" s="404">
        <f>F132+F157</f>
        <v>0</v>
      </c>
      <c r="H159" s="404" t="e">
        <f>H132+H157</f>
        <v>#N/A</v>
      </c>
      <c r="J159" s="413" t="e">
        <f t="shared" si="29"/>
        <v>#N/A</v>
      </c>
      <c r="L159" s="414" t="e">
        <f t="shared" si="30"/>
        <v>#N/A</v>
      </c>
    </row>
    <row r="160" spans="1:15" ht="5.25" customHeight="1" x14ac:dyDescent="0.25">
      <c r="B160" s="398"/>
      <c r="C160" s="398"/>
      <c r="D160" s="398"/>
      <c r="E160" s="398"/>
      <c r="F160" s="656"/>
      <c r="H160" s="656"/>
      <c r="J160" s="413"/>
      <c r="L160" s="414"/>
    </row>
    <row r="161" spans="1:15" ht="12.75" customHeight="1" x14ac:dyDescent="0.25">
      <c r="B161" s="394" t="s">
        <v>1931</v>
      </c>
      <c r="F161"/>
      <c r="H161" s="656"/>
      <c r="J161" s="413"/>
      <c r="L161" s="414"/>
    </row>
    <row r="162" spans="1:15" ht="13.5" x14ac:dyDescent="0.25">
      <c r="A162" s="335">
        <v>1764</v>
      </c>
      <c r="B162" s="2876" t="s">
        <v>1932</v>
      </c>
      <c r="C162" s="2876"/>
      <c r="D162" s="2876"/>
      <c r="E162" s="2876"/>
      <c r="F162" s="649">
        <f>'905'!F162</f>
        <v>0</v>
      </c>
      <c r="G162" s="398"/>
      <c r="H162" s="649" t="e">
        <f t="shared" ref="H162:H171" si="33">INDEX(PY905Data,MATCH($A162,PY905Row,0),MATCH($C$5,PY905Col,0))</f>
        <v>#N/A</v>
      </c>
      <c r="J162" s="413" t="e">
        <f t="shared" ref="J162:J172" si="34">F162-H162</f>
        <v>#N/A</v>
      </c>
      <c r="L162" s="414" t="e">
        <f t="shared" ref="L162:L172" si="35">IF(H162=0,0,J162/H162)</f>
        <v>#N/A</v>
      </c>
      <c r="N162" s="26" t="str">
        <f t="shared" ref="N162:N171" si="36">IF($F$84=0," ",IF(AND(ABS(J162)&gt;$L$3,ABS(L162)&gt;$L$2),"C",IF(AND(ABS(F162+H162)&gt;0,H162=0,ABS(J162)&gt;$L$3),"C"," ")))</f>
        <v xml:space="preserve"> </v>
      </c>
    </row>
    <row r="163" spans="1:15" ht="13.5" x14ac:dyDescent="0.25">
      <c r="A163" s="335">
        <v>2026</v>
      </c>
      <c r="B163" s="2876" t="s">
        <v>1933</v>
      </c>
      <c r="C163" s="2876"/>
      <c r="D163" s="2876"/>
      <c r="E163" s="2876"/>
      <c r="F163" s="649">
        <f>'905'!F163</f>
        <v>0</v>
      </c>
      <c r="G163" s="398"/>
      <c r="H163" s="649" t="e">
        <f t="shared" si="33"/>
        <v>#N/A</v>
      </c>
      <c r="J163" s="413" t="e">
        <f t="shared" si="34"/>
        <v>#N/A</v>
      </c>
      <c r="L163" s="414" t="e">
        <f t="shared" si="35"/>
        <v>#N/A</v>
      </c>
      <c r="N163" s="26" t="str">
        <f t="shared" si="36"/>
        <v xml:space="preserve"> </v>
      </c>
    </row>
    <row r="164" spans="1:15" ht="13.5" x14ac:dyDescent="0.25">
      <c r="A164" s="335">
        <v>1766</v>
      </c>
      <c r="B164" s="2876" t="s">
        <v>3557</v>
      </c>
      <c r="C164" s="2876"/>
      <c r="D164" s="2876"/>
      <c r="E164" s="2876"/>
      <c r="F164" s="649">
        <f>'905'!F164</f>
        <v>0</v>
      </c>
      <c r="G164" s="398"/>
      <c r="H164" s="649" t="e">
        <f t="shared" si="33"/>
        <v>#N/A</v>
      </c>
      <c r="J164" s="413" t="e">
        <f t="shared" si="34"/>
        <v>#N/A</v>
      </c>
      <c r="L164" s="414" t="e">
        <f t="shared" si="35"/>
        <v>#N/A</v>
      </c>
      <c r="N164" s="26" t="str">
        <f t="shared" si="36"/>
        <v xml:space="preserve"> </v>
      </c>
    </row>
    <row r="165" spans="1:15" ht="13.5" x14ac:dyDescent="0.25">
      <c r="A165" s="335">
        <v>1768</v>
      </c>
      <c r="B165" s="2876" t="s">
        <v>3574</v>
      </c>
      <c r="C165" s="2876"/>
      <c r="D165" s="2876"/>
      <c r="E165" s="2876"/>
      <c r="F165" s="649">
        <f>'905'!F165</f>
        <v>0</v>
      </c>
      <c r="G165" s="398"/>
      <c r="H165" s="649" t="e">
        <f t="shared" si="33"/>
        <v>#N/A</v>
      </c>
      <c r="J165" s="413" t="e">
        <f>F165-H165</f>
        <v>#N/A</v>
      </c>
      <c r="L165" s="414" t="e">
        <f>IF(H165=0,0,J165/H165)</f>
        <v>#N/A</v>
      </c>
      <c r="N165" s="26" t="str">
        <f t="shared" si="36"/>
        <v xml:space="preserve"> </v>
      </c>
    </row>
    <row r="166" spans="1:15" ht="13.5" x14ac:dyDescent="0.25">
      <c r="A166" s="335">
        <v>1765</v>
      </c>
      <c r="B166" s="2876" t="s">
        <v>3872</v>
      </c>
      <c r="C166" s="2876"/>
      <c r="D166" s="2876"/>
      <c r="E166" s="2876"/>
      <c r="F166" s="649">
        <f>'905'!F166</f>
        <v>0</v>
      </c>
      <c r="G166" s="398"/>
      <c r="H166" s="649" t="e">
        <f t="shared" si="33"/>
        <v>#N/A</v>
      </c>
      <c r="J166" s="413" t="e">
        <f>F166-H166</f>
        <v>#N/A</v>
      </c>
      <c r="L166" s="414" t="e">
        <f>IF(H166=0,0,J166/H166)</f>
        <v>#N/A</v>
      </c>
      <c r="N166" s="26" t="str">
        <f t="shared" si="36"/>
        <v xml:space="preserve"> </v>
      </c>
    </row>
    <row r="167" spans="1:15" ht="13.5" x14ac:dyDescent="0.25">
      <c r="A167" s="335">
        <v>1772</v>
      </c>
      <c r="B167" s="2876" t="s">
        <v>4449</v>
      </c>
      <c r="C167" s="2876"/>
      <c r="D167" s="2876"/>
      <c r="E167" s="2876"/>
      <c r="F167" s="649">
        <f>'905'!F167</f>
        <v>0</v>
      </c>
      <c r="G167" s="398"/>
      <c r="H167" s="649" t="e">
        <f t="shared" si="33"/>
        <v>#N/A</v>
      </c>
      <c r="J167" s="413" t="e">
        <f>F167-H167</f>
        <v>#N/A</v>
      </c>
      <c r="L167" s="414" t="e">
        <f>IF(H167=0,0,J167/H167)</f>
        <v>#N/A</v>
      </c>
      <c r="N167" s="26" t="str">
        <f>IF($F$84=0," ",IF(AND(ABS(J167)&gt;$L$3,ABS(L167)&gt;$L$2),"C",IF(AND(ABS(F167+H167)&gt;0,H167=0,ABS(J167)&gt;$L$3),"C"," ")))</f>
        <v xml:space="preserve"> </v>
      </c>
      <c r="O167" s="1610"/>
    </row>
    <row r="168" spans="1:15" ht="13.5" x14ac:dyDescent="0.25">
      <c r="A168" s="335">
        <v>1767</v>
      </c>
      <c r="B168" s="2876" t="s">
        <v>3871</v>
      </c>
      <c r="C168" s="2876"/>
      <c r="D168" s="2876"/>
      <c r="E168" s="2876"/>
      <c r="F168" s="649">
        <f>'905'!F168</f>
        <v>0</v>
      </c>
      <c r="G168" s="398"/>
      <c r="H168" s="649" t="e">
        <f t="shared" si="33"/>
        <v>#N/A</v>
      </c>
      <c r="J168" s="413" t="e">
        <f>F168-H168</f>
        <v>#N/A</v>
      </c>
      <c r="L168" s="414" t="e">
        <f>IF(H168=0,0,J168/H168)</f>
        <v>#N/A</v>
      </c>
      <c r="N168" s="26" t="str">
        <f>IF($F$84=0," ",IF(AND(ABS(J168)&gt;$L$3,ABS(L168)&gt;$L$2),"C",IF(AND(ABS(F168+H168)&gt;0,H168=0,ABS(J168)&gt;$L$3),"C"," ")))</f>
        <v xml:space="preserve"> </v>
      </c>
    </row>
    <row r="169" spans="1:15" ht="13.5" x14ac:dyDescent="0.25">
      <c r="A169" s="335">
        <v>1771</v>
      </c>
      <c r="B169" s="2876" t="s">
        <v>4448</v>
      </c>
      <c r="C169" s="2876"/>
      <c r="D169" s="2876"/>
      <c r="E169" s="2876"/>
      <c r="F169" s="649">
        <f>'905'!F169</f>
        <v>0</v>
      </c>
      <c r="G169" s="398"/>
      <c r="H169" s="649" t="e">
        <f t="shared" si="33"/>
        <v>#N/A</v>
      </c>
      <c r="J169" s="413" t="e">
        <f t="shared" si="34"/>
        <v>#N/A</v>
      </c>
      <c r="L169" s="414" t="e">
        <f t="shared" si="35"/>
        <v>#N/A</v>
      </c>
      <c r="N169" s="26" t="str">
        <f t="shared" si="36"/>
        <v xml:space="preserve"> </v>
      </c>
      <c r="O169" s="1610"/>
    </row>
    <row r="170" spans="1:15" ht="13.5" x14ac:dyDescent="0.25">
      <c r="A170" s="335">
        <v>1773</v>
      </c>
      <c r="B170" s="2974" t="s">
        <v>5512</v>
      </c>
      <c r="C170" s="2974"/>
      <c r="D170" s="2974"/>
      <c r="E170" s="2974"/>
      <c r="F170" s="649">
        <f>'905'!F170</f>
        <v>0</v>
      </c>
      <c r="G170" s="398"/>
      <c r="H170" s="649" t="e">
        <f t="shared" si="33"/>
        <v>#N/A</v>
      </c>
      <c r="J170" s="413" t="e">
        <f t="shared" si="34"/>
        <v>#N/A</v>
      </c>
      <c r="L170" s="414" t="e">
        <f t="shared" si="35"/>
        <v>#N/A</v>
      </c>
      <c r="N170" s="26" t="str">
        <f t="shared" si="36"/>
        <v xml:space="preserve"> </v>
      </c>
      <c r="O170" s="1610"/>
    </row>
    <row r="171" spans="1:15" ht="13.5" x14ac:dyDescent="0.25">
      <c r="A171" s="335">
        <v>1769</v>
      </c>
      <c r="B171" s="2876" t="s">
        <v>3945</v>
      </c>
      <c r="C171" s="2876"/>
      <c r="D171" s="2876"/>
      <c r="E171" s="2876"/>
      <c r="F171" s="651">
        <f>'905'!F171</f>
        <v>0</v>
      </c>
      <c r="G171" s="398"/>
      <c r="H171" s="651" t="e">
        <f t="shared" si="33"/>
        <v>#N/A</v>
      </c>
      <c r="J171" s="413" t="e">
        <f t="shared" si="34"/>
        <v>#N/A</v>
      </c>
      <c r="L171" s="414" t="e">
        <f t="shared" si="35"/>
        <v>#N/A</v>
      </c>
      <c r="N171" s="26" t="str">
        <f t="shared" si="36"/>
        <v xml:space="preserve"> </v>
      </c>
    </row>
    <row r="172" spans="1:15" ht="13.5" x14ac:dyDescent="0.25">
      <c r="B172" s="2876" t="s">
        <v>1934</v>
      </c>
      <c r="C172" s="2876"/>
      <c r="D172" s="398"/>
      <c r="E172" s="398"/>
      <c r="F172" s="404">
        <f>SUM(F162:F171)</f>
        <v>0</v>
      </c>
      <c r="G172" s="398"/>
      <c r="H172" s="404" t="e">
        <f>SUM(H162:H171)</f>
        <v>#N/A</v>
      </c>
      <c r="J172" s="413" t="e">
        <f t="shared" si="34"/>
        <v>#N/A</v>
      </c>
      <c r="L172" s="414" t="e">
        <f t="shared" si="35"/>
        <v>#N/A</v>
      </c>
    </row>
    <row r="173" spans="1:15" ht="8.25" customHeight="1" thickBot="1" x14ac:dyDescent="0.3">
      <c r="B173" s="691"/>
      <c r="C173" s="691"/>
      <c r="D173" s="691"/>
      <c r="E173" s="691"/>
      <c r="F173" s="691"/>
      <c r="G173" s="691"/>
      <c r="J173" s="413"/>
      <c r="L173" s="414"/>
    </row>
    <row r="174" spans="1:15" ht="13.5" thickBot="1" x14ac:dyDescent="0.25">
      <c r="B174" s="395" t="s">
        <v>1905</v>
      </c>
      <c r="F174" s="1566" t="s">
        <v>3963</v>
      </c>
      <c r="G174" s="1567"/>
      <c r="H174" s="1568"/>
      <c r="I174" s="1567"/>
      <c r="J174" s="1567"/>
      <c r="K174" s="1567"/>
      <c r="L174" s="1569"/>
    </row>
    <row r="175" spans="1:15" ht="13.5" x14ac:dyDescent="0.25">
      <c r="A175" s="335">
        <v>2130</v>
      </c>
      <c r="B175" s="2876" t="s">
        <v>3469</v>
      </c>
      <c r="C175" s="2876"/>
      <c r="D175" s="398"/>
      <c r="E175" s="398"/>
      <c r="F175" s="649">
        <f>'905'!F175</f>
        <v>0</v>
      </c>
      <c r="H175" s="649" t="e">
        <f>INDEX(PY905Data,MATCH($A175,PY905Row,0),MATCH($C$5,PY905Col,0))</f>
        <v>#N/A</v>
      </c>
      <c r="J175" s="413" t="e">
        <f>F175-H175</f>
        <v>#N/A</v>
      </c>
      <c r="L175" s="414" t="e">
        <f>IF(H175=0,0,J175/H175)</f>
        <v>#N/A</v>
      </c>
    </row>
    <row r="176" spans="1:15" ht="13.5" x14ac:dyDescent="0.25">
      <c r="A176" s="330"/>
      <c r="B176" s="335" t="s">
        <v>1550</v>
      </c>
      <c r="C176" s="335"/>
      <c r="D176" s="335"/>
      <c r="E176" s="335"/>
      <c r="J176" s="413"/>
      <c r="L176" s="414"/>
    </row>
    <row r="177" spans="1:14" ht="13.5" x14ac:dyDescent="0.25">
      <c r="A177" s="335">
        <v>2140</v>
      </c>
      <c r="B177" s="2876" t="s">
        <v>192</v>
      </c>
      <c r="C177" s="2876"/>
      <c r="D177" s="398"/>
      <c r="E177" s="398"/>
      <c r="F177" s="649">
        <f>'905'!F177</f>
        <v>0</v>
      </c>
      <c r="H177" s="649" t="e">
        <f>INDEX(PY905Data,MATCH($A177,PY905Row,0),MATCH($C$5,PY905Col,0))</f>
        <v>#N/A</v>
      </c>
      <c r="J177" s="413" t="e">
        <f>F177-H177</f>
        <v>#N/A</v>
      </c>
      <c r="L177" s="414" t="e">
        <f>IF(H177=0,0,J177/H177)</f>
        <v>#N/A</v>
      </c>
    </row>
    <row r="178" spans="1:14" ht="13.5" x14ac:dyDescent="0.25">
      <c r="A178" s="335">
        <v>2141</v>
      </c>
      <c r="B178" s="2876" t="s">
        <v>475</v>
      </c>
      <c r="C178" s="2876"/>
      <c r="D178" s="398"/>
      <c r="E178" s="398"/>
      <c r="F178" s="649">
        <f>'905'!F178</f>
        <v>0</v>
      </c>
      <c r="H178" s="649" t="e">
        <f>INDEX(PY905Data,MATCH($A178,PY905Row,0),MATCH($C$5,PY905Col,0))</f>
        <v>#N/A</v>
      </c>
      <c r="J178" s="413" t="e">
        <f>F178-H178</f>
        <v>#N/A</v>
      </c>
      <c r="L178" s="414" t="e">
        <f>IF(H178=0,0,J178/H178)</f>
        <v>#N/A</v>
      </c>
    </row>
    <row r="179" spans="1:14" ht="13.5" x14ac:dyDescent="0.25">
      <c r="A179" s="335">
        <v>2142</v>
      </c>
      <c r="B179" s="2876" t="s">
        <v>476</v>
      </c>
      <c r="C179" s="2876"/>
      <c r="D179" s="398"/>
      <c r="E179" s="398"/>
      <c r="F179" s="649">
        <f>'905'!F179</f>
        <v>0</v>
      </c>
      <c r="H179" s="649" t="e">
        <f>INDEX(PY905Data,MATCH($A179,PY905Row,0),MATCH($C$5,PY905Col,0))</f>
        <v>#N/A</v>
      </c>
      <c r="J179" s="413" t="e">
        <f>F179-H179</f>
        <v>#N/A</v>
      </c>
      <c r="L179" s="414" t="e">
        <f>IF(H179=0,0,J179/H179)</f>
        <v>#N/A</v>
      </c>
    </row>
    <row r="180" spans="1:14" ht="13.5" x14ac:dyDescent="0.25">
      <c r="A180" s="330"/>
      <c r="B180" s="335" t="s">
        <v>1303</v>
      </c>
      <c r="C180" s="335"/>
      <c r="D180" s="335"/>
      <c r="E180" s="335"/>
      <c r="J180" s="413"/>
      <c r="L180" s="414"/>
    </row>
    <row r="181" spans="1:14" ht="13.5" x14ac:dyDescent="0.25">
      <c r="A181" s="335">
        <v>2150</v>
      </c>
      <c r="B181" s="2876" t="s">
        <v>192</v>
      </c>
      <c r="C181" s="2876"/>
      <c r="D181" s="398"/>
      <c r="E181" s="398"/>
      <c r="F181" s="649">
        <f>'905'!F181</f>
        <v>0</v>
      </c>
      <c r="H181" s="649" t="e">
        <f>INDEX(PY905Data,MATCH($A181,PY905Row,0),MATCH($C$5,PY905Col,0))</f>
        <v>#N/A</v>
      </c>
      <c r="J181" s="413" t="e">
        <f t="shared" ref="J181:J186" si="37">F181-H181</f>
        <v>#N/A</v>
      </c>
      <c r="L181" s="414" t="e">
        <f t="shared" ref="L181:L186" si="38">IF(H181=0,0,J181/H181)</f>
        <v>#N/A</v>
      </c>
    </row>
    <row r="182" spans="1:14" ht="13.5" x14ac:dyDescent="0.25">
      <c r="A182" s="335">
        <v>2151</v>
      </c>
      <c r="B182" s="2876" t="s">
        <v>475</v>
      </c>
      <c r="C182" s="2876"/>
      <c r="D182" s="398"/>
      <c r="E182" s="398"/>
      <c r="F182" s="649">
        <f>'905'!F182</f>
        <v>0</v>
      </c>
      <c r="H182" s="649" t="e">
        <f>INDEX(PY905Data,MATCH($A182,PY905Row,0),MATCH($C$5,PY905Col,0))</f>
        <v>#N/A</v>
      </c>
      <c r="J182" s="413" t="e">
        <f t="shared" si="37"/>
        <v>#N/A</v>
      </c>
      <c r="L182" s="414" t="e">
        <f t="shared" si="38"/>
        <v>#N/A</v>
      </c>
    </row>
    <row r="183" spans="1:14" ht="13.5" x14ac:dyDescent="0.25">
      <c r="A183" s="335">
        <v>2152</v>
      </c>
      <c r="B183" s="2876" t="s">
        <v>476</v>
      </c>
      <c r="C183" s="2876"/>
      <c r="D183" s="398"/>
      <c r="E183" s="398"/>
      <c r="F183" s="649">
        <f>'905'!F183</f>
        <v>0</v>
      </c>
      <c r="H183" s="649" t="e">
        <f>INDEX(PY905Data,MATCH($A183,PY905Row,0),MATCH($C$5,PY905Col,0))</f>
        <v>#N/A</v>
      </c>
      <c r="J183" s="413" t="e">
        <f t="shared" si="37"/>
        <v>#N/A</v>
      </c>
      <c r="L183" s="414" t="e">
        <f t="shared" si="38"/>
        <v>#N/A</v>
      </c>
    </row>
    <row r="184" spans="1:14" ht="13.5" x14ac:dyDescent="0.25">
      <c r="A184" s="335">
        <v>0</v>
      </c>
      <c r="B184" s="2974" t="s">
        <v>5657</v>
      </c>
      <c r="C184" s="2974"/>
      <c r="D184" s="398"/>
      <c r="E184" s="398"/>
      <c r="F184" s="649">
        <f>'905'!F184</f>
        <v>0</v>
      </c>
      <c r="H184" s="649" t="e">
        <f>INDEX(PY905Data,MATCH($A184,PY905Row,0),MATCH($C$5,PY905Col,0))</f>
        <v>#N/A</v>
      </c>
      <c r="J184" s="413" t="e">
        <f t="shared" si="37"/>
        <v>#N/A</v>
      </c>
      <c r="L184" s="414" t="e">
        <f t="shared" si="38"/>
        <v>#N/A</v>
      </c>
    </row>
    <row r="185" spans="1:14" ht="13.5" x14ac:dyDescent="0.25">
      <c r="A185" s="335">
        <v>2180</v>
      </c>
      <c r="B185" s="2876" t="s">
        <v>923</v>
      </c>
      <c r="C185" s="2876"/>
      <c r="D185" s="398"/>
      <c r="E185" s="398"/>
      <c r="F185" s="649">
        <f>'905'!F185</f>
        <v>0</v>
      </c>
      <c r="H185" s="649" t="e">
        <f>INDEX(PY905Data,MATCH($A185,PY905Row,0),MATCH($C$5,PY905Col,0))</f>
        <v>#N/A</v>
      </c>
      <c r="J185" s="413" t="e">
        <f t="shared" si="37"/>
        <v>#N/A</v>
      </c>
      <c r="L185" s="414" t="e">
        <f t="shared" si="38"/>
        <v>#N/A</v>
      </c>
    </row>
    <row r="186" spans="1:14" ht="14.25" thickBot="1" x14ac:dyDescent="0.3">
      <c r="B186" s="2876" t="s">
        <v>1889</v>
      </c>
      <c r="C186" s="2876"/>
      <c r="D186" s="398"/>
      <c r="E186" s="398"/>
      <c r="F186" s="405">
        <f>SUM(F175:F185)</f>
        <v>0</v>
      </c>
      <c r="H186" s="405" t="e">
        <f>SUM(H175:H185)</f>
        <v>#N/A</v>
      </c>
      <c r="J186" s="413" t="e">
        <f t="shared" si="37"/>
        <v>#N/A</v>
      </c>
      <c r="L186" s="414" t="e">
        <f t="shared" si="38"/>
        <v>#N/A</v>
      </c>
    </row>
    <row r="187" spans="1:14" ht="12.75" customHeight="1" thickTop="1" x14ac:dyDescent="0.25">
      <c r="B187" s="398"/>
      <c r="C187" s="398"/>
      <c r="D187" s="398"/>
      <c r="E187" s="398"/>
      <c r="J187" s="413"/>
      <c r="L187" s="414"/>
    </row>
    <row r="188" spans="1:14" x14ac:dyDescent="0.2">
      <c r="B188" s="335" t="s">
        <v>3480</v>
      </c>
      <c r="C188" s="44"/>
      <c r="D188" s="44"/>
      <c r="E188" s="44"/>
      <c r="F188" s="805" t="str">
        <f>IF(ROUND(F84+F94-F159-F172,2)=F186, "In Bal.","Out of Bal.")</f>
        <v>In Bal.</v>
      </c>
      <c r="H188" s="805" t="e">
        <f>IF(ROUND(H84+H94-H159-H172,2)=H186, "In Bal.","Out of Bal.")</f>
        <v>#N/A</v>
      </c>
    </row>
    <row r="189" spans="1:14" x14ac:dyDescent="0.2">
      <c r="B189" s="335" t="s">
        <v>1935</v>
      </c>
      <c r="C189" s="44"/>
      <c r="D189" s="44"/>
      <c r="E189" s="44"/>
    </row>
    <row r="190" spans="1:14" x14ac:dyDescent="0.2">
      <c r="B190" s="1256" t="s">
        <v>1906</v>
      </c>
      <c r="C190" s="653"/>
      <c r="D190" s="653"/>
      <c r="E190" s="653"/>
      <c r="F190" s="654"/>
    </row>
    <row r="191" spans="1:14" x14ac:dyDescent="0.2">
      <c r="B191" s="407" t="s">
        <v>387</v>
      </c>
      <c r="C191" s="407"/>
      <c r="D191" s="407"/>
      <c r="E191" s="407"/>
      <c r="F191" s="1255" t="str">
        <f>CONCATENATE("FYE ",+TEXT(Data!$A$2,"mmmm d,yyyy"))</f>
        <v>FYE June 30,2022</v>
      </c>
      <c r="H191" s="1255" t="str">
        <f>CONCATENATE("FYE ",+TEXT(Data!$A$4,"mmmm d,yyyy"))</f>
        <v>FYE June 30,2021</v>
      </c>
    </row>
    <row r="192" spans="1:14" ht="13.5" x14ac:dyDescent="0.25">
      <c r="A192" s="335">
        <v>2310</v>
      </c>
      <c r="B192" s="2876" t="s">
        <v>782</v>
      </c>
      <c r="C192" s="2876"/>
      <c r="D192" s="398"/>
      <c r="E192" s="398"/>
      <c r="F192" s="649">
        <f>'905'!F194</f>
        <v>0</v>
      </c>
      <c r="H192" s="649" t="e">
        <f t="shared" ref="H192:H202" si="39">INDEX(PY905Data,MATCH($A192,PY905Row,0),MATCH($C$5,PY905Col,0))</f>
        <v>#N/A</v>
      </c>
      <c r="J192" s="413" t="e">
        <f t="shared" ref="J192:J203" si="40">F192-H192</f>
        <v>#N/A</v>
      </c>
      <c r="L192" s="414" t="e">
        <f t="shared" ref="L192:L203" si="41">IF(H192=0,0,J192/H192)</f>
        <v>#N/A</v>
      </c>
      <c r="N192" s="26" t="str">
        <f t="shared" ref="N192:N202" si="42">IF($F$84=0," ",IF(AND(ABS(J192)&gt;$L$3,ABS(L192)&gt;$L$2),"C",IF(AND(ABS(F192+H192)&gt;0,H192=0,ABS(J192)&gt;$L$3),"C"," ")))</f>
        <v xml:space="preserve"> </v>
      </c>
    </row>
    <row r="193" spans="1:14" ht="13.5" x14ac:dyDescent="0.25">
      <c r="A193" s="335">
        <v>2320</v>
      </c>
      <c r="B193" s="2876" t="s">
        <v>1425</v>
      </c>
      <c r="C193" s="2876"/>
      <c r="D193" s="398"/>
      <c r="E193" s="398"/>
      <c r="F193" s="649">
        <f>'905'!F195</f>
        <v>0</v>
      </c>
      <c r="H193" s="649" t="e">
        <f t="shared" si="39"/>
        <v>#N/A</v>
      </c>
      <c r="J193" s="413" t="e">
        <f t="shared" si="40"/>
        <v>#N/A</v>
      </c>
      <c r="L193" s="414" t="e">
        <f t="shared" si="41"/>
        <v>#N/A</v>
      </c>
      <c r="N193" s="26" t="str">
        <f t="shared" si="42"/>
        <v xml:space="preserve"> </v>
      </c>
    </row>
    <row r="194" spans="1:14" ht="13.5" x14ac:dyDescent="0.25">
      <c r="A194" s="335">
        <v>2330</v>
      </c>
      <c r="B194" s="2876" t="s">
        <v>1426</v>
      </c>
      <c r="C194" s="2876"/>
      <c r="D194" s="398"/>
      <c r="E194" s="398"/>
      <c r="F194" s="649">
        <f>'905'!F196</f>
        <v>0</v>
      </c>
      <c r="H194" s="649" t="e">
        <f t="shared" si="39"/>
        <v>#N/A</v>
      </c>
      <c r="J194" s="413" t="e">
        <f>F194-H194</f>
        <v>#N/A</v>
      </c>
      <c r="L194" s="414" t="e">
        <f>IF(H194=0,0,J194/H194)</f>
        <v>#N/A</v>
      </c>
      <c r="N194" s="26" t="str">
        <f t="shared" si="42"/>
        <v xml:space="preserve"> </v>
      </c>
    </row>
    <row r="195" spans="1:14" ht="13.5" x14ac:dyDescent="0.25">
      <c r="A195" s="335">
        <v>2350</v>
      </c>
      <c r="B195" s="2876" t="s">
        <v>1427</v>
      </c>
      <c r="C195" s="2876"/>
      <c r="D195" s="398"/>
      <c r="E195" s="398"/>
      <c r="F195" s="649">
        <f>'905'!F197</f>
        <v>0</v>
      </c>
      <c r="H195" s="649" t="e">
        <f t="shared" si="39"/>
        <v>#N/A</v>
      </c>
      <c r="J195" s="413" t="e">
        <f>F195-H195</f>
        <v>#N/A</v>
      </c>
      <c r="L195" s="414" t="e">
        <f>IF(H195=0,0,J195/H195)</f>
        <v>#N/A</v>
      </c>
      <c r="N195" s="26" t="str">
        <f t="shared" si="42"/>
        <v xml:space="preserve"> </v>
      </c>
    </row>
    <row r="196" spans="1:14" ht="13.5" x14ac:dyDescent="0.25">
      <c r="A196" s="335">
        <v>2370</v>
      </c>
      <c r="B196" s="2876" t="s">
        <v>388</v>
      </c>
      <c r="C196" s="2876"/>
      <c r="D196" s="398"/>
      <c r="E196" s="398"/>
      <c r="F196" s="649">
        <f>'905'!F198</f>
        <v>0</v>
      </c>
      <c r="H196" s="649" t="e">
        <f t="shared" si="39"/>
        <v>#N/A</v>
      </c>
      <c r="J196" s="413" t="e">
        <f t="shared" si="40"/>
        <v>#N/A</v>
      </c>
      <c r="L196" s="414" t="e">
        <f t="shared" si="41"/>
        <v>#N/A</v>
      </c>
      <c r="N196" s="26" t="str">
        <f t="shared" si="42"/>
        <v xml:space="preserve"> </v>
      </c>
    </row>
    <row r="197" spans="1:14" ht="13.5" x14ac:dyDescent="0.25">
      <c r="A197" s="335">
        <v>2390</v>
      </c>
      <c r="B197" s="2876" t="s">
        <v>389</v>
      </c>
      <c r="C197" s="2876"/>
      <c r="D197" s="398"/>
      <c r="E197" s="398"/>
      <c r="F197" s="649">
        <f>'905'!F199</f>
        <v>0</v>
      </c>
      <c r="H197" s="649" t="e">
        <f t="shared" si="39"/>
        <v>#N/A</v>
      </c>
      <c r="J197" s="413" t="e">
        <f t="shared" si="40"/>
        <v>#N/A</v>
      </c>
      <c r="L197" s="414" t="e">
        <f t="shared" si="41"/>
        <v>#N/A</v>
      </c>
      <c r="N197" s="26" t="str">
        <f t="shared" si="42"/>
        <v xml:space="preserve"> </v>
      </c>
    </row>
    <row r="198" spans="1:14" ht="13.5" x14ac:dyDescent="0.25">
      <c r="A198" s="335">
        <v>2400</v>
      </c>
      <c r="B198" s="2876" t="s">
        <v>390</v>
      </c>
      <c r="C198" s="2876"/>
      <c r="D198" s="398"/>
      <c r="E198" s="398"/>
      <c r="F198" s="649">
        <f>'905'!F200</f>
        <v>0</v>
      </c>
      <c r="H198" s="649" t="e">
        <f t="shared" si="39"/>
        <v>#N/A</v>
      </c>
      <c r="J198" s="413" t="e">
        <f t="shared" si="40"/>
        <v>#N/A</v>
      </c>
      <c r="L198" s="414" t="e">
        <f t="shared" si="41"/>
        <v>#N/A</v>
      </c>
      <c r="N198" s="26" t="str">
        <f t="shared" si="42"/>
        <v xml:space="preserve"> </v>
      </c>
    </row>
    <row r="199" spans="1:14" ht="13.5" x14ac:dyDescent="0.25">
      <c r="A199" s="335">
        <v>2410</v>
      </c>
      <c r="B199" s="2876" t="s">
        <v>391</v>
      </c>
      <c r="C199" s="2876"/>
      <c r="D199" s="398"/>
      <c r="E199" s="398"/>
      <c r="F199" s="649">
        <f>'905'!F201</f>
        <v>0</v>
      </c>
      <c r="H199" s="649" t="e">
        <f t="shared" si="39"/>
        <v>#N/A</v>
      </c>
      <c r="J199" s="413" t="e">
        <f t="shared" si="40"/>
        <v>#N/A</v>
      </c>
      <c r="L199" s="414" t="e">
        <f t="shared" si="41"/>
        <v>#N/A</v>
      </c>
      <c r="N199" s="26" t="str">
        <f t="shared" si="42"/>
        <v xml:space="preserve"> </v>
      </c>
    </row>
    <row r="200" spans="1:14" ht="13.5" x14ac:dyDescent="0.25">
      <c r="A200" s="335">
        <v>2420</v>
      </c>
      <c r="B200" s="2876" t="s">
        <v>783</v>
      </c>
      <c r="C200" s="2876"/>
      <c r="D200" s="398"/>
      <c r="E200" s="398"/>
      <c r="F200" s="649">
        <f>'905'!F202</f>
        <v>0</v>
      </c>
      <c r="H200" s="649" t="e">
        <f t="shared" si="39"/>
        <v>#N/A</v>
      </c>
      <c r="J200" s="413" t="e">
        <f t="shared" si="40"/>
        <v>#N/A</v>
      </c>
      <c r="L200" s="414" t="e">
        <f t="shared" si="41"/>
        <v>#N/A</v>
      </c>
      <c r="N200" s="26" t="str">
        <f t="shared" si="42"/>
        <v xml:space="preserve"> </v>
      </c>
    </row>
    <row r="201" spans="1:14" ht="13.5" x14ac:dyDescent="0.25">
      <c r="A201" s="335">
        <v>2430</v>
      </c>
      <c r="B201" s="2876" t="s">
        <v>8</v>
      </c>
      <c r="C201" s="2876"/>
      <c r="D201" s="398"/>
      <c r="E201" s="398"/>
      <c r="F201" s="649">
        <f>'905'!F203</f>
        <v>0</v>
      </c>
      <c r="H201" s="649" t="e">
        <f t="shared" si="39"/>
        <v>#N/A</v>
      </c>
      <c r="J201" s="413" t="e">
        <f t="shared" si="40"/>
        <v>#N/A</v>
      </c>
      <c r="L201" s="414" t="e">
        <f t="shared" si="41"/>
        <v>#N/A</v>
      </c>
      <c r="N201" s="26" t="str">
        <f t="shared" si="42"/>
        <v xml:space="preserve"> </v>
      </c>
    </row>
    <row r="202" spans="1:14" ht="13.5" x14ac:dyDescent="0.25">
      <c r="A202" s="335">
        <v>2450</v>
      </c>
      <c r="B202" s="2876" t="s">
        <v>643</v>
      </c>
      <c r="C202" s="2876"/>
      <c r="D202" s="398"/>
      <c r="E202" s="398"/>
      <c r="F202" s="649">
        <f>'905'!F204</f>
        <v>0</v>
      </c>
      <c r="H202" s="649" t="e">
        <f t="shared" si="39"/>
        <v>#N/A</v>
      </c>
      <c r="J202" s="413" t="e">
        <f t="shared" si="40"/>
        <v>#N/A</v>
      </c>
      <c r="L202" s="414" t="e">
        <f t="shared" si="41"/>
        <v>#N/A</v>
      </c>
      <c r="N202" s="26" t="str">
        <f t="shared" si="42"/>
        <v xml:space="preserve"> </v>
      </c>
    </row>
    <row r="203" spans="1:14" ht="13.5" x14ac:dyDescent="0.25">
      <c r="A203" s="785"/>
      <c r="B203" s="2876" t="s">
        <v>392</v>
      </c>
      <c r="C203" s="2876"/>
      <c r="D203" s="398"/>
      <c r="E203" s="398"/>
      <c r="F203" s="402">
        <f>SUM(F192:F202)</f>
        <v>0</v>
      </c>
      <c r="H203" s="402" t="e">
        <f>SUM(H192:H202)</f>
        <v>#N/A</v>
      </c>
      <c r="J203" s="413" t="e">
        <f t="shared" si="40"/>
        <v>#N/A</v>
      </c>
      <c r="L203" s="414" t="e">
        <f t="shared" si="41"/>
        <v>#N/A</v>
      </c>
    </row>
    <row r="204" spans="1:14" ht="7.5" customHeight="1" x14ac:dyDescent="0.25">
      <c r="B204" s="398"/>
      <c r="C204" s="398"/>
      <c r="D204" s="398"/>
      <c r="E204" s="398"/>
      <c r="F204" s="656"/>
      <c r="H204" s="656"/>
      <c r="J204" s="413"/>
      <c r="L204" s="414"/>
    </row>
    <row r="205" spans="1:14" ht="13.5" x14ac:dyDescent="0.25">
      <c r="B205" s="407" t="s">
        <v>393</v>
      </c>
      <c r="C205" s="407"/>
      <c r="D205" s="407"/>
      <c r="E205" s="407"/>
      <c r="J205" s="413"/>
      <c r="L205" s="414"/>
    </row>
    <row r="206" spans="1:14" ht="13.5" x14ac:dyDescent="0.25">
      <c r="A206" s="335">
        <v>2490</v>
      </c>
      <c r="B206" s="2964" t="s">
        <v>394</v>
      </c>
      <c r="C206" s="2964"/>
      <c r="D206" s="2964"/>
      <c r="E206" s="2964"/>
      <c r="F206" s="649">
        <f>'905'!F208</f>
        <v>0</v>
      </c>
      <c r="H206" s="649" t="e">
        <f t="shared" ref="H206:H213" si="43">INDEX(PY905Data,MATCH($A206,PY905Row,0),MATCH($C$5,PY905Col,0))</f>
        <v>#N/A</v>
      </c>
      <c r="J206" s="413" t="e">
        <f t="shared" ref="J206:J219" si="44">F206-H206</f>
        <v>#N/A</v>
      </c>
      <c r="L206" s="414" t="e">
        <f t="shared" ref="L206:L219" si="45">IF(H206=0,0,J206/H206)</f>
        <v>#N/A</v>
      </c>
      <c r="N206" s="26" t="str">
        <f t="shared" ref="N206:N217" si="46">IF($F$84=0," ",IF(AND(ABS(J206)&gt;$L$3,ABS(L206)&gt;$L$2),"C",IF(AND(ABS(F206+H206)&gt;0,H206=0,ABS(J206)&gt;$L$3),"C"," ")))</f>
        <v xml:space="preserve"> </v>
      </c>
    </row>
    <row r="207" spans="1:14" ht="13.5" x14ac:dyDescent="0.25">
      <c r="A207" s="335">
        <v>2510</v>
      </c>
      <c r="B207" s="2876" t="s">
        <v>395</v>
      </c>
      <c r="C207" s="2876"/>
      <c r="D207" s="398"/>
      <c r="E207" s="398"/>
      <c r="F207" s="649">
        <f>'905'!F209</f>
        <v>0</v>
      </c>
      <c r="H207" s="649" t="e">
        <f t="shared" si="43"/>
        <v>#N/A</v>
      </c>
      <c r="J207" s="413" t="e">
        <f t="shared" si="44"/>
        <v>#N/A</v>
      </c>
      <c r="L207" s="414" t="e">
        <f t="shared" si="45"/>
        <v>#N/A</v>
      </c>
      <c r="N207" s="26" t="str">
        <f t="shared" si="46"/>
        <v xml:space="preserve"> </v>
      </c>
    </row>
    <row r="208" spans="1:14" ht="13.5" x14ac:dyDescent="0.25">
      <c r="A208" s="335">
        <v>2520</v>
      </c>
      <c r="B208" s="2876" t="s">
        <v>396</v>
      </c>
      <c r="C208" s="2876"/>
      <c r="D208" s="398"/>
      <c r="E208" s="398"/>
      <c r="F208" s="649">
        <f>'905'!F210</f>
        <v>0</v>
      </c>
      <c r="H208" s="649" t="e">
        <f t="shared" si="43"/>
        <v>#N/A</v>
      </c>
      <c r="J208" s="413" t="e">
        <f t="shared" si="44"/>
        <v>#N/A</v>
      </c>
      <c r="L208" s="414" t="e">
        <f t="shared" si="45"/>
        <v>#N/A</v>
      </c>
      <c r="N208" s="26" t="str">
        <f t="shared" si="46"/>
        <v xml:space="preserve"> </v>
      </c>
    </row>
    <row r="209" spans="1:14" ht="13.5" x14ac:dyDescent="0.25">
      <c r="A209" s="335">
        <v>2550</v>
      </c>
      <c r="B209" s="2876" t="s">
        <v>397</v>
      </c>
      <c r="C209" s="2876"/>
      <c r="D209" s="398"/>
      <c r="E209" s="398"/>
      <c r="F209" s="649">
        <f>'905'!F211</f>
        <v>0</v>
      </c>
      <c r="H209" s="649" t="e">
        <f t="shared" si="43"/>
        <v>#N/A</v>
      </c>
      <c r="J209" s="413" t="e">
        <f t="shared" si="44"/>
        <v>#N/A</v>
      </c>
      <c r="L209" s="414" t="e">
        <f t="shared" si="45"/>
        <v>#N/A</v>
      </c>
      <c r="N209" s="26" t="str">
        <f t="shared" si="46"/>
        <v xml:space="preserve"> </v>
      </c>
    </row>
    <row r="210" spans="1:14" ht="13.5" x14ac:dyDescent="0.25">
      <c r="A210" s="335">
        <v>2540</v>
      </c>
      <c r="B210" s="2876" t="s">
        <v>1171</v>
      </c>
      <c r="C210" s="2876"/>
      <c r="D210" s="398"/>
      <c r="E210" s="398"/>
      <c r="F210" s="649">
        <f>'905'!F212</f>
        <v>0</v>
      </c>
      <c r="H210" s="649" t="e">
        <f t="shared" si="43"/>
        <v>#N/A</v>
      </c>
      <c r="J210" s="413" t="e">
        <f t="shared" si="44"/>
        <v>#N/A</v>
      </c>
      <c r="L210" s="414" t="e">
        <f t="shared" si="45"/>
        <v>#N/A</v>
      </c>
      <c r="N210" s="26" t="str">
        <f t="shared" si="46"/>
        <v xml:space="preserve"> </v>
      </c>
    </row>
    <row r="211" spans="1:14" ht="13.5" x14ac:dyDescent="0.25">
      <c r="A211" s="335">
        <v>2560</v>
      </c>
      <c r="B211" s="2876" t="s">
        <v>379</v>
      </c>
      <c r="C211" s="2876"/>
      <c r="D211" s="398"/>
      <c r="E211" s="398"/>
      <c r="F211" s="649">
        <f>'905'!F213</f>
        <v>0</v>
      </c>
      <c r="H211" s="649" t="e">
        <f t="shared" si="43"/>
        <v>#N/A</v>
      </c>
      <c r="J211" s="413" t="e">
        <f t="shared" si="44"/>
        <v>#N/A</v>
      </c>
      <c r="L211" s="414" t="e">
        <f t="shared" si="45"/>
        <v>#N/A</v>
      </c>
      <c r="N211" s="26" t="str">
        <f t="shared" si="46"/>
        <v xml:space="preserve"> </v>
      </c>
    </row>
    <row r="212" spans="1:14" ht="13.5" x14ac:dyDescent="0.25">
      <c r="A212" s="335">
        <v>2570</v>
      </c>
      <c r="B212" s="2876" t="s">
        <v>1183</v>
      </c>
      <c r="C212" s="2876"/>
      <c r="D212" s="398"/>
      <c r="E212" s="398"/>
      <c r="F212" s="649">
        <f>'905'!F214</f>
        <v>0</v>
      </c>
      <c r="H212" s="649" t="e">
        <f t="shared" si="43"/>
        <v>#N/A</v>
      </c>
      <c r="J212" s="413" t="e">
        <f t="shared" si="44"/>
        <v>#N/A</v>
      </c>
      <c r="L212" s="414" t="e">
        <f t="shared" si="45"/>
        <v>#N/A</v>
      </c>
      <c r="N212" s="26" t="str">
        <f t="shared" si="46"/>
        <v xml:space="preserve"> </v>
      </c>
    </row>
    <row r="213" spans="1:14" ht="13.5" x14ac:dyDescent="0.25">
      <c r="A213" s="335">
        <v>2590</v>
      </c>
      <c r="B213" s="2876" t="s">
        <v>1428</v>
      </c>
      <c r="C213" s="2876"/>
      <c r="D213" s="398"/>
      <c r="E213" s="398"/>
      <c r="F213" s="649">
        <f>'905'!F215</f>
        <v>0</v>
      </c>
      <c r="H213" s="649" t="e">
        <f t="shared" si="43"/>
        <v>#N/A</v>
      </c>
      <c r="J213" s="413" t="e">
        <f>F213-H213</f>
        <v>#N/A</v>
      </c>
      <c r="L213" s="414" t="e">
        <f>IF(H213=0,0,J213/H213)</f>
        <v>#N/A</v>
      </c>
      <c r="N213" s="26" t="str">
        <f t="shared" si="46"/>
        <v xml:space="preserve"> </v>
      </c>
    </row>
    <row r="214" spans="1:14" ht="11.25" customHeight="1" x14ac:dyDescent="0.25">
      <c r="A214" s="335"/>
      <c r="B214" s="335" t="s">
        <v>635</v>
      </c>
      <c r="C214" s="335"/>
      <c r="D214" s="335"/>
      <c r="E214" s="335"/>
      <c r="J214" s="413"/>
      <c r="L214" s="414"/>
    </row>
    <row r="215" spans="1:14" ht="13.5" x14ac:dyDescent="0.25">
      <c r="A215" s="335">
        <v>2610</v>
      </c>
      <c r="B215" s="3007" t="s">
        <v>1429</v>
      </c>
      <c r="C215" s="3007"/>
      <c r="D215" s="399"/>
      <c r="E215" s="399"/>
      <c r="F215" s="649">
        <f>'905'!F217</f>
        <v>0</v>
      </c>
      <c r="H215" s="649" t="e">
        <f>INDEX(PY905Data,MATCH($A215,PY905Row,0),MATCH($C$5,PY905Col,0))</f>
        <v>#N/A</v>
      </c>
      <c r="J215" s="413" t="e">
        <f>F215-H215</f>
        <v>#N/A</v>
      </c>
      <c r="L215" s="414" t="e">
        <f>IF(H215=0,0,J215/H215)</f>
        <v>#N/A</v>
      </c>
      <c r="N215" s="26" t="str">
        <f t="shared" si="46"/>
        <v xml:space="preserve"> </v>
      </c>
    </row>
    <row r="216" spans="1:14" ht="13.5" x14ac:dyDescent="0.25">
      <c r="A216" s="335">
        <v>2625</v>
      </c>
      <c r="B216" s="3007" t="s">
        <v>1464</v>
      </c>
      <c r="C216" s="3007"/>
      <c r="D216" s="399"/>
      <c r="E216" s="399"/>
      <c r="F216" s="649">
        <f>'905'!F218</f>
        <v>0</v>
      </c>
      <c r="H216" s="649" t="e">
        <f>INDEX(PY905Data,MATCH($A216,PY905Row,0),MATCH($C$5,PY905Col,0))</f>
        <v>#N/A</v>
      </c>
      <c r="J216" s="413" t="e">
        <f>F216-H216</f>
        <v>#N/A</v>
      </c>
      <c r="L216" s="414" t="e">
        <f>IF(H216=0,0,J216/H216)</f>
        <v>#N/A</v>
      </c>
      <c r="N216" s="26" t="str">
        <f t="shared" si="46"/>
        <v xml:space="preserve"> </v>
      </c>
    </row>
    <row r="217" spans="1:14" ht="13.5" x14ac:dyDescent="0.25">
      <c r="A217" s="335">
        <v>2630</v>
      </c>
      <c r="B217" s="3007" t="s">
        <v>1430</v>
      </c>
      <c r="C217" s="3007"/>
      <c r="D217" s="399"/>
      <c r="E217" s="399"/>
      <c r="F217" s="651">
        <f>'905'!F219</f>
        <v>0</v>
      </c>
      <c r="H217" s="651" t="e">
        <f>INDEX(PY905Data,MATCH($A217,PY905Row,0),MATCH($C$5,PY905Col,0))</f>
        <v>#N/A</v>
      </c>
      <c r="J217" s="413" t="e">
        <f t="shared" si="44"/>
        <v>#N/A</v>
      </c>
      <c r="L217" s="414" t="e">
        <f t="shared" si="45"/>
        <v>#N/A</v>
      </c>
      <c r="N217" s="26" t="str">
        <f t="shared" si="46"/>
        <v xml:space="preserve"> </v>
      </c>
    </row>
    <row r="218" spans="1:14" ht="13.5" x14ac:dyDescent="0.25">
      <c r="B218" s="2876" t="s">
        <v>1184</v>
      </c>
      <c r="C218" s="2876"/>
      <c r="D218" s="398"/>
      <c r="E218" s="398"/>
      <c r="F218" s="404">
        <f>SUM(F206:F217)</f>
        <v>0</v>
      </c>
      <c r="H218" s="404" t="e">
        <f>SUM(H206:H217)</f>
        <v>#N/A</v>
      </c>
      <c r="J218" s="413" t="e">
        <f t="shared" si="44"/>
        <v>#N/A</v>
      </c>
      <c r="L218" s="414" t="e">
        <f t="shared" si="45"/>
        <v>#N/A</v>
      </c>
    </row>
    <row r="219" spans="1:14" ht="13.5" x14ac:dyDescent="0.25">
      <c r="B219" s="2876" t="s">
        <v>933</v>
      </c>
      <c r="C219" s="2876"/>
      <c r="D219" s="398"/>
      <c r="E219" s="398"/>
      <c r="F219" s="402">
        <f>F203-F218</f>
        <v>0</v>
      </c>
      <c r="H219" s="402" t="e">
        <f>H203-H218</f>
        <v>#N/A</v>
      </c>
      <c r="J219" s="413" t="e">
        <f t="shared" si="44"/>
        <v>#N/A</v>
      </c>
      <c r="L219" s="414" t="e">
        <f t="shared" si="45"/>
        <v>#N/A</v>
      </c>
    </row>
    <row r="220" spans="1:14" ht="5.25" customHeight="1" x14ac:dyDescent="0.25">
      <c r="B220" s="398"/>
      <c r="C220" s="398"/>
      <c r="D220" s="398"/>
      <c r="E220" s="398"/>
      <c r="F220" s="656"/>
      <c r="H220" s="656"/>
      <c r="J220" s="413"/>
      <c r="L220" s="414"/>
    </row>
    <row r="221" spans="1:14" ht="11.25" customHeight="1" x14ac:dyDescent="0.2">
      <c r="B221" s="395" t="s">
        <v>1185</v>
      </c>
    </row>
    <row r="222" spans="1:14" ht="13.5" x14ac:dyDescent="0.25">
      <c r="A222" s="335">
        <v>2690</v>
      </c>
      <c r="B222" s="2876" t="s">
        <v>898</v>
      </c>
      <c r="C222" s="2876"/>
      <c r="D222" s="398"/>
      <c r="E222" s="398"/>
      <c r="F222" s="649">
        <f>'905'!F224</f>
        <v>0</v>
      </c>
      <c r="H222" s="649" t="e">
        <f t="shared" ref="H222:H240" si="47">INDEX(PY905Data,MATCH($A222,PY905Row,0),MATCH($C$5,PY905Col,0))</f>
        <v>#N/A</v>
      </c>
      <c r="J222" s="413" t="e">
        <f>F222-H222</f>
        <v>#N/A</v>
      </c>
      <c r="L222" s="414" t="e">
        <f>IF(H222=0,0,J222/H222)</f>
        <v>#N/A</v>
      </c>
      <c r="N222" s="26" t="str">
        <f t="shared" ref="N222:N240" si="48">IF($F$84=0," ",IF(AND(ABS(J222)&gt;$L$3,ABS(L222)&gt;$L$2),"C",IF(AND(ABS(F222+H222)&gt;0,H222=0,ABS(J222)&gt;$L$3),"C"," ")))</f>
        <v xml:space="preserve"> </v>
      </c>
    </row>
    <row r="223" spans="1:14" ht="13.5" x14ac:dyDescent="0.25">
      <c r="A223" s="335">
        <v>2691</v>
      </c>
      <c r="B223" s="2876" t="s">
        <v>1340</v>
      </c>
      <c r="C223" s="2876"/>
      <c r="D223" s="398"/>
      <c r="E223" s="398"/>
      <c r="F223" s="649">
        <f>'905'!F225</f>
        <v>0</v>
      </c>
      <c r="H223" s="649" t="e">
        <f t="shared" si="47"/>
        <v>#N/A</v>
      </c>
      <c r="J223" s="413" t="e">
        <f>F223-H223</f>
        <v>#N/A</v>
      </c>
      <c r="L223" s="414" t="e">
        <f>IF(H223=0,0,J223/H223)</f>
        <v>#N/A</v>
      </c>
      <c r="N223" s="26" t="str">
        <f t="shared" si="48"/>
        <v xml:space="preserve"> </v>
      </c>
    </row>
    <row r="224" spans="1:14" ht="13.5" x14ac:dyDescent="0.25">
      <c r="A224" s="335">
        <v>2692</v>
      </c>
      <c r="B224" s="2876" t="s">
        <v>1339</v>
      </c>
      <c r="C224" s="2876"/>
      <c r="D224" s="398"/>
      <c r="E224" s="398"/>
      <c r="F224" s="649">
        <f>'905'!F226</f>
        <v>0</v>
      </c>
      <c r="H224" s="649" t="e">
        <f t="shared" si="47"/>
        <v>#N/A</v>
      </c>
      <c r="J224" s="413" t="e">
        <f t="shared" ref="J224:J252" si="49">F224-H224</f>
        <v>#N/A</v>
      </c>
      <c r="L224" s="414" t="e">
        <f t="shared" ref="L224:L252" si="50">IF(H224=0,0,J224/H224)</f>
        <v>#N/A</v>
      </c>
      <c r="N224" s="26" t="str">
        <f t="shared" si="48"/>
        <v xml:space="preserve"> </v>
      </c>
    </row>
    <row r="225" spans="1:15" ht="13.5" x14ac:dyDescent="0.25">
      <c r="A225" s="335">
        <v>2693</v>
      </c>
      <c r="B225" s="2876" t="s">
        <v>5137</v>
      </c>
      <c r="C225" s="2876"/>
      <c r="D225" s="398"/>
      <c r="E225" s="398"/>
      <c r="F225" s="649">
        <f>'905'!F227</f>
        <v>0</v>
      </c>
      <c r="H225" s="649" t="e">
        <f t="shared" si="47"/>
        <v>#N/A</v>
      </c>
      <c r="J225" s="413" t="e">
        <f t="shared" si="49"/>
        <v>#N/A</v>
      </c>
      <c r="L225" s="414" t="e">
        <f t="shared" si="50"/>
        <v>#N/A</v>
      </c>
      <c r="N225" s="26" t="str">
        <f t="shared" si="48"/>
        <v xml:space="preserve"> </v>
      </c>
    </row>
    <row r="226" spans="1:15" ht="13.5" x14ac:dyDescent="0.25">
      <c r="A226" s="335">
        <v>2700</v>
      </c>
      <c r="B226" s="2876" t="s">
        <v>1186</v>
      </c>
      <c r="C226" s="2876"/>
      <c r="D226" s="398"/>
      <c r="E226" s="398"/>
      <c r="F226" s="649">
        <f>'905'!F228</f>
        <v>0</v>
      </c>
      <c r="H226" s="649" t="e">
        <f t="shared" si="47"/>
        <v>#N/A</v>
      </c>
      <c r="J226" s="413" t="e">
        <f>F226-H226</f>
        <v>#N/A</v>
      </c>
      <c r="L226" s="414" t="e">
        <f>IF(H226=0,0,J226/H226)</f>
        <v>#N/A</v>
      </c>
      <c r="N226" s="26" t="str">
        <f t="shared" si="48"/>
        <v xml:space="preserve"> </v>
      </c>
    </row>
    <row r="227" spans="1:15" ht="13.5" x14ac:dyDescent="0.25">
      <c r="A227" s="335">
        <v>2701</v>
      </c>
      <c r="B227" s="2876" t="s">
        <v>4795</v>
      </c>
      <c r="C227" s="2876"/>
      <c r="D227" s="398"/>
      <c r="E227" s="398"/>
      <c r="F227" s="649">
        <f>'905'!F229</f>
        <v>0</v>
      </c>
      <c r="H227" s="649" t="e">
        <f t="shared" si="47"/>
        <v>#N/A</v>
      </c>
      <c r="J227" s="413" t="e">
        <f>F227-H227</f>
        <v>#N/A</v>
      </c>
      <c r="L227" s="414" t="e">
        <f>IF(H227=0,0,J227/H227)</f>
        <v>#N/A</v>
      </c>
      <c r="N227" s="26" t="str">
        <f t="shared" si="48"/>
        <v xml:space="preserve"> </v>
      </c>
    </row>
    <row r="228" spans="1:15" ht="13.5" x14ac:dyDescent="0.25">
      <c r="A228" s="335">
        <v>2710</v>
      </c>
      <c r="B228" s="2876" t="s">
        <v>1187</v>
      </c>
      <c r="C228" s="2876"/>
      <c r="D228" s="398"/>
      <c r="E228" s="398"/>
      <c r="F228" s="649">
        <f>'905'!F230</f>
        <v>0</v>
      </c>
      <c r="H228" s="649" t="e">
        <f t="shared" si="47"/>
        <v>#N/A</v>
      </c>
      <c r="J228" s="413" t="e">
        <f>F228-H228</f>
        <v>#N/A</v>
      </c>
      <c r="L228" s="414" t="e">
        <f>IF(H228=0,0,J228/H228)</f>
        <v>#N/A</v>
      </c>
      <c r="N228" s="26" t="str">
        <f t="shared" si="48"/>
        <v xml:space="preserve"> </v>
      </c>
    </row>
    <row r="229" spans="1:15" ht="13.5" x14ac:dyDescent="0.25">
      <c r="A229" s="335">
        <v>2711</v>
      </c>
      <c r="B229" s="2876" t="s">
        <v>5313</v>
      </c>
      <c r="C229" s="2876"/>
      <c r="D229" s="398"/>
      <c r="E229" s="398"/>
      <c r="F229" s="649">
        <f>'905'!F231</f>
        <v>0</v>
      </c>
      <c r="H229" s="649" t="e">
        <f t="shared" si="47"/>
        <v>#N/A</v>
      </c>
      <c r="J229" s="413" t="e">
        <f>F229-H229</f>
        <v>#N/A</v>
      </c>
      <c r="L229" s="414" t="e">
        <f>IF(H229=0,0,J229/H229)</f>
        <v>#N/A</v>
      </c>
      <c r="N229" s="26" t="str">
        <f t="shared" si="48"/>
        <v xml:space="preserve"> </v>
      </c>
    </row>
    <row r="230" spans="1:15" ht="13.5" x14ac:dyDescent="0.25">
      <c r="A230" s="335">
        <v>2720</v>
      </c>
      <c r="B230" s="2876" t="s">
        <v>1188</v>
      </c>
      <c r="C230" s="2876"/>
      <c r="D230" s="398"/>
      <c r="E230" s="398"/>
      <c r="F230" s="649">
        <f>'905'!F232</f>
        <v>0</v>
      </c>
      <c r="H230" s="649" t="e">
        <f t="shared" si="47"/>
        <v>#N/A</v>
      </c>
      <c r="J230" s="413" t="e">
        <f t="shared" si="49"/>
        <v>#N/A</v>
      </c>
      <c r="L230" s="414" t="e">
        <f t="shared" si="50"/>
        <v>#N/A</v>
      </c>
      <c r="N230" s="26" t="str">
        <f t="shared" si="48"/>
        <v xml:space="preserve"> </v>
      </c>
    </row>
    <row r="231" spans="1:15" ht="13.5" x14ac:dyDescent="0.25">
      <c r="A231" s="335">
        <v>2740</v>
      </c>
      <c r="B231" s="2876" t="s">
        <v>497</v>
      </c>
      <c r="C231" s="2876"/>
      <c r="D231" s="398"/>
      <c r="E231" s="398"/>
      <c r="F231" s="649">
        <f>'905'!F233</f>
        <v>0</v>
      </c>
      <c r="H231" s="649" t="e">
        <f t="shared" si="47"/>
        <v>#N/A</v>
      </c>
      <c r="J231" s="413" t="e">
        <f t="shared" si="49"/>
        <v>#N/A</v>
      </c>
      <c r="L231" s="414" t="e">
        <f t="shared" si="50"/>
        <v>#N/A</v>
      </c>
      <c r="N231" s="26" t="str">
        <f t="shared" si="48"/>
        <v xml:space="preserve"> </v>
      </c>
    </row>
    <row r="232" spans="1:15" ht="13.5" x14ac:dyDescent="0.25">
      <c r="A232" s="335">
        <v>2750</v>
      </c>
      <c r="B232" s="2876" t="s">
        <v>995</v>
      </c>
      <c r="C232" s="2876"/>
      <c r="D232" s="398"/>
      <c r="E232" s="398"/>
      <c r="F232" s="649">
        <f>'905'!F234</f>
        <v>0</v>
      </c>
      <c r="H232" s="649" t="e">
        <f t="shared" si="47"/>
        <v>#N/A</v>
      </c>
      <c r="J232" s="413" t="e">
        <f t="shared" si="49"/>
        <v>#N/A</v>
      </c>
      <c r="L232" s="414" t="e">
        <f t="shared" si="50"/>
        <v>#N/A</v>
      </c>
      <c r="N232" s="26" t="str">
        <f t="shared" si="48"/>
        <v xml:space="preserve"> </v>
      </c>
    </row>
    <row r="233" spans="1:15" ht="13.5" x14ac:dyDescent="0.25">
      <c r="A233" s="335">
        <v>2755</v>
      </c>
      <c r="B233" s="2876" t="s">
        <v>4478</v>
      </c>
      <c r="C233" s="2876"/>
      <c r="D233" s="398"/>
      <c r="E233" s="398"/>
      <c r="F233" s="649">
        <f>'905'!F235</f>
        <v>0</v>
      </c>
      <c r="H233" s="649" t="e">
        <f t="shared" si="47"/>
        <v>#N/A</v>
      </c>
      <c r="J233" s="413" t="e">
        <f>F233-H233</f>
        <v>#N/A</v>
      </c>
      <c r="L233" s="414" t="e">
        <f>IF(H233=0,0,J233/H233)</f>
        <v>#N/A</v>
      </c>
      <c r="N233" s="26" t="str">
        <f>IF($F$84=0," ",IF(AND(ABS(J233)&gt;$L$3,ABS(L233)&gt;$L$2),"C",IF(AND(ABS(F233+H233)&gt;0,H233=0,ABS(J233)&gt;$L$3),"C"," ")))</f>
        <v xml:space="preserve"> </v>
      </c>
      <c r="O233" s="1610"/>
    </row>
    <row r="234" spans="1:15" ht="13.5" x14ac:dyDescent="0.25">
      <c r="A234" s="335">
        <v>2760</v>
      </c>
      <c r="B234" s="2876" t="s">
        <v>1045</v>
      </c>
      <c r="C234" s="2876"/>
      <c r="D234" s="398"/>
      <c r="E234" s="398"/>
      <c r="F234" s="649">
        <f>'905'!F236</f>
        <v>0</v>
      </c>
      <c r="H234" s="649" t="e">
        <f t="shared" si="47"/>
        <v>#N/A</v>
      </c>
      <c r="J234" s="413" t="e">
        <f t="shared" si="49"/>
        <v>#N/A</v>
      </c>
      <c r="L234" s="414" t="e">
        <f t="shared" si="50"/>
        <v>#N/A</v>
      </c>
      <c r="N234" s="26" t="str">
        <f t="shared" si="48"/>
        <v xml:space="preserve"> </v>
      </c>
    </row>
    <row r="235" spans="1:15" ht="13.5" x14ac:dyDescent="0.25">
      <c r="A235" s="335">
        <v>2770</v>
      </c>
      <c r="B235" s="2876" t="s">
        <v>1076</v>
      </c>
      <c r="C235" s="2876"/>
      <c r="D235" s="398"/>
      <c r="E235" s="398"/>
      <c r="F235" s="649">
        <f>'905'!F237</f>
        <v>0</v>
      </c>
      <c r="H235" s="649" t="e">
        <f t="shared" si="47"/>
        <v>#N/A</v>
      </c>
      <c r="J235" s="413" t="e">
        <f t="shared" si="49"/>
        <v>#N/A</v>
      </c>
      <c r="L235" s="414" t="e">
        <f t="shared" si="50"/>
        <v>#N/A</v>
      </c>
      <c r="N235" s="26" t="str">
        <f t="shared" si="48"/>
        <v xml:space="preserve"> </v>
      </c>
    </row>
    <row r="236" spans="1:15" ht="13.5" x14ac:dyDescent="0.25">
      <c r="A236" s="335">
        <v>2780</v>
      </c>
      <c r="B236" s="2876" t="s">
        <v>799</v>
      </c>
      <c r="C236" s="2876"/>
      <c r="D236" s="398"/>
      <c r="E236" s="398"/>
      <c r="F236" s="649">
        <f>'905'!F238</f>
        <v>0</v>
      </c>
      <c r="H236" s="649" t="e">
        <f t="shared" si="47"/>
        <v>#N/A</v>
      </c>
      <c r="J236" s="413" t="e">
        <f t="shared" si="49"/>
        <v>#N/A</v>
      </c>
      <c r="L236" s="414" t="e">
        <f t="shared" si="50"/>
        <v>#N/A</v>
      </c>
      <c r="N236" s="26" t="str">
        <f t="shared" si="48"/>
        <v xml:space="preserve"> </v>
      </c>
    </row>
    <row r="237" spans="1:15" ht="13.5" x14ac:dyDescent="0.25">
      <c r="A237" s="335">
        <v>2785</v>
      </c>
      <c r="B237" s="2876" t="s">
        <v>1551</v>
      </c>
      <c r="C237" s="2876"/>
      <c r="D237" s="398"/>
      <c r="E237" s="398"/>
      <c r="F237" s="649">
        <f>'905'!F239</f>
        <v>0</v>
      </c>
      <c r="H237" s="649" t="e">
        <f t="shared" si="47"/>
        <v>#N/A</v>
      </c>
      <c r="J237" s="413" t="e">
        <f>F237-H237</f>
        <v>#N/A</v>
      </c>
      <c r="L237" s="414" t="e">
        <f>IF(H237=0,0,J237/H237)</f>
        <v>#N/A</v>
      </c>
      <c r="N237" s="26" t="str">
        <f t="shared" si="48"/>
        <v xml:space="preserve"> </v>
      </c>
    </row>
    <row r="238" spans="1:15" ht="13.5" x14ac:dyDescent="0.25">
      <c r="A238" s="335">
        <v>2786</v>
      </c>
      <c r="B238" s="2974" t="s">
        <v>5513</v>
      </c>
      <c r="C238" s="2974"/>
      <c r="D238" s="398"/>
      <c r="E238" s="398"/>
      <c r="F238" s="649">
        <f>'905'!F240</f>
        <v>0</v>
      </c>
      <c r="H238" s="649" t="e">
        <f t="shared" si="47"/>
        <v>#N/A</v>
      </c>
      <c r="J238" s="413" t="e">
        <f>F238-H238</f>
        <v>#N/A</v>
      </c>
      <c r="L238" s="414" t="e">
        <f>IF(H238=0,0,J238/H238)</f>
        <v>#N/A</v>
      </c>
      <c r="N238" s="26" t="str">
        <f t="shared" si="48"/>
        <v xml:space="preserve"> </v>
      </c>
    </row>
    <row r="239" spans="1:15" ht="13.5" x14ac:dyDescent="0.25">
      <c r="A239" s="335">
        <v>2800</v>
      </c>
      <c r="B239" s="2876" t="s">
        <v>800</v>
      </c>
      <c r="C239" s="2876"/>
      <c r="D239" s="398"/>
      <c r="E239" s="398"/>
      <c r="F239" s="649">
        <f>'905'!F241</f>
        <v>0</v>
      </c>
      <c r="H239" s="649" t="e">
        <f t="shared" si="47"/>
        <v>#N/A</v>
      </c>
      <c r="J239" s="413" t="e">
        <f t="shared" si="49"/>
        <v>#N/A</v>
      </c>
      <c r="L239" s="414" t="e">
        <f t="shared" si="50"/>
        <v>#N/A</v>
      </c>
      <c r="N239" s="26" t="str">
        <f t="shared" si="48"/>
        <v xml:space="preserve"> </v>
      </c>
    </row>
    <row r="240" spans="1:15" ht="13.5" x14ac:dyDescent="0.25">
      <c r="A240" s="335">
        <v>2810</v>
      </c>
      <c r="B240" s="2876" t="s">
        <v>801</v>
      </c>
      <c r="C240" s="2876"/>
      <c r="D240" s="398"/>
      <c r="E240" s="398"/>
      <c r="F240" s="649">
        <f>'905'!F242</f>
        <v>0</v>
      </c>
      <c r="H240" s="649" t="e">
        <f t="shared" si="47"/>
        <v>#N/A</v>
      </c>
      <c r="J240" s="413" t="e">
        <f t="shared" si="49"/>
        <v>#N/A</v>
      </c>
      <c r="L240" s="414" t="e">
        <f t="shared" si="50"/>
        <v>#N/A</v>
      </c>
      <c r="N240" s="26" t="str">
        <f t="shared" si="48"/>
        <v xml:space="preserve"> </v>
      </c>
    </row>
    <row r="241" spans="1:14" ht="13.5" x14ac:dyDescent="0.25">
      <c r="B241" s="2876" t="s">
        <v>239</v>
      </c>
      <c r="C241" s="2876"/>
      <c r="D241" s="398"/>
      <c r="E241" s="398"/>
      <c r="F241" s="402">
        <f>SUM(F222:F240)</f>
        <v>0</v>
      </c>
      <c r="H241" s="402" t="e">
        <f>SUM(H222:H240)</f>
        <v>#N/A</v>
      </c>
      <c r="J241" s="413" t="e">
        <f t="shared" si="49"/>
        <v>#N/A</v>
      </c>
      <c r="L241" s="414" t="e">
        <f t="shared" si="50"/>
        <v>#N/A</v>
      </c>
    </row>
    <row r="242" spans="1:14" ht="13.5" x14ac:dyDescent="0.25">
      <c r="B242" s="2876" t="s">
        <v>408</v>
      </c>
      <c r="C242" s="2876"/>
      <c r="D242" s="398"/>
      <c r="E242" s="398"/>
      <c r="F242" s="1230">
        <f>F219+F241</f>
        <v>0</v>
      </c>
      <c r="H242" s="1230" t="e">
        <f>H219+H241</f>
        <v>#N/A</v>
      </c>
      <c r="J242" s="413" t="e">
        <f t="shared" si="49"/>
        <v>#N/A</v>
      </c>
      <c r="L242" s="414" t="e">
        <f t="shared" si="50"/>
        <v>#N/A</v>
      </c>
    </row>
    <row r="243" spans="1:14" ht="13.5" x14ac:dyDescent="0.25">
      <c r="A243" s="937">
        <v>2870</v>
      </c>
      <c r="B243" s="2876" t="s">
        <v>240</v>
      </c>
      <c r="C243" s="2876"/>
      <c r="D243" s="398"/>
      <c r="E243" s="398"/>
      <c r="F243" s="649">
        <f>'905'!F245</f>
        <v>0</v>
      </c>
      <c r="H243" s="649" t="e">
        <f t="shared" ref="H243:H249" si="51">INDEX(PY905Data,MATCH($A243,PY905Row,0),MATCH($C$5,PY905Col,0))</f>
        <v>#N/A</v>
      </c>
      <c r="J243" s="413" t="e">
        <f t="shared" si="49"/>
        <v>#N/A</v>
      </c>
      <c r="L243" s="414" t="e">
        <f t="shared" si="50"/>
        <v>#N/A</v>
      </c>
      <c r="N243" s="26" t="str">
        <f t="shared" ref="N243:N249" si="52">IF($F$84=0," ",IF(AND(ABS(J243)&gt;$L$3,ABS(L243)&gt;$L$2),"C",IF(AND(ABS(F243+H243)&gt;0,H243=0,ABS(J243)&gt;$L$3),"C"," ")))</f>
        <v xml:space="preserve"> </v>
      </c>
    </row>
    <row r="244" spans="1:14" ht="13.5" x14ac:dyDescent="0.25">
      <c r="A244" s="335">
        <v>2880</v>
      </c>
      <c r="B244" s="2876" t="s">
        <v>241</v>
      </c>
      <c r="C244" s="2876"/>
      <c r="D244" s="398"/>
      <c r="E244" s="398"/>
      <c r="F244" s="649">
        <f>'905'!F246</f>
        <v>0</v>
      </c>
      <c r="H244" s="649" t="e">
        <f t="shared" si="51"/>
        <v>#N/A</v>
      </c>
      <c r="J244" s="413" t="e">
        <f t="shared" si="49"/>
        <v>#N/A</v>
      </c>
      <c r="L244" s="414" t="e">
        <f t="shared" si="50"/>
        <v>#N/A</v>
      </c>
      <c r="N244" s="26" t="str">
        <f t="shared" si="52"/>
        <v xml:space="preserve"> </v>
      </c>
    </row>
    <row r="245" spans="1:14" ht="13.5" x14ac:dyDescent="0.25">
      <c r="A245" s="335">
        <v>2890</v>
      </c>
      <c r="B245" s="2876" t="s">
        <v>242</v>
      </c>
      <c r="C245" s="2876"/>
      <c r="D245" s="398"/>
      <c r="E245" s="398"/>
      <c r="F245" s="649">
        <f>'905'!F247</f>
        <v>0</v>
      </c>
      <c r="H245" s="649" t="e">
        <f t="shared" si="51"/>
        <v>#N/A</v>
      </c>
      <c r="J245" s="413" t="e">
        <f t="shared" si="49"/>
        <v>#N/A</v>
      </c>
      <c r="L245" s="414" t="e">
        <f t="shared" si="50"/>
        <v>#N/A</v>
      </c>
      <c r="N245" s="26" t="str">
        <f t="shared" si="52"/>
        <v xml:space="preserve"> </v>
      </c>
    </row>
    <row r="246" spans="1:14" ht="13.5" x14ac:dyDescent="0.25">
      <c r="A246" s="335">
        <v>2900</v>
      </c>
      <c r="B246" s="2876" t="s">
        <v>1432</v>
      </c>
      <c r="C246" s="2876"/>
      <c r="D246" s="398"/>
      <c r="E246" s="398"/>
      <c r="F246" s="649">
        <f>'905'!F248</f>
        <v>0</v>
      </c>
      <c r="H246" s="649" t="e">
        <f t="shared" si="51"/>
        <v>#N/A</v>
      </c>
      <c r="J246" s="413" t="e">
        <f>F246-H246</f>
        <v>#N/A</v>
      </c>
      <c r="L246" s="414" t="e">
        <f>IF(H246=0,0,J246/H246)</f>
        <v>#N/A</v>
      </c>
      <c r="N246" s="26" t="str">
        <f t="shared" si="52"/>
        <v xml:space="preserve"> </v>
      </c>
    </row>
    <row r="247" spans="1:14" ht="13.5" x14ac:dyDescent="0.25">
      <c r="A247" s="1129">
        <v>2940</v>
      </c>
      <c r="B247" s="2876" t="s">
        <v>1433</v>
      </c>
      <c r="C247" s="2876"/>
      <c r="D247" s="398"/>
      <c r="E247" s="398"/>
      <c r="F247" s="649">
        <f>'905'!F249</f>
        <v>0</v>
      </c>
      <c r="H247" s="649" t="e">
        <f t="shared" si="51"/>
        <v>#N/A</v>
      </c>
      <c r="J247" s="413" t="e">
        <f>F247-H247</f>
        <v>#N/A</v>
      </c>
      <c r="L247" s="414" t="e">
        <f>IF(H247=0,0,J247/H247)</f>
        <v>#N/A</v>
      </c>
      <c r="N247" s="26" t="str">
        <f t="shared" si="52"/>
        <v xml:space="preserve"> </v>
      </c>
    </row>
    <row r="248" spans="1:14" ht="13.5" x14ac:dyDescent="0.25">
      <c r="A248" s="335">
        <v>2950</v>
      </c>
      <c r="B248" s="2876" t="s">
        <v>243</v>
      </c>
      <c r="C248" s="2876"/>
      <c r="D248" s="398"/>
      <c r="E248" s="398"/>
      <c r="F248" s="649">
        <f>'905'!F250</f>
        <v>0</v>
      </c>
      <c r="H248" s="649" t="e">
        <f t="shared" si="51"/>
        <v>#N/A</v>
      </c>
      <c r="J248" s="413" t="e">
        <f t="shared" si="49"/>
        <v>#N/A</v>
      </c>
      <c r="L248" s="414" t="e">
        <f t="shared" si="50"/>
        <v>#N/A</v>
      </c>
      <c r="N248" s="26" t="str">
        <f t="shared" si="52"/>
        <v xml:space="preserve"> </v>
      </c>
    </row>
    <row r="249" spans="1:14" ht="13.5" x14ac:dyDescent="0.25">
      <c r="A249" s="335">
        <v>2960</v>
      </c>
      <c r="B249" s="2876" t="s">
        <v>244</v>
      </c>
      <c r="C249" s="2876"/>
      <c r="D249" s="398"/>
      <c r="E249" s="398"/>
      <c r="F249" s="651">
        <f>'905'!F251</f>
        <v>0</v>
      </c>
      <c r="H249" s="649" t="e">
        <f t="shared" si="51"/>
        <v>#N/A</v>
      </c>
      <c r="J249" s="413" t="e">
        <f t="shared" si="49"/>
        <v>#N/A</v>
      </c>
      <c r="L249" s="414" t="e">
        <f t="shared" si="50"/>
        <v>#N/A</v>
      </c>
      <c r="N249" s="26" t="str">
        <f t="shared" si="52"/>
        <v xml:space="preserve"> </v>
      </c>
    </row>
    <row r="250" spans="1:14" ht="13.5" x14ac:dyDescent="0.25">
      <c r="B250" s="2876" t="s">
        <v>1908</v>
      </c>
      <c r="C250" s="2876"/>
      <c r="D250" s="398"/>
      <c r="E250" s="398"/>
      <c r="F250" s="1230">
        <f>SUM(F242:F249)</f>
        <v>0</v>
      </c>
      <c r="H250" s="1230" t="e">
        <f>SUM(H242:H249)</f>
        <v>#N/A</v>
      </c>
      <c r="J250" s="413" t="e">
        <f t="shared" si="49"/>
        <v>#N/A</v>
      </c>
      <c r="L250" s="414" t="e">
        <f t="shared" si="50"/>
        <v>#N/A</v>
      </c>
      <c r="N250" s="1570" t="s">
        <v>3960</v>
      </c>
    </row>
    <row r="251" spans="1:14" ht="13.5" x14ac:dyDescent="0.25">
      <c r="A251" s="785">
        <v>2980</v>
      </c>
      <c r="B251" s="2876" t="s">
        <v>1907</v>
      </c>
      <c r="C251" s="2876"/>
      <c r="D251" s="398"/>
      <c r="E251" s="398"/>
      <c r="F251" s="649" t="e">
        <f>'905'!F253</f>
        <v>#N/A</v>
      </c>
      <c r="H251" s="649" t="e">
        <f>INDEX(PY905Data,MATCH($A251,PY905Row,0),MATCH($C$5,PY905Col,0))</f>
        <v>#N/A</v>
      </c>
      <c r="J251" s="413" t="e">
        <f t="shared" si="49"/>
        <v>#N/A</v>
      </c>
      <c r="L251" s="414" t="e">
        <f t="shared" si="50"/>
        <v>#N/A</v>
      </c>
      <c r="N251" s="1571" t="s">
        <v>3961</v>
      </c>
    </row>
    <row r="252" spans="1:14" ht="13.5" x14ac:dyDescent="0.25">
      <c r="A252" s="785">
        <v>2990</v>
      </c>
      <c r="B252" s="2876" t="s">
        <v>1054</v>
      </c>
      <c r="C252" s="2876"/>
      <c r="D252" s="398"/>
      <c r="E252" s="398"/>
      <c r="F252" s="649">
        <f>'905'!F254</f>
        <v>0</v>
      </c>
      <c r="H252" s="649" t="e">
        <f>INDEX(PY905Data,MATCH($A252,PY905Row,0),MATCH($C$5,PY905Col,0))</f>
        <v>#N/A</v>
      </c>
      <c r="J252" s="413" t="e">
        <f t="shared" si="49"/>
        <v>#N/A</v>
      </c>
      <c r="L252" s="414" t="e">
        <f t="shared" si="50"/>
        <v>#N/A</v>
      </c>
      <c r="N252" s="1572" t="s">
        <v>3962</v>
      </c>
    </row>
    <row r="253" spans="1:14" ht="13.5" thickBot="1" x14ac:dyDescent="0.25">
      <c r="B253" s="2876" t="s">
        <v>1909</v>
      </c>
      <c r="C253" s="2876"/>
      <c r="D253" s="398"/>
      <c r="E253" s="398"/>
      <c r="F253" s="405" t="e">
        <f>SUM(F250:F252)</f>
        <v>#N/A</v>
      </c>
      <c r="H253" s="405" t="e">
        <f>SUM(H250:H252)</f>
        <v>#N/A</v>
      </c>
    </row>
    <row r="254" spans="1:14" ht="4.5" customHeight="1" thickTop="1" x14ac:dyDescent="0.2"/>
    <row r="255" spans="1:14" x14ac:dyDescent="0.2">
      <c r="B255" s="349" t="s">
        <v>1910</v>
      </c>
      <c r="C255" s="657"/>
      <c r="D255" s="657"/>
      <c r="E255" s="657"/>
      <c r="F255" s="406" t="e">
        <f>IF(ROUND(F186-F253,2)=0,"In Bal.","Error")</f>
        <v>#N/A</v>
      </c>
      <c r="H255" s="406" t="e">
        <f>IF(ROUND(H186-H253,2)=0,"In Bal.","Error")</f>
        <v>#N/A</v>
      </c>
    </row>
    <row r="256" spans="1:14" x14ac:dyDescent="0.2">
      <c r="B256" s="398"/>
      <c r="C256" s="398"/>
      <c r="D256" s="398"/>
      <c r="E256" s="398"/>
    </row>
    <row r="257" spans="2:5" x14ac:dyDescent="0.2">
      <c r="B257" s="398"/>
      <c r="C257" s="398"/>
      <c r="D257" s="398"/>
      <c r="E257" s="398"/>
    </row>
  </sheetData>
  <sheetProtection algorithmName="SHA-512" hashValue="e62TmMOw1R1m5Cc4cPaWdQLCBZlSyIzC8g9Jwh3t9YXQr1Q5zJOotkDHi+1EJJ/VslhSj+d6EaNef42iGeEtxw==" saltValue="RKW/z4oLk8pyeFnIjTLx/A==" spinCount="100000" sheet="1" objects="1" scenarios="1" autoFilter="0"/>
  <customSheetViews>
    <customSheetView guid="{B08879A4-635B-4C39-9937-AC7883D562FC}" showGridLines="0" fitToPage="1">
      <selection activeCell="E9" sqref="E9"/>
      <pageMargins left="0.75" right="0.5" top="0.5" bottom="0.5" header="0.5" footer="0.25"/>
      <pageSetup scale="66" fitToHeight="3" orientation="portrait" r:id="rId1"/>
      <headerFooter alignWithMargins="0">
        <oddFooter>&amp;R&amp;A (&amp;P of &amp;N)</oddFooter>
      </headerFooter>
    </customSheetView>
    <customSheetView guid="{9FCFC836-1CA5-48BF-958D-24D2EA94B219}" showGridLines="0" fitToPage="1">
      <selection activeCell="E9" sqref="E9"/>
      <pageMargins left="0.75" right="0.5" top="0.5" bottom="0.5" header="0.5" footer="0.25"/>
      <pageSetup scale="66" fitToHeight="3" orientation="portrait" r:id="rId2"/>
      <headerFooter alignWithMargins="0">
        <oddFooter>&amp;R&amp;A (&amp;P of &amp;N)</oddFooter>
      </headerFooter>
    </customSheetView>
  </customSheetViews>
  <mergeCells count="215">
    <mergeCell ref="B184:C184"/>
    <mergeCell ref="B229:C229"/>
    <mergeCell ref="B227:C227"/>
    <mergeCell ref="B233:C233"/>
    <mergeCell ref="B94:C94"/>
    <mergeCell ref="B216:C216"/>
    <mergeCell ref="B195:C195"/>
    <mergeCell ref="B210:C210"/>
    <mergeCell ref="B152:E152"/>
    <mergeCell ref="B179:C179"/>
    <mergeCell ref="B163:E163"/>
    <mergeCell ref="B209:C209"/>
    <mergeCell ref="B186:C186"/>
    <mergeCell ref="B157:C157"/>
    <mergeCell ref="B178:C178"/>
    <mergeCell ref="B156:C156"/>
    <mergeCell ref="B182:C182"/>
    <mergeCell ref="B164:E164"/>
    <mergeCell ref="B171:E171"/>
    <mergeCell ref="B183:C183"/>
    <mergeCell ref="B172:C172"/>
    <mergeCell ref="B175:C175"/>
    <mergeCell ref="B148:C148"/>
    <mergeCell ref="B99:C99"/>
    <mergeCell ref="B181:C181"/>
    <mergeCell ref="A1:G1"/>
    <mergeCell ref="A2:G2"/>
    <mergeCell ref="B3:G3"/>
    <mergeCell ref="A4:G4"/>
    <mergeCell ref="B185:C185"/>
    <mergeCell ref="B84:C84"/>
    <mergeCell ref="B155:C155"/>
    <mergeCell ref="B150:C150"/>
    <mergeCell ref="B47:C47"/>
    <mergeCell ref="B43:C43"/>
    <mergeCell ref="B46:C46"/>
    <mergeCell ref="B81:C81"/>
    <mergeCell ref="B57:C57"/>
    <mergeCell ref="B58:C58"/>
    <mergeCell ref="B52:C52"/>
    <mergeCell ref="B32:C32"/>
    <mergeCell ref="B33:C33"/>
    <mergeCell ref="B21:C21"/>
    <mergeCell ref="B45:C45"/>
    <mergeCell ref="B36:C36"/>
    <mergeCell ref="B37:C37"/>
    <mergeCell ref="B44:C44"/>
    <mergeCell ref="B28:C28"/>
    <mergeCell ref="B50:C50"/>
    <mergeCell ref="B51:C51"/>
    <mergeCell ref="B54:C54"/>
    <mergeCell ref="B105:C105"/>
    <mergeCell ref="B136:C136"/>
    <mergeCell ref="B140:C140"/>
    <mergeCell ref="B193:C193"/>
    <mergeCell ref="B90:E90"/>
    <mergeCell ref="B128:E128"/>
    <mergeCell ref="B154:C154"/>
    <mergeCell ref="B167:E167"/>
    <mergeCell ref="B168:E168"/>
    <mergeCell ref="B91:E91"/>
    <mergeCell ref="B87:E87"/>
    <mergeCell ref="B53:C53"/>
    <mergeCell ref="B55:C55"/>
    <mergeCell ref="B79:C79"/>
    <mergeCell ref="B66:C66"/>
    <mergeCell ref="B70:C70"/>
    <mergeCell ref="B71:C71"/>
    <mergeCell ref="B72:C72"/>
    <mergeCell ref="B65:C65"/>
    <mergeCell ref="B177:C177"/>
    <mergeCell ref="B108:C108"/>
    <mergeCell ref="B112:C112"/>
    <mergeCell ref="B114:C114"/>
    <mergeCell ref="B139:C139"/>
    <mergeCell ref="B130:C130"/>
    <mergeCell ref="B132:C132"/>
    <mergeCell ref="B118:C118"/>
    <mergeCell ref="B113:C113"/>
    <mergeCell ref="B110:C110"/>
    <mergeCell ref="B106:C106"/>
    <mergeCell ref="B107:C107"/>
    <mergeCell ref="B232:C232"/>
    <mergeCell ref="B197:C197"/>
    <mergeCell ref="B212:C212"/>
    <mergeCell ref="B208:C208"/>
    <mergeCell ref="B228:C228"/>
    <mergeCell ref="B203:C203"/>
    <mergeCell ref="B218:C218"/>
    <mergeCell ref="B219:C219"/>
    <mergeCell ref="B224:C224"/>
    <mergeCell ref="B207:C207"/>
    <mergeCell ref="B211:C211"/>
    <mergeCell ref="B217:C217"/>
    <mergeCell ref="B213:C213"/>
    <mergeCell ref="B206:E206"/>
    <mergeCell ref="B200:C200"/>
    <mergeCell ref="B201:C201"/>
    <mergeCell ref="B199:C199"/>
    <mergeCell ref="B198:C198"/>
    <mergeCell ref="B231:C231"/>
    <mergeCell ref="B223:C223"/>
    <mergeCell ref="B226:C226"/>
    <mergeCell ref="B230:C230"/>
    <mergeCell ref="B215:C215"/>
    <mergeCell ref="B202:C202"/>
    <mergeCell ref="B41:C41"/>
    <mergeCell ref="B34:C34"/>
    <mergeCell ref="B35:C35"/>
    <mergeCell ref="B14:C14"/>
    <mergeCell ref="B16:C16"/>
    <mergeCell ref="B24:C24"/>
    <mergeCell ref="B19:C19"/>
    <mergeCell ref="B20:C20"/>
    <mergeCell ref="B17:C17"/>
    <mergeCell ref="B25:C25"/>
    <mergeCell ref="B26:C26"/>
    <mergeCell ref="B23:C23"/>
    <mergeCell ref="B30:C30"/>
    <mergeCell ref="B236:C236"/>
    <mergeCell ref="B240:C240"/>
    <mergeCell ref="N1:N3"/>
    <mergeCell ref="B13:C13"/>
    <mergeCell ref="C6:F6"/>
    <mergeCell ref="I5:L5"/>
    <mergeCell ref="B29:C29"/>
    <mergeCell ref="B109:C109"/>
    <mergeCell ref="B56:C56"/>
    <mergeCell ref="B88:E88"/>
    <mergeCell ref="B49:C49"/>
    <mergeCell ref="B78:C78"/>
    <mergeCell ref="B103:C103"/>
    <mergeCell ref="B61:C61"/>
    <mergeCell ref="B59:C59"/>
    <mergeCell ref="B93:E93"/>
    <mergeCell ref="B92:E92"/>
    <mergeCell ref="J6:L6"/>
    <mergeCell ref="B15:C15"/>
    <mergeCell ref="B102:C102"/>
    <mergeCell ref="B40:C40"/>
    <mergeCell ref="B27:C27"/>
    <mergeCell ref="B22:C22"/>
    <mergeCell ref="B31:C31"/>
    <mergeCell ref="B69:C69"/>
    <mergeCell ref="B100:C100"/>
    <mergeCell ref="B121:C121"/>
    <mergeCell ref="B138:C138"/>
    <mergeCell ref="B117:C117"/>
    <mergeCell ref="B101:C101"/>
    <mergeCell ref="B111:C111"/>
    <mergeCell ref="B253:C253"/>
    <mergeCell ref="B250:C250"/>
    <mergeCell ref="B251:C251"/>
    <mergeCell ref="B244:C244"/>
    <mergeCell ref="B245:C245"/>
    <mergeCell ref="B248:C248"/>
    <mergeCell ref="B249:C249"/>
    <mergeCell ref="B252:C252"/>
    <mergeCell ref="B246:C246"/>
    <mergeCell ref="B247:C247"/>
    <mergeCell ref="B239:C239"/>
    <mergeCell ref="B241:C241"/>
    <mergeCell ref="B243:C243"/>
    <mergeCell ref="B242:C242"/>
    <mergeCell ref="B234:C234"/>
    <mergeCell ref="B235:C235"/>
    <mergeCell ref="B237:C237"/>
    <mergeCell ref="B169:E169"/>
    <mergeCell ref="B129:E129"/>
    <mergeCell ref="B122:C122"/>
    <mergeCell ref="B166:E166"/>
    <mergeCell ref="B125:C125"/>
    <mergeCell ref="B142:C142"/>
    <mergeCell ref="B192:C192"/>
    <mergeCell ref="B62:C62"/>
    <mergeCell ref="B63:C63"/>
    <mergeCell ref="B64:C64"/>
    <mergeCell ref="B80:C80"/>
    <mergeCell ref="B77:C77"/>
    <mergeCell ref="B145:C145"/>
    <mergeCell ref="B119:C119"/>
    <mergeCell ref="B144:C144"/>
    <mergeCell ref="B89:E89"/>
    <mergeCell ref="B126:C126"/>
    <mergeCell ref="B143:C143"/>
    <mergeCell ref="B123:C123"/>
    <mergeCell ref="B124:C124"/>
    <mergeCell ref="B141:C141"/>
    <mergeCell ref="B67:C67"/>
    <mergeCell ref="B120:C120"/>
    <mergeCell ref="B82:C82"/>
    <mergeCell ref="B48:C48"/>
    <mergeCell ref="B73:C73"/>
    <mergeCell ref="B74:C74"/>
    <mergeCell ref="B75:C75"/>
    <mergeCell ref="B76:C76"/>
    <mergeCell ref="B170:E170"/>
    <mergeCell ref="B238:C238"/>
    <mergeCell ref="B225:C225"/>
    <mergeCell ref="B146:C146"/>
    <mergeCell ref="B115:C115"/>
    <mergeCell ref="B137:C137"/>
    <mergeCell ref="B116:C116"/>
    <mergeCell ref="B147:C147"/>
    <mergeCell ref="B149:C149"/>
    <mergeCell ref="B153:E153"/>
    <mergeCell ref="B151:C151"/>
    <mergeCell ref="B159:C159"/>
    <mergeCell ref="B162:E162"/>
    <mergeCell ref="B196:C196"/>
    <mergeCell ref="B222:C222"/>
    <mergeCell ref="B194:C194"/>
    <mergeCell ref="B127:E127"/>
    <mergeCell ref="B131:C131"/>
    <mergeCell ref="B165:E165"/>
  </mergeCells>
  <phoneticPr fontId="15" type="noConversion"/>
  <conditionalFormatting sqref="N1:N3">
    <cfRule type="cellIs" dxfId="6" priority="1" stopIfTrue="1" operator="equal">
      <formula>"na"</formula>
    </cfRule>
  </conditionalFormatting>
  <dataValidations disablePrompts="1" count="1">
    <dataValidation type="textLength" operator="equal" allowBlank="1" showInputMessage="1" showErrorMessage="1" errorTitle="Invalid data!" error="GASB number must be 4 digits." sqref="G7" xr:uid="{00000000-0002-0000-5100-000000000000}">
      <formula1>4</formula1>
    </dataValidation>
  </dataValidations>
  <hyperlinks>
    <hyperlink ref="B1:L1" location="Index!A1" display="Index!A1" xr:uid="{00000000-0004-0000-5100-000000000000}"/>
  </hyperlinks>
  <printOptions headings="1"/>
  <pageMargins left="0.75" right="0.5" top="0.5" bottom="0.5" header="0.5" footer="0.25"/>
  <pageSetup scale="72" fitToHeight="5" orientation="portrait" r:id="rId3"/>
  <headerFooter alignWithMargins="0">
    <oddFooter>&amp;L&amp;D &amp;T&amp;R&amp;A (&amp;P of &amp;N)</oddFooter>
  </headerFooter>
  <rowBreaks count="3" manualBreakCount="3">
    <brk id="59" max="13" man="1"/>
    <brk id="133" max="13" man="1"/>
    <brk id="189" max="13" man="1"/>
  </rowBreaks>
  <legacyDrawing r:id="rId4"/>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0"/>
  <dimension ref="A1:Y255"/>
  <sheetViews>
    <sheetView showGridLines="0" zoomScaleNormal="100" zoomScaleSheetLayoutView="100" workbookViewId="0">
      <selection sqref="A1:G1"/>
    </sheetView>
  </sheetViews>
  <sheetFormatPr defaultColWidth="9.42578125" defaultRowHeight="12.75" x14ac:dyDescent="0.2"/>
  <cols>
    <col min="1" max="1" width="4.42578125" bestFit="1" customWidth="1"/>
    <col min="2" max="2" width="15.42578125" customWidth="1"/>
    <col min="3" max="3" width="22.5703125" customWidth="1"/>
    <col min="4" max="4" width="2.42578125" customWidth="1"/>
    <col min="5" max="5" width="1.5703125" customWidth="1"/>
    <col min="6" max="6" width="18.5703125" style="649" customWidth="1"/>
    <col min="7" max="7" width="1.5703125" customWidth="1"/>
    <col min="8" max="8" width="18.5703125" style="649" customWidth="1"/>
    <col min="9" max="9" width="1.42578125" customWidth="1"/>
    <col min="10" max="10" width="14" customWidth="1"/>
    <col min="11" max="11" width="1.42578125" customWidth="1"/>
    <col min="12" max="12" width="12" customWidth="1"/>
    <col min="13" max="13" width="1.42578125" customWidth="1"/>
    <col min="14" max="14" width="10.42578125" customWidth="1"/>
  </cols>
  <sheetData>
    <row r="1" spans="1:25" ht="15.75" x14ac:dyDescent="0.25">
      <c r="A1" s="2449" t="str">
        <f>+Index!$A$1</f>
        <v xml:space="preserve">                                                               Office of the State Controller                                                                </v>
      </c>
      <c r="B1" s="2449"/>
      <c r="C1" s="2449"/>
      <c r="D1" s="2449"/>
      <c r="E1" s="2449"/>
      <c r="F1" s="2449"/>
      <c r="G1" s="2449"/>
      <c r="H1" s="622"/>
      <c r="I1" s="622"/>
      <c r="J1" s="1576"/>
      <c r="K1" s="1577" t="s">
        <v>3952</v>
      </c>
      <c r="L1" s="1576"/>
      <c r="M1" s="622"/>
      <c r="N1" s="2457" t="str">
        <f>IF(Index!$B$109="na", "NA", "")</f>
        <v/>
      </c>
      <c r="O1" s="622"/>
      <c r="Q1" s="622"/>
      <c r="R1" s="622"/>
      <c r="S1" s="622"/>
      <c r="T1" s="622"/>
      <c r="U1" s="622"/>
      <c r="V1" s="622"/>
      <c r="W1" s="622"/>
      <c r="X1" s="622"/>
    </row>
    <row r="2" spans="1:25" ht="16.5" x14ac:dyDescent="0.3">
      <c r="A2" s="3012" t="str">
        <f>+Index!$A$2</f>
        <v>2022 ACFR Worksheets</v>
      </c>
      <c r="B2" s="3012"/>
      <c r="C2" s="3012"/>
      <c r="D2" s="3012"/>
      <c r="E2" s="3012"/>
      <c r="F2" s="3012"/>
      <c r="G2" s="3012"/>
      <c r="H2" s="622"/>
      <c r="I2" s="281"/>
      <c r="J2" s="1578"/>
      <c r="K2" s="1575" t="s">
        <v>3953</v>
      </c>
      <c r="L2" s="1579">
        <v>0.15</v>
      </c>
      <c r="M2" s="281"/>
      <c r="N2" s="2457"/>
      <c r="O2" s="281"/>
      <c r="Q2" s="632"/>
      <c r="R2" s="632"/>
      <c r="S2" s="632"/>
      <c r="T2" s="632"/>
      <c r="U2" s="632"/>
      <c r="V2" s="632"/>
      <c r="W2" s="632"/>
      <c r="X2" s="632"/>
    </row>
    <row r="3" spans="1:25" ht="27.75" customHeight="1" x14ac:dyDescent="0.3">
      <c r="B3" s="3013" t="s">
        <v>3968</v>
      </c>
      <c r="C3" s="3013"/>
      <c r="D3" s="3013"/>
      <c r="E3" s="3013"/>
      <c r="F3" s="3013"/>
      <c r="G3" s="3013"/>
      <c r="H3" s="637"/>
      <c r="I3" s="637"/>
      <c r="J3" s="1580"/>
      <c r="K3" s="1575" t="s">
        <v>3955</v>
      </c>
      <c r="L3" s="1581">
        <v>40000000</v>
      </c>
      <c r="M3" s="637"/>
      <c r="N3" s="2457"/>
      <c r="O3" s="637"/>
      <c r="Q3" s="632"/>
      <c r="R3" s="632"/>
      <c r="S3" s="632"/>
      <c r="T3" s="632"/>
      <c r="U3" s="632"/>
      <c r="V3" s="632"/>
      <c r="W3" s="632"/>
      <c r="X3" s="632"/>
    </row>
    <row r="4" spans="1:25" ht="12.75" customHeight="1" x14ac:dyDescent="0.25">
      <c r="A4" s="2577"/>
      <c r="B4" s="2577"/>
      <c r="C4" s="2577"/>
      <c r="D4" s="2577"/>
      <c r="E4" s="2577"/>
      <c r="F4" s="2577"/>
      <c r="G4" s="2577"/>
      <c r="H4" s="4"/>
      <c r="I4" s="4"/>
      <c r="J4" s="1582"/>
      <c r="K4" s="1575" t="s">
        <v>3957</v>
      </c>
      <c r="L4" s="1583">
        <f>COUNTIF(N6:N252,"=C")</f>
        <v>0</v>
      </c>
      <c r="M4" s="122"/>
    </row>
    <row r="5" spans="1:25" s="200" customFormat="1" ht="13.5" customHeight="1" x14ac:dyDescent="0.2">
      <c r="B5" s="200" t="s">
        <v>327</v>
      </c>
      <c r="C5" s="639" t="str">
        <f>+Index!$E$10</f>
        <v>01</v>
      </c>
      <c r="D5" s="635"/>
      <c r="E5" s="635"/>
      <c r="H5" s="806" t="s">
        <v>972</v>
      </c>
      <c r="I5" s="2986" t="str">
        <f>+CONCATENATE(Index!$E$12," ",Index!$E$14)</f>
        <v xml:space="preserve"> </v>
      </c>
      <c r="J5" s="2986"/>
      <c r="K5" s="2986"/>
      <c r="L5" s="2986"/>
      <c r="M5"/>
      <c r="N5"/>
      <c r="O5"/>
      <c r="Q5" s="633"/>
      <c r="Y5" s="199"/>
    </row>
    <row r="6" spans="1:25" s="200" customFormat="1" ht="15" customHeight="1" x14ac:dyDescent="0.2">
      <c r="B6" s="200" t="s">
        <v>1154</v>
      </c>
      <c r="C6" s="3010" t="str">
        <f>+Index!$E$11</f>
        <v>North Carolina General Assembly</v>
      </c>
      <c r="D6" s="3010"/>
      <c r="E6" s="3010"/>
      <c r="F6" s="3010"/>
      <c r="H6" s="800" t="s">
        <v>348</v>
      </c>
      <c r="I6" s="679"/>
      <c r="J6" s="3011">
        <f>+Index!$E$13</f>
        <v>0</v>
      </c>
      <c r="K6" s="3011"/>
      <c r="L6" s="3011"/>
      <c r="Q6" s="634"/>
      <c r="R6" s="634"/>
      <c r="S6" s="634"/>
      <c r="T6" s="634"/>
      <c r="U6" s="634"/>
      <c r="V6" s="634"/>
      <c r="W6" s="634"/>
      <c r="X6" s="201"/>
      <c r="Y6" s="199"/>
    </row>
    <row r="7" spans="1:25" s="200" customFormat="1" ht="15" customHeight="1" x14ac:dyDescent="0.2">
      <c r="B7" s="200" t="s">
        <v>477</v>
      </c>
      <c r="C7" s="1069" t="e">
        <f>INDEX(NetAssetsData,MATCH('905'!$C$5,NetAssetsDataRow,0),4)</f>
        <v>#N/A</v>
      </c>
      <c r="D7" s="1047"/>
      <c r="E7" s="1047"/>
      <c r="G7" s="633"/>
      <c r="Y7" s="199"/>
    </row>
    <row r="8" spans="1:25" s="38" customFormat="1" ht="11.25" customHeight="1" x14ac:dyDescent="0.2">
      <c r="B8" s="1359" t="s">
        <v>3482</v>
      </c>
      <c r="C8" s="1360"/>
      <c r="D8" s="1360"/>
      <c r="E8" s="1360"/>
      <c r="F8" s="1360"/>
      <c r="G8" s="1360"/>
      <c r="H8" s="1360"/>
      <c r="I8" s="1361"/>
      <c r="J8" s="1360"/>
      <c r="K8" s="1573"/>
      <c r="L8" s="1362"/>
      <c r="M8" s="122"/>
      <c r="O8" s="122"/>
    </row>
    <row r="9" spans="1:25" x14ac:dyDescent="0.2">
      <c r="F9" s="1231" t="s">
        <v>3483</v>
      </c>
      <c r="H9" s="1231" t="s">
        <v>1746</v>
      </c>
      <c r="N9" s="1565" t="s">
        <v>3958</v>
      </c>
    </row>
    <row r="10" spans="1:25" ht="12.75" customHeight="1" x14ac:dyDescent="0.25">
      <c r="B10" s="109"/>
      <c r="C10" s="392"/>
      <c r="D10" s="392"/>
      <c r="E10" s="392"/>
      <c r="F10" s="408" t="str">
        <f>CONCATENATE("FY",YEAR(Data!$A$3),"-",YEAR(Data!$A$2))</f>
        <v>FY2021-2022</v>
      </c>
      <c r="G10" s="409"/>
      <c r="H10" s="408" t="str">
        <f>CONCATENATE("FY",YEAR(Data!$A$3)-1,"-",YEAR(Data!$A$2)-1)</f>
        <v>FY2020-2021</v>
      </c>
      <c r="I10" s="410"/>
      <c r="J10" s="408" t="s">
        <v>478</v>
      </c>
      <c r="K10" s="411"/>
      <c r="L10" s="412" t="s">
        <v>1012</v>
      </c>
      <c r="M10" s="411"/>
      <c r="N10" s="412" t="s">
        <v>3959</v>
      </c>
    </row>
    <row r="11" spans="1:25" ht="10.5" customHeight="1" x14ac:dyDescent="0.2">
      <c r="B11" s="394" t="s">
        <v>3964</v>
      </c>
      <c r="C11" s="807"/>
      <c r="D11" s="807"/>
      <c r="E11" s="807"/>
      <c r="F11" s="807"/>
      <c r="G11" s="807"/>
    </row>
    <row r="12" spans="1:25" ht="12" customHeight="1" x14ac:dyDescent="0.2">
      <c r="B12" s="784" t="s">
        <v>629</v>
      </c>
      <c r="C12" s="395"/>
      <c r="D12" s="395"/>
      <c r="E12" s="395"/>
    </row>
    <row r="13" spans="1:25" ht="14.25" customHeight="1" x14ac:dyDescent="0.25">
      <c r="A13" s="335">
        <v>1000</v>
      </c>
      <c r="B13" s="3009" t="s">
        <v>630</v>
      </c>
      <c r="C13" s="3009"/>
      <c r="D13" s="643"/>
      <c r="E13" s="643"/>
      <c r="F13" s="650">
        <f>'905Hosp'!F14</f>
        <v>0</v>
      </c>
      <c r="H13" s="650" t="e">
        <f>INDEX(PY905Data,MATCH($A13,PY905Row,0),MATCH($C$5,PY905Col,0))</f>
        <v>#N/A</v>
      </c>
      <c r="J13" s="413" t="e">
        <f t="shared" ref="J13:J37" si="0">F13-H13</f>
        <v>#N/A</v>
      </c>
      <c r="L13" s="414" t="e">
        <f t="shared" ref="L13:L37" si="1">IF(H13=0,0,J13/H13)</f>
        <v>#N/A</v>
      </c>
      <c r="N13" s="26" t="str">
        <f>IF($F$84=0," ",IF(AND(ABS(J13)&gt;$L$3,ABS(L13)&gt;$L$2),"C",IF(AND(ABS(F13+H13)&gt;0,H13=0,ABS(J13)&gt;$L$3),"C"," ")))</f>
        <v xml:space="preserve"> </v>
      </c>
    </row>
    <row r="14" spans="1:25" ht="13.5" x14ac:dyDescent="0.25">
      <c r="A14" s="335">
        <v>1010</v>
      </c>
      <c r="B14" s="2876" t="s">
        <v>270</v>
      </c>
      <c r="C14" s="2876"/>
      <c r="D14" s="398"/>
      <c r="E14" s="398"/>
      <c r="F14" s="649">
        <f>'905Hosp'!F15</f>
        <v>0</v>
      </c>
      <c r="H14" s="649" t="e">
        <f>INDEX(PY905Data,MATCH($A14,PY905Row,0),MATCH($C$5,PY905Col,0))</f>
        <v>#N/A</v>
      </c>
      <c r="J14" s="413" t="e">
        <f>F14-H14</f>
        <v>#N/A</v>
      </c>
      <c r="L14" s="414" t="e">
        <f>IF(H14=0,0,J14/H14)</f>
        <v>#N/A</v>
      </c>
      <c r="N14" s="26" t="str">
        <f t="shared" ref="N14:N36" si="2">IF($F$84=0," ",IF(AND(ABS(J14)&gt;$L$3,ABS(L14)&gt;$L$2),"C",IF(AND(ABS(F14+H14)&gt;0,H14=0,ABS(J14)&gt;$L$3),"C"," ")))</f>
        <v xml:space="preserve"> </v>
      </c>
    </row>
    <row r="15" spans="1:25" ht="13.5" x14ac:dyDescent="0.25">
      <c r="A15" s="335">
        <v>1050</v>
      </c>
      <c r="B15" s="2876" t="s">
        <v>425</v>
      </c>
      <c r="C15" s="2876"/>
      <c r="D15" s="398"/>
      <c r="E15" s="398"/>
      <c r="F15" s="649">
        <f>'905Hosp'!F16</f>
        <v>0</v>
      </c>
      <c r="H15" s="649" t="e">
        <f>INDEX(PY905Data,MATCH($A15,PY905Row,0),MATCH($C$5,PY905Col,0))</f>
        <v>#N/A</v>
      </c>
      <c r="J15" s="413" t="e">
        <f t="shared" si="0"/>
        <v>#N/A</v>
      </c>
      <c r="L15" s="414" t="e">
        <f t="shared" si="1"/>
        <v>#N/A</v>
      </c>
      <c r="N15" s="26" t="str">
        <f t="shared" si="2"/>
        <v xml:space="preserve"> </v>
      </c>
    </row>
    <row r="16" spans="1:25" ht="12.75" customHeight="1" x14ac:dyDescent="0.25">
      <c r="A16" s="335">
        <v>1060</v>
      </c>
      <c r="B16" s="2876" t="s">
        <v>1223</v>
      </c>
      <c r="C16" s="2876"/>
      <c r="D16" s="398"/>
      <c r="E16" s="398"/>
      <c r="F16" s="649">
        <f>'905Hosp'!F17</f>
        <v>0</v>
      </c>
      <c r="H16" s="649" t="e">
        <f>INDEX(PY905Data,MATCH($A16,PY905Row,0),MATCH($C$5,PY905Col,0))</f>
        <v>#N/A</v>
      </c>
      <c r="J16" s="413" t="e">
        <f>F16-H16</f>
        <v>#N/A</v>
      </c>
      <c r="L16" s="414" t="e">
        <f>IF(H16=0,0,J16/H16)</f>
        <v>#N/A</v>
      </c>
      <c r="N16" s="26" t="str">
        <f t="shared" si="2"/>
        <v xml:space="preserve"> </v>
      </c>
    </row>
    <row r="17" spans="1:14" ht="13.5" x14ac:dyDescent="0.25">
      <c r="A17" s="335">
        <v>1090</v>
      </c>
      <c r="B17" s="2876" t="s">
        <v>1403</v>
      </c>
      <c r="C17" s="2876"/>
      <c r="D17" s="398"/>
      <c r="E17" s="398"/>
      <c r="F17" s="649">
        <f>'905Hosp'!F18</f>
        <v>0</v>
      </c>
      <c r="H17" s="649" t="e">
        <f>INDEX(PY905Data,MATCH($A17,PY905Row,0),MATCH($C$5,PY905Col,0))</f>
        <v>#N/A</v>
      </c>
      <c r="J17" s="413" t="e">
        <f>F17-H17</f>
        <v>#N/A</v>
      </c>
      <c r="L17" s="414" t="e">
        <f>IF(H17=0,0,J17/H17)</f>
        <v>#N/A</v>
      </c>
      <c r="N17" s="26" t="str">
        <f t="shared" si="2"/>
        <v xml:space="preserve"> </v>
      </c>
    </row>
    <row r="18" spans="1:14" ht="12.75" customHeight="1" x14ac:dyDescent="0.25">
      <c r="A18" s="335"/>
      <c r="B18" s="335" t="s">
        <v>198</v>
      </c>
      <c r="C18" s="335"/>
      <c r="D18" s="335"/>
      <c r="E18" s="335"/>
      <c r="J18" s="413"/>
      <c r="L18" s="414"/>
    </row>
    <row r="19" spans="1:14" ht="12.75" customHeight="1" x14ac:dyDescent="0.25">
      <c r="A19" s="335">
        <v>1110</v>
      </c>
      <c r="B19" s="3007" t="s">
        <v>199</v>
      </c>
      <c r="C19" s="3007"/>
      <c r="D19" s="399"/>
      <c r="E19" s="399"/>
      <c r="F19" s="649">
        <f>'905Hosp'!F20</f>
        <v>0</v>
      </c>
      <c r="H19" s="649" t="e">
        <f t="shared" ref="H19:H36" si="3">INDEX(PY905Data,MATCH($A19,PY905Row,0),MATCH($C$5,PY905Col,0))</f>
        <v>#N/A</v>
      </c>
      <c r="J19" s="413" t="e">
        <f t="shared" si="0"/>
        <v>#N/A</v>
      </c>
      <c r="L19" s="414" t="e">
        <f t="shared" si="1"/>
        <v>#N/A</v>
      </c>
      <c r="N19" s="26" t="str">
        <f t="shared" si="2"/>
        <v xml:space="preserve"> </v>
      </c>
    </row>
    <row r="20" spans="1:14" ht="13.5" x14ac:dyDescent="0.25">
      <c r="A20" s="335">
        <v>1120</v>
      </c>
      <c r="B20" s="3007" t="s">
        <v>312</v>
      </c>
      <c r="C20" s="3007"/>
      <c r="D20" s="399"/>
      <c r="E20" s="399"/>
      <c r="F20" s="649">
        <f>'905Hosp'!F21</f>
        <v>0</v>
      </c>
      <c r="H20" s="649" t="e">
        <f t="shared" si="3"/>
        <v>#N/A</v>
      </c>
      <c r="J20" s="413" t="e">
        <f t="shared" si="0"/>
        <v>#N/A</v>
      </c>
      <c r="L20" s="414" t="e">
        <f t="shared" si="1"/>
        <v>#N/A</v>
      </c>
      <c r="N20" s="26" t="str">
        <f t="shared" si="2"/>
        <v xml:space="preserve"> </v>
      </c>
    </row>
    <row r="21" spans="1:14" ht="13.5" x14ac:dyDescent="0.25">
      <c r="A21" s="335">
        <v>1130</v>
      </c>
      <c r="B21" s="3007" t="s">
        <v>200</v>
      </c>
      <c r="C21" s="3007"/>
      <c r="D21" s="399"/>
      <c r="E21" s="399"/>
      <c r="F21" s="649">
        <f>'905Hosp'!F22</f>
        <v>0</v>
      </c>
      <c r="H21" s="649" t="e">
        <f t="shared" si="3"/>
        <v>#N/A</v>
      </c>
      <c r="J21" s="413" t="e">
        <f t="shared" si="0"/>
        <v>#N/A</v>
      </c>
      <c r="L21" s="414" t="e">
        <f t="shared" si="1"/>
        <v>#N/A</v>
      </c>
      <c r="N21" s="26" t="str">
        <f t="shared" si="2"/>
        <v xml:space="preserve"> </v>
      </c>
    </row>
    <row r="22" spans="1:14" ht="13.5" x14ac:dyDescent="0.25">
      <c r="A22" s="335">
        <v>1160</v>
      </c>
      <c r="B22" s="3007" t="s">
        <v>637</v>
      </c>
      <c r="C22" s="3007"/>
      <c r="D22" s="399"/>
      <c r="E22" s="399"/>
      <c r="F22" s="649">
        <f>'905Hosp'!F23</f>
        <v>0</v>
      </c>
      <c r="H22" s="649" t="e">
        <f t="shared" si="3"/>
        <v>#N/A</v>
      </c>
      <c r="J22" s="413" t="e">
        <f t="shared" si="0"/>
        <v>#N/A</v>
      </c>
      <c r="L22" s="414" t="e">
        <f t="shared" si="1"/>
        <v>#N/A</v>
      </c>
      <c r="N22" s="26" t="str">
        <f t="shared" si="2"/>
        <v xml:space="preserve"> </v>
      </c>
    </row>
    <row r="23" spans="1:14" ht="13.5" x14ac:dyDescent="0.25">
      <c r="A23" s="335">
        <v>1175</v>
      </c>
      <c r="B23" s="2876" t="s">
        <v>4815</v>
      </c>
      <c r="C23" s="2876"/>
      <c r="D23" s="399"/>
      <c r="E23" s="399"/>
      <c r="F23" s="649">
        <f>'905Hosp'!F24</f>
        <v>0</v>
      </c>
      <c r="H23" s="649" t="e">
        <f t="shared" si="3"/>
        <v>#N/A</v>
      </c>
      <c r="J23" s="413" t="e">
        <f t="shared" si="0"/>
        <v>#N/A</v>
      </c>
      <c r="L23" s="414" t="e">
        <f t="shared" si="1"/>
        <v>#N/A</v>
      </c>
      <c r="N23" s="26" t="str">
        <f t="shared" si="2"/>
        <v xml:space="preserve"> </v>
      </c>
    </row>
    <row r="24" spans="1:14" ht="13.5" x14ac:dyDescent="0.25">
      <c r="A24" s="1129">
        <v>1190</v>
      </c>
      <c r="B24" s="2876" t="s">
        <v>638</v>
      </c>
      <c r="C24" s="2876"/>
      <c r="D24" s="398"/>
      <c r="E24" s="398"/>
      <c r="F24" s="649">
        <f>'905Hosp'!F25</f>
        <v>0</v>
      </c>
      <c r="H24" s="649" t="e">
        <f t="shared" si="3"/>
        <v>#N/A</v>
      </c>
      <c r="J24" s="413" t="e">
        <f t="shared" si="0"/>
        <v>#N/A</v>
      </c>
      <c r="L24" s="414" t="e">
        <f t="shared" si="1"/>
        <v>#N/A</v>
      </c>
      <c r="N24" s="26" t="str">
        <f t="shared" si="2"/>
        <v xml:space="preserve"> </v>
      </c>
    </row>
    <row r="25" spans="1:14" ht="13.5" x14ac:dyDescent="0.25">
      <c r="A25" s="1129">
        <v>1195</v>
      </c>
      <c r="B25" s="2876" t="s">
        <v>1531</v>
      </c>
      <c r="C25" s="2876"/>
      <c r="D25" s="398"/>
      <c r="E25" s="398"/>
      <c r="F25" s="649">
        <f>'905Hosp'!F26</f>
        <v>0</v>
      </c>
      <c r="H25" s="649" t="e">
        <f t="shared" si="3"/>
        <v>#N/A</v>
      </c>
      <c r="J25" s="413" t="e">
        <f>F25-H25</f>
        <v>#N/A</v>
      </c>
      <c r="L25" s="414" t="e">
        <f>IF(H25=0,0,J25/H25)</f>
        <v>#N/A</v>
      </c>
      <c r="N25" s="26" t="str">
        <f t="shared" si="2"/>
        <v xml:space="preserve"> </v>
      </c>
    </row>
    <row r="26" spans="1:14" ht="13.5" x14ac:dyDescent="0.25">
      <c r="A26" s="1129">
        <v>1200</v>
      </c>
      <c r="B26" s="2876" t="s">
        <v>361</v>
      </c>
      <c r="C26" s="2876"/>
      <c r="D26" s="398"/>
      <c r="E26" s="398"/>
      <c r="F26" s="649">
        <f>'905Hosp'!F27</f>
        <v>0</v>
      </c>
      <c r="H26" s="649" t="e">
        <f t="shared" si="3"/>
        <v>#N/A</v>
      </c>
      <c r="J26" s="413" t="e">
        <f t="shared" si="0"/>
        <v>#N/A</v>
      </c>
      <c r="L26" s="414" t="e">
        <f t="shared" si="1"/>
        <v>#N/A</v>
      </c>
      <c r="N26" s="26" t="str">
        <f t="shared" si="2"/>
        <v xml:space="preserve"> </v>
      </c>
    </row>
    <row r="27" spans="1:14" ht="13.5" x14ac:dyDescent="0.25">
      <c r="A27" s="335">
        <v>1220</v>
      </c>
      <c r="B27" s="2876" t="s">
        <v>931</v>
      </c>
      <c r="C27" s="2876"/>
      <c r="D27" s="398"/>
      <c r="E27" s="398"/>
      <c r="F27" s="649">
        <f>'905Hosp'!F28</f>
        <v>0</v>
      </c>
      <c r="H27" s="649" t="e">
        <f t="shared" si="3"/>
        <v>#N/A</v>
      </c>
      <c r="J27" s="413" t="e">
        <f t="shared" si="0"/>
        <v>#N/A</v>
      </c>
      <c r="L27" s="414" t="e">
        <f t="shared" si="1"/>
        <v>#N/A</v>
      </c>
      <c r="N27" s="26" t="str">
        <f t="shared" si="2"/>
        <v xml:space="preserve"> </v>
      </c>
    </row>
    <row r="28" spans="1:14" ht="13.5" x14ac:dyDescent="0.25">
      <c r="A28" s="335">
        <v>1230</v>
      </c>
      <c r="B28" s="2876" t="s">
        <v>631</v>
      </c>
      <c r="C28" s="2876"/>
      <c r="D28" s="398"/>
      <c r="E28" s="398"/>
      <c r="F28" s="649">
        <f>'905Hosp'!F29</f>
        <v>0</v>
      </c>
      <c r="H28" s="649" t="e">
        <f t="shared" si="3"/>
        <v>#N/A</v>
      </c>
      <c r="J28" s="413" t="e">
        <f t="shared" si="0"/>
        <v>#N/A</v>
      </c>
      <c r="L28" s="414" t="e">
        <f t="shared" si="1"/>
        <v>#N/A</v>
      </c>
      <c r="N28" s="26" t="str">
        <f t="shared" si="2"/>
        <v xml:space="preserve"> </v>
      </c>
    </row>
    <row r="29" spans="1:14" ht="12.75" customHeight="1" x14ac:dyDescent="0.25">
      <c r="A29" s="335">
        <v>1210</v>
      </c>
      <c r="B29" s="2876" t="s">
        <v>549</v>
      </c>
      <c r="C29" s="2876"/>
      <c r="D29" s="398"/>
      <c r="E29" s="398"/>
      <c r="F29" s="649">
        <f>'905Hosp'!F30</f>
        <v>0</v>
      </c>
      <c r="H29" s="649" t="e">
        <f t="shared" si="3"/>
        <v>#N/A</v>
      </c>
      <c r="J29" s="413" t="e">
        <f t="shared" si="0"/>
        <v>#N/A</v>
      </c>
      <c r="L29" s="414" t="e">
        <f t="shared" si="1"/>
        <v>#N/A</v>
      </c>
      <c r="N29" s="26" t="str">
        <f t="shared" si="2"/>
        <v xml:space="preserve"> </v>
      </c>
    </row>
    <row r="30" spans="1:14" ht="12.75" customHeight="1" x14ac:dyDescent="0.25">
      <c r="A30" s="335">
        <v>1211</v>
      </c>
      <c r="B30" s="2974" t="s">
        <v>5517</v>
      </c>
      <c r="C30" s="2974"/>
      <c r="D30" s="398"/>
      <c r="E30" s="398"/>
      <c r="F30" s="649">
        <f>'905Hosp'!F31</f>
        <v>0</v>
      </c>
      <c r="H30" s="649" t="e">
        <f t="shared" si="3"/>
        <v>#N/A</v>
      </c>
      <c r="J30" s="413" t="e">
        <f t="shared" si="0"/>
        <v>#N/A</v>
      </c>
      <c r="L30" s="414" t="e">
        <f t="shared" si="1"/>
        <v>#N/A</v>
      </c>
      <c r="N30" s="26" t="str">
        <f t="shared" si="2"/>
        <v xml:space="preserve"> </v>
      </c>
    </row>
    <row r="31" spans="1:14" ht="13.5" x14ac:dyDescent="0.25">
      <c r="A31" s="335">
        <v>1020</v>
      </c>
      <c r="B31" s="3009" t="s">
        <v>641</v>
      </c>
      <c r="C31" s="3009"/>
      <c r="D31" s="643"/>
      <c r="E31" s="643"/>
      <c r="F31" s="649">
        <f>'905Hosp'!F32</f>
        <v>0</v>
      </c>
      <c r="H31" s="649" t="e">
        <f t="shared" si="3"/>
        <v>#N/A</v>
      </c>
      <c r="J31" s="413" t="e">
        <f t="shared" si="0"/>
        <v>#N/A</v>
      </c>
      <c r="L31" s="414" t="e">
        <f t="shared" si="1"/>
        <v>#N/A</v>
      </c>
      <c r="N31" s="26" t="str">
        <f t="shared" si="2"/>
        <v xml:space="preserve"> </v>
      </c>
    </row>
    <row r="32" spans="1:14" ht="13.5" x14ac:dyDescent="0.25">
      <c r="A32" s="335">
        <v>1030</v>
      </c>
      <c r="B32" s="2876" t="s">
        <v>1532</v>
      </c>
      <c r="C32" s="3009"/>
      <c r="D32" s="643"/>
      <c r="E32" s="643"/>
      <c r="F32" s="649">
        <f>'905Hosp'!F33</f>
        <v>0</v>
      </c>
      <c r="H32" s="649" t="e">
        <f t="shared" si="3"/>
        <v>#N/A</v>
      </c>
      <c r="J32" s="413" t="e">
        <f>F32-H32</f>
        <v>#N/A</v>
      </c>
      <c r="L32" s="414" t="e">
        <f>IF(H32=0,0,J32/H32)</f>
        <v>#N/A</v>
      </c>
      <c r="N32" s="26" t="str">
        <f t="shared" si="2"/>
        <v xml:space="preserve"> </v>
      </c>
    </row>
    <row r="33" spans="1:15" ht="13.5" x14ac:dyDescent="0.25">
      <c r="A33" s="335">
        <v>1070</v>
      </c>
      <c r="B33" s="2876" t="s">
        <v>426</v>
      </c>
      <c r="C33" s="2876"/>
      <c r="D33" s="398"/>
      <c r="E33" s="398"/>
      <c r="F33" s="649">
        <f>'905Hosp'!F34</f>
        <v>0</v>
      </c>
      <c r="H33" s="649" t="e">
        <f t="shared" si="3"/>
        <v>#N/A</v>
      </c>
      <c r="J33" s="413" t="e">
        <f t="shared" si="0"/>
        <v>#N/A</v>
      </c>
      <c r="L33" s="414" t="e">
        <f t="shared" si="1"/>
        <v>#N/A</v>
      </c>
      <c r="N33" s="26" t="str">
        <f t="shared" si="2"/>
        <v xml:space="preserve"> </v>
      </c>
    </row>
    <row r="34" spans="1:15" ht="13.5" x14ac:dyDescent="0.25">
      <c r="A34" s="335">
        <v>1232</v>
      </c>
      <c r="B34" s="2876" t="s">
        <v>1346</v>
      </c>
      <c r="C34" s="2876"/>
      <c r="D34" s="398"/>
      <c r="E34" s="398"/>
      <c r="F34" s="393">
        <f>'905Hosp'!F35</f>
        <v>0</v>
      </c>
      <c r="H34" s="649" t="e">
        <f t="shared" si="3"/>
        <v>#N/A</v>
      </c>
      <c r="J34" s="413" t="e">
        <f t="shared" si="0"/>
        <v>#N/A</v>
      </c>
      <c r="L34" s="414" t="e">
        <f t="shared" si="1"/>
        <v>#N/A</v>
      </c>
      <c r="N34" s="26" t="str">
        <f t="shared" si="2"/>
        <v xml:space="preserve"> </v>
      </c>
    </row>
    <row r="35" spans="1:15" ht="13.5" x14ac:dyDescent="0.25">
      <c r="A35" s="335">
        <v>1235</v>
      </c>
      <c r="B35" s="2876" t="s">
        <v>4445</v>
      </c>
      <c r="C35" s="2876"/>
      <c r="D35" s="398"/>
      <c r="E35" s="398"/>
      <c r="F35" s="393">
        <f>'905Hosp'!F36</f>
        <v>0</v>
      </c>
      <c r="H35" s="649" t="e">
        <f t="shared" si="3"/>
        <v>#N/A</v>
      </c>
      <c r="J35" s="413" t="e">
        <f>F35-H35</f>
        <v>#N/A</v>
      </c>
      <c r="L35" s="414" t="e">
        <f>IF(H35=0,0,J35/H35)</f>
        <v>#N/A</v>
      </c>
      <c r="N35" s="26" t="str">
        <f>IF($F$84=0," ",IF(AND(ABS(J35)&gt;$L$3,ABS(L35)&gt;$L$2),"C",IF(AND(ABS(F35+H35)&gt;0,H35=0,ABS(J35)&gt;$L$3),"C"," ")))</f>
        <v xml:space="preserve"> </v>
      </c>
      <c r="O35" s="1610"/>
    </row>
    <row r="36" spans="1:15" ht="13.5" x14ac:dyDescent="0.25">
      <c r="A36" s="335">
        <v>1233</v>
      </c>
      <c r="B36" s="2876" t="s">
        <v>4441</v>
      </c>
      <c r="C36" s="2876"/>
      <c r="D36" s="398"/>
      <c r="E36" s="398"/>
      <c r="F36" s="393">
        <f>'905Hosp'!F37</f>
        <v>0</v>
      </c>
      <c r="H36" s="649" t="e">
        <f t="shared" si="3"/>
        <v>#N/A</v>
      </c>
      <c r="J36" s="413" t="e">
        <f t="shared" si="0"/>
        <v>#N/A</v>
      </c>
      <c r="L36" s="414" t="e">
        <f t="shared" si="1"/>
        <v>#N/A</v>
      </c>
      <c r="N36" s="26" t="str">
        <f t="shared" si="2"/>
        <v xml:space="preserve"> </v>
      </c>
      <c r="O36" s="1610"/>
    </row>
    <row r="37" spans="1:15" ht="13.5" x14ac:dyDescent="0.25">
      <c r="B37" s="2876" t="s">
        <v>639</v>
      </c>
      <c r="C37" s="2876"/>
      <c r="D37" s="398"/>
      <c r="E37" s="398"/>
      <c r="F37" s="661">
        <f>SUM(F13:F36)</f>
        <v>0</v>
      </c>
      <c r="H37" s="661" t="e">
        <f>SUM(H13:H36)</f>
        <v>#N/A</v>
      </c>
      <c r="J37" s="413" t="e">
        <f t="shared" si="0"/>
        <v>#N/A</v>
      </c>
      <c r="L37" s="414" t="e">
        <f t="shared" si="1"/>
        <v>#N/A</v>
      </c>
    </row>
    <row r="38" spans="1:15" ht="6" customHeight="1" x14ac:dyDescent="0.25">
      <c r="B38" s="415"/>
      <c r="C38" s="415"/>
      <c r="D38" s="415"/>
      <c r="E38" s="415"/>
      <c r="L38" s="414"/>
    </row>
    <row r="39" spans="1:15" ht="10.5" customHeight="1" x14ac:dyDescent="0.25">
      <c r="B39" s="395" t="s">
        <v>640</v>
      </c>
      <c r="C39" s="395"/>
      <c r="D39" s="395"/>
      <c r="E39" s="395"/>
      <c r="L39" s="414"/>
    </row>
    <row r="40" spans="1:15" ht="12" customHeight="1" x14ac:dyDescent="0.25">
      <c r="A40" s="335">
        <v>1300</v>
      </c>
      <c r="B40" s="2876" t="s">
        <v>548</v>
      </c>
      <c r="C40" s="2876"/>
      <c r="D40" s="398"/>
      <c r="E40" s="398"/>
      <c r="F40" s="649">
        <f>'905Hosp'!F41</f>
        <v>0</v>
      </c>
      <c r="H40" s="649" t="e">
        <f>INDEX(PY905Data,MATCH($A40,PY905Row,0),MATCH($C$5,PY905Col,0))</f>
        <v>#N/A</v>
      </c>
      <c r="J40" s="413" t="e">
        <f>F40-H40</f>
        <v>#N/A</v>
      </c>
      <c r="L40" s="414" t="e">
        <f>IF(H40=0,0,J40/H40)</f>
        <v>#N/A</v>
      </c>
      <c r="N40" s="26" t="str">
        <f t="shared" ref="N40:N66" si="4">IF($F$84=0," ",IF(AND(ABS(J40)&gt;$L$3,ABS(L40)&gt;$L$2),"C",IF(AND(ABS(F40+H40)&gt;0,H40=0,ABS(J40)&gt;$L$3),"C"," ")))</f>
        <v xml:space="preserve"> </v>
      </c>
    </row>
    <row r="41" spans="1:15" ht="13.5" x14ac:dyDescent="0.25">
      <c r="A41" s="335">
        <v>1310</v>
      </c>
      <c r="B41" s="2876" t="s">
        <v>1297</v>
      </c>
      <c r="C41" s="2876"/>
      <c r="D41" s="398"/>
      <c r="E41" s="398"/>
      <c r="F41" s="649">
        <f>'905Hosp'!F42</f>
        <v>0</v>
      </c>
      <c r="H41" s="649" t="e">
        <f>INDEX(PY905Data,MATCH($A41,PY905Row,0),MATCH($C$5,PY905Col,0))</f>
        <v>#N/A</v>
      </c>
      <c r="J41" s="413" t="e">
        <f>F41-H41</f>
        <v>#N/A</v>
      </c>
      <c r="L41" s="414" t="e">
        <f>IF(H41=0,0,J41/H41)</f>
        <v>#N/A</v>
      </c>
      <c r="N41" s="26" t="str">
        <f t="shared" si="4"/>
        <v xml:space="preserve"> </v>
      </c>
    </row>
    <row r="42" spans="1:15" ht="11.25" customHeight="1" x14ac:dyDescent="0.25">
      <c r="A42" s="335"/>
      <c r="B42" s="335" t="s">
        <v>198</v>
      </c>
      <c r="C42" s="335"/>
      <c r="D42" s="335"/>
      <c r="E42" s="335"/>
      <c r="J42" s="413"/>
      <c r="L42" s="414"/>
    </row>
    <row r="43" spans="1:15" ht="13.5" x14ac:dyDescent="0.25">
      <c r="A43" s="335">
        <v>1340</v>
      </c>
      <c r="B43" s="3007" t="s">
        <v>199</v>
      </c>
      <c r="C43" s="3007"/>
      <c r="D43" s="399"/>
      <c r="E43" s="399"/>
      <c r="F43" s="649">
        <f>'905Hosp'!F44</f>
        <v>0</v>
      </c>
      <c r="H43" s="649" t="e">
        <f t="shared" ref="H43:H53" si="5">INDEX(PY905Data,MATCH($A43,PY905Row,0),MATCH($C$5,PY905Col,0))</f>
        <v>#N/A</v>
      </c>
      <c r="J43" s="413" t="e">
        <f t="shared" ref="J43:J59" si="6">F43-H43</f>
        <v>#N/A</v>
      </c>
      <c r="L43" s="414" t="e">
        <f t="shared" ref="L43:L59" si="7">IF(H43=0,0,J43/H43)</f>
        <v>#N/A</v>
      </c>
      <c r="N43" s="26" t="str">
        <f t="shared" si="4"/>
        <v xml:space="preserve"> </v>
      </c>
    </row>
    <row r="44" spans="1:15" ht="13.5" x14ac:dyDescent="0.25">
      <c r="A44" s="335">
        <v>1345</v>
      </c>
      <c r="B44" s="3007" t="s">
        <v>312</v>
      </c>
      <c r="C44" s="3007"/>
      <c r="D44" s="399"/>
      <c r="E44" s="399"/>
      <c r="F44" s="649">
        <f>'905Hosp'!F45</f>
        <v>0</v>
      </c>
      <c r="H44" s="649" t="e">
        <f t="shared" si="5"/>
        <v>#N/A</v>
      </c>
      <c r="J44" s="413" t="e">
        <f t="shared" si="6"/>
        <v>#N/A</v>
      </c>
      <c r="L44" s="414" t="e">
        <f t="shared" si="7"/>
        <v>#N/A</v>
      </c>
      <c r="N44" s="26" t="str">
        <f t="shared" si="4"/>
        <v xml:space="preserve"> </v>
      </c>
    </row>
    <row r="45" spans="1:15" ht="13.5" x14ac:dyDescent="0.25">
      <c r="A45" s="335">
        <v>1350</v>
      </c>
      <c r="B45" s="3007" t="s">
        <v>200</v>
      </c>
      <c r="C45" s="3007"/>
      <c r="D45" s="399"/>
      <c r="E45" s="399"/>
      <c r="F45" s="649">
        <f>'905Hosp'!F46</f>
        <v>0</v>
      </c>
      <c r="H45" s="649" t="e">
        <f t="shared" si="5"/>
        <v>#N/A</v>
      </c>
      <c r="J45" s="413" t="e">
        <f t="shared" si="6"/>
        <v>#N/A</v>
      </c>
      <c r="L45" s="414" t="e">
        <f t="shared" si="7"/>
        <v>#N/A</v>
      </c>
      <c r="N45" s="26" t="str">
        <f t="shared" si="4"/>
        <v xml:space="preserve"> </v>
      </c>
    </row>
    <row r="46" spans="1:15" ht="13.5" x14ac:dyDescent="0.25">
      <c r="A46" s="335">
        <v>1370</v>
      </c>
      <c r="B46" s="3007" t="s">
        <v>637</v>
      </c>
      <c r="C46" s="3007"/>
      <c r="D46" s="399"/>
      <c r="E46" s="399"/>
      <c r="F46" s="649">
        <f>'905Hosp'!F47</f>
        <v>0</v>
      </c>
      <c r="H46" s="649" t="e">
        <f t="shared" si="5"/>
        <v>#N/A</v>
      </c>
      <c r="J46" s="413" t="e">
        <f t="shared" si="6"/>
        <v>#N/A</v>
      </c>
      <c r="L46" s="414" t="e">
        <f t="shared" si="7"/>
        <v>#N/A</v>
      </c>
      <c r="N46" s="26" t="str">
        <f t="shared" si="4"/>
        <v xml:space="preserve"> </v>
      </c>
    </row>
    <row r="47" spans="1:15" ht="13.5" x14ac:dyDescent="0.25">
      <c r="A47" s="335">
        <v>1400</v>
      </c>
      <c r="B47" s="2876" t="s">
        <v>549</v>
      </c>
      <c r="C47" s="2876"/>
      <c r="D47" s="398"/>
      <c r="E47" s="398"/>
      <c r="F47" s="649">
        <f>'905Hosp'!F48</f>
        <v>0</v>
      </c>
      <c r="H47" s="649" t="e">
        <f t="shared" si="5"/>
        <v>#N/A</v>
      </c>
      <c r="J47" s="413" t="e">
        <f t="shared" si="6"/>
        <v>#N/A</v>
      </c>
      <c r="L47" s="414" t="e">
        <f>IF(H47=0,0,J47/H47)</f>
        <v>#N/A</v>
      </c>
      <c r="N47" s="26" t="str">
        <f>IF($F$84=0," ",IF(AND(ABS(J47)&gt;$L$3,ABS(L47)&gt;$L$2),"C",IF(AND(ABS(F47+H47)&gt;0,H47=0,ABS(J47)&gt;$L$3),"C"," ")))</f>
        <v xml:space="preserve"> </v>
      </c>
    </row>
    <row r="48" spans="1:15" ht="13.5" x14ac:dyDescent="0.25">
      <c r="A48" s="335">
        <v>1401</v>
      </c>
      <c r="B48" s="2974" t="s">
        <v>5517</v>
      </c>
      <c r="C48" s="2974"/>
      <c r="D48" s="398"/>
      <c r="E48" s="398"/>
      <c r="F48" s="649">
        <f>'905Hosp'!F49</f>
        <v>0</v>
      </c>
      <c r="H48" s="649" t="e">
        <f t="shared" si="5"/>
        <v>#N/A</v>
      </c>
      <c r="J48" s="413" t="e">
        <f t="shared" si="6"/>
        <v>#N/A</v>
      </c>
      <c r="L48" s="414" t="e">
        <f>IF(H48=0,0,J48/H48)</f>
        <v>#N/A</v>
      </c>
      <c r="N48" s="26" t="str">
        <f>IF($F$84=0," ",IF(AND(ABS(J48)&gt;$L$3,ABS(L48)&gt;$L$2),"C",IF(AND(ABS(F48+H48)&gt;0,H48=0,ABS(J48)&gt;$L$3),"C"," ")))</f>
        <v xml:space="preserve"> </v>
      </c>
    </row>
    <row r="49" spans="1:15" ht="13.5" x14ac:dyDescent="0.25">
      <c r="A49" s="335">
        <v>1415</v>
      </c>
      <c r="B49" s="2876" t="s">
        <v>1417</v>
      </c>
      <c r="C49" s="2876"/>
      <c r="D49" s="398"/>
      <c r="E49" s="398"/>
      <c r="F49" s="649">
        <f>'905Hosp'!F50</f>
        <v>0</v>
      </c>
      <c r="H49" s="649" t="e">
        <f t="shared" si="5"/>
        <v>#N/A</v>
      </c>
      <c r="J49" s="413" t="e">
        <f t="shared" si="6"/>
        <v>#N/A</v>
      </c>
      <c r="L49" s="414" t="e">
        <f t="shared" si="7"/>
        <v>#N/A</v>
      </c>
      <c r="N49" s="26" t="str">
        <f t="shared" si="4"/>
        <v xml:space="preserve"> </v>
      </c>
    </row>
    <row r="50" spans="1:15" ht="13.5" x14ac:dyDescent="0.25">
      <c r="A50" s="335">
        <v>1420</v>
      </c>
      <c r="B50" s="2876" t="s">
        <v>3699</v>
      </c>
      <c r="C50" s="2876"/>
      <c r="D50" s="398"/>
      <c r="E50" s="398"/>
      <c r="F50" s="649">
        <f>'905Hosp'!F51</f>
        <v>0</v>
      </c>
      <c r="H50" s="649" t="e">
        <f t="shared" si="5"/>
        <v>#N/A</v>
      </c>
      <c r="J50" s="413" t="e">
        <f t="shared" si="6"/>
        <v>#N/A</v>
      </c>
      <c r="L50" s="414" t="e">
        <f t="shared" si="7"/>
        <v>#N/A</v>
      </c>
      <c r="N50" s="26" t="str">
        <f t="shared" si="4"/>
        <v xml:space="preserve"> </v>
      </c>
    </row>
    <row r="51" spans="1:15" ht="13.5" x14ac:dyDescent="0.25">
      <c r="A51" s="335">
        <v>1270</v>
      </c>
      <c r="B51" s="2876" t="s">
        <v>641</v>
      </c>
      <c r="C51" s="2876"/>
      <c r="D51" s="398"/>
      <c r="E51" s="398"/>
      <c r="F51" s="649">
        <f>'905Hosp'!F52</f>
        <v>0</v>
      </c>
      <c r="H51" s="649" t="e">
        <f t="shared" si="5"/>
        <v>#N/A</v>
      </c>
      <c r="J51" s="413" t="e">
        <f t="shared" si="6"/>
        <v>#N/A</v>
      </c>
      <c r="L51" s="414" t="e">
        <f t="shared" si="7"/>
        <v>#N/A</v>
      </c>
      <c r="N51" s="26" t="str">
        <f t="shared" si="4"/>
        <v xml:space="preserve"> </v>
      </c>
    </row>
    <row r="52" spans="1:15" ht="13.5" x14ac:dyDescent="0.25">
      <c r="A52" s="335">
        <v>1280</v>
      </c>
      <c r="B52" s="2876" t="s">
        <v>1422</v>
      </c>
      <c r="C52" s="2876"/>
      <c r="D52" s="398"/>
      <c r="E52" s="398"/>
      <c r="F52" s="649">
        <f>'905Hosp'!F53</f>
        <v>0</v>
      </c>
      <c r="H52" s="649" t="e">
        <f t="shared" si="5"/>
        <v>#N/A</v>
      </c>
      <c r="J52" s="413" t="e">
        <f t="shared" si="6"/>
        <v>#N/A</v>
      </c>
      <c r="L52" s="414" t="e">
        <f t="shared" si="7"/>
        <v>#N/A</v>
      </c>
      <c r="N52" s="26" t="str">
        <f t="shared" si="4"/>
        <v xml:space="preserve"> </v>
      </c>
    </row>
    <row r="53" spans="1:15" ht="13.5" x14ac:dyDescent="0.25">
      <c r="A53" s="335">
        <v>1410</v>
      </c>
      <c r="B53" s="2876" t="s">
        <v>642</v>
      </c>
      <c r="C53" s="2876"/>
      <c r="D53" s="398"/>
      <c r="E53" s="398"/>
      <c r="F53" s="649">
        <f>'905Hosp'!F54</f>
        <v>0</v>
      </c>
      <c r="H53" s="649" t="e">
        <f t="shared" si="5"/>
        <v>#N/A</v>
      </c>
      <c r="J53" s="413" t="e">
        <f t="shared" si="6"/>
        <v>#N/A</v>
      </c>
      <c r="L53" s="414" t="e">
        <f t="shared" si="7"/>
        <v>#N/A</v>
      </c>
      <c r="N53" s="26" t="str">
        <f t="shared" si="4"/>
        <v xml:space="preserve"> </v>
      </c>
    </row>
    <row r="54" spans="1:15" ht="12" customHeight="1" x14ac:dyDescent="0.25">
      <c r="A54" s="335"/>
      <c r="B54" s="2876" t="s">
        <v>1224</v>
      </c>
      <c r="C54" s="2876"/>
      <c r="D54" s="398"/>
      <c r="E54" s="398"/>
      <c r="F54" s="649">
        <f>'905Hosp'!F55</f>
        <v>0</v>
      </c>
      <c r="J54" s="413">
        <f t="shared" si="6"/>
        <v>0</v>
      </c>
      <c r="L54" s="414">
        <f t="shared" si="7"/>
        <v>0</v>
      </c>
      <c r="N54" s="26" t="str">
        <f t="shared" si="4"/>
        <v xml:space="preserve"> </v>
      </c>
    </row>
    <row r="55" spans="1:15" ht="13.5" x14ac:dyDescent="0.25">
      <c r="A55" s="1129">
        <v>1395</v>
      </c>
      <c r="B55" s="2876" t="s">
        <v>1213</v>
      </c>
      <c r="C55" s="2876"/>
      <c r="D55" s="398"/>
      <c r="E55" s="398"/>
      <c r="F55" s="649">
        <f>'905Hosp'!F56</f>
        <v>0</v>
      </c>
      <c r="H55" s="649" t="e">
        <f>INDEX(PY905Data,MATCH($A55,PY905Row,0),MATCH($C$5,PY905Col,0))</f>
        <v>#N/A</v>
      </c>
      <c r="J55" s="413" t="e">
        <f t="shared" si="6"/>
        <v>#N/A</v>
      </c>
      <c r="L55" s="414" t="e">
        <f t="shared" si="7"/>
        <v>#N/A</v>
      </c>
      <c r="N55" s="26" t="str">
        <f t="shared" si="4"/>
        <v xml:space="preserve"> </v>
      </c>
    </row>
    <row r="56" spans="1:15" ht="13.5" x14ac:dyDescent="0.25">
      <c r="A56" s="1129">
        <v>1390</v>
      </c>
      <c r="B56" s="2876" t="s">
        <v>646</v>
      </c>
      <c r="C56" s="2876"/>
      <c r="D56" s="398"/>
      <c r="E56" s="398"/>
      <c r="F56" s="649">
        <f>'905Hosp'!F57</f>
        <v>0</v>
      </c>
      <c r="H56" s="649" t="e">
        <f>INDEX(PY905Data,MATCH($A56,PY905Row,0),MATCH($C$5,PY905Col,0))</f>
        <v>#N/A</v>
      </c>
      <c r="J56" s="413" t="e">
        <f t="shared" si="6"/>
        <v>#N/A</v>
      </c>
      <c r="L56" s="414" t="e">
        <f t="shared" si="7"/>
        <v>#N/A</v>
      </c>
      <c r="N56" s="26" t="str">
        <f t="shared" si="4"/>
        <v xml:space="preserve"> </v>
      </c>
    </row>
    <row r="57" spans="1:15" ht="13.5" x14ac:dyDescent="0.25">
      <c r="A57" s="335">
        <v>1432</v>
      </c>
      <c r="B57" s="2876" t="s">
        <v>1346</v>
      </c>
      <c r="C57" s="2876"/>
      <c r="D57" s="398"/>
      <c r="E57" s="398"/>
      <c r="F57" s="649">
        <f>'905Hosp'!F58</f>
        <v>0</v>
      </c>
      <c r="H57" s="649" t="e">
        <f>INDEX(PY905Data,MATCH($A57,PY905Row,0),MATCH($C$5,PY905Col,0))</f>
        <v>#N/A</v>
      </c>
      <c r="J57" s="413" t="e">
        <f>F57-H57</f>
        <v>#N/A</v>
      </c>
      <c r="L57" s="414" t="e">
        <f>IF(H57=0,0,J57/H57)</f>
        <v>#N/A</v>
      </c>
      <c r="N57" s="26" t="str">
        <f>IF($F$84=0," ",IF(AND(ABS(J57)&gt;$L$3,ABS(L57)&gt;$L$2),"C",IF(AND(ABS(F57+H57)&gt;0,H57=0,ABS(J57)&gt;$L$3),"C"," ")))</f>
        <v xml:space="preserve"> </v>
      </c>
    </row>
    <row r="58" spans="1:15" ht="13.5" x14ac:dyDescent="0.25">
      <c r="A58" s="335">
        <v>1434</v>
      </c>
      <c r="B58" s="2876" t="s">
        <v>4445</v>
      </c>
      <c r="C58" s="2876"/>
      <c r="D58" s="398"/>
      <c r="E58" s="398"/>
      <c r="F58" s="649">
        <f>'905Hosp'!F59</f>
        <v>0</v>
      </c>
      <c r="H58" s="649" t="e">
        <f>INDEX(PY905Data,MATCH($A58,PY905Row,0),MATCH($C$5,PY905Col,0))</f>
        <v>#N/A</v>
      </c>
      <c r="J58" s="413" t="e">
        <f>F58-H58</f>
        <v>#N/A</v>
      </c>
      <c r="L58" s="414" t="e">
        <f>IF(H58=0,0,J58/H58)</f>
        <v>#N/A</v>
      </c>
      <c r="N58" s="26" t="str">
        <f>IF($F$84=0," ",IF(AND(ABS(J58)&gt;$L$3,ABS(L58)&gt;$L$2),"C",IF(AND(ABS(F58+H58)&gt;0,H58=0,ABS(J58)&gt;$L$3),"C"," ")))</f>
        <v xml:space="preserve"> </v>
      </c>
      <c r="O58" s="1610"/>
    </row>
    <row r="59" spans="1:15" ht="13.5" x14ac:dyDescent="0.25">
      <c r="A59" s="335">
        <v>1433</v>
      </c>
      <c r="B59" s="2876" t="s">
        <v>4441</v>
      </c>
      <c r="C59" s="2876"/>
      <c r="D59" s="398"/>
      <c r="E59" s="398"/>
      <c r="F59" s="649">
        <f>'905Hosp'!F60</f>
        <v>0</v>
      </c>
      <c r="H59" s="649" t="e">
        <f>INDEX(PY905Data,MATCH($A59,PY905Row,0),MATCH($C$5,PY905Col,0))</f>
        <v>#N/A</v>
      </c>
      <c r="J59" s="413" t="e">
        <f t="shared" si="6"/>
        <v>#N/A</v>
      </c>
      <c r="L59" s="414" t="e">
        <f t="shared" si="7"/>
        <v>#N/A</v>
      </c>
      <c r="N59" s="26" t="str">
        <f t="shared" si="4"/>
        <v xml:space="preserve"> </v>
      </c>
      <c r="O59" s="1610"/>
    </row>
    <row r="60" spans="1:15" ht="12.75" customHeight="1" x14ac:dyDescent="0.25">
      <c r="A60" s="335"/>
      <c r="B60" s="335" t="s">
        <v>1533</v>
      </c>
      <c r="C60" s="335"/>
      <c r="D60" s="335"/>
      <c r="E60" s="335"/>
      <c r="J60" s="413"/>
      <c r="L60" s="414"/>
    </row>
    <row r="61" spans="1:15" ht="13.5" x14ac:dyDescent="0.25">
      <c r="A61" s="1129">
        <v>1480</v>
      </c>
      <c r="B61" s="3007" t="s">
        <v>1407</v>
      </c>
      <c r="C61" s="3007"/>
      <c r="D61" s="399"/>
      <c r="E61" s="399"/>
      <c r="F61" s="649">
        <f>'905Hosp'!F62</f>
        <v>0</v>
      </c>
      <c r="H61" s="649" t="e">
        <f t="shared" ref="H61:H66" si="8">INDEX(PY905Data,MATCH($A61,PY905Row,0),MATCH($C$5,PY905Col,0))</f>
        <v>#N/A</v>
      </c>
      <c r="J61" s="413" t="e">
        <f t="shared" ref="J61:J67" si="9">F61-H61</f>
        <v>#N/A</v>
      </c>
      <c r="L61" s="414" t="e">
        <f t="shared" ref="L61:L67" si="10">IF(H61=0,0,J61/H61)</f>
        <v>#N/A</v>
      </c>
      <c r="N61" s="26" t="str">
        <f t="shared" si="4"/>
        <v xml:space="preserve"> </v>
      </c>
    </row>
    <row r="62" spans="1:15" ht="13.5" x14ac:dyDescent="0.25">
      <c r="A62" s="1129">
        <v>1490</v>
      </c>
      <c r="B62" s="3007" t="s">
        <v>1408</v>
      </c>
      <c r="C62" s="3007"/>
      <c r="D62" s="399"/>
      <c r="E62" s="399"/>
      <c r="F62" s="649">
        <f>'905Hosp'!F63</f>
        <v>0</v>
      </c>
      <c r="H62" s="649" t="e">
        <f t="shared" si="8"/>
        <v>#N/A</v>
      </c>
      <c r="J62" s="413" t="e">
        <f t="shared" si="9"/>
        <v>#N/A</v>
      </c>
      <c r="L62" s="414" t="e">
        <f t="shared" si="10"/>
        <v>#N/A</v>
      </c>
      <c r="N62" s="26" t="str">
        <f t="shared" si="4"/>
        <v xml:space="preserve"> </v>
      </c>
    </row>
    <row r="63" spans="1:15" ht="13.5" x14ac:dyDescent="0.25">
      <c r="A63" s="1129">
        <v>1500</v>
      </c>
      <c r="B63" s="3007" t="s">
        <v>1409</v>
      </c>
      <c r="C63" s="3007"/>
      <c r="D63" s="399"/>
      <c r="E63" s="399"/>
      <c r="F63" s="649">
        <f>'905Hosp'!F64</f>
        <v>0</v>
      </c>
      <c r="H63" s="649" t="e">
        <f t="shared" si="8"/>
        <v>#N/A</v>
      </c>
      <c r="J63" s="413" t="e">
        <f t="shared" si="9"/>
        <v>#N/A</v>
      </c>
      <c r="L63" s="414" t="e">
        <f t="shared" si="10"/>
        <v>#N/A</v>
      </c>
      <c r="N63" s="26" t="str">
        <f t="shared" si="4"/>
        <v xml:space="preserve"> </v>
      </c>
    </row>
    <row r="64" spans="1:15" ht="13.5" x14ac:dyDescent="0.25">
      <c r="A64" s="1129">
        <v>1503</v>
      </c>
      <c r="B64" s="3007" t="s">
        <v>1534</v>
      </c>
      <c r="C64" s="3007"/>
      <c r="D64" s="399"/>
      <c r="E64" s="399"/>
      <c r="F64" s="649">
        <f>'905Hosp'!F65</f>
        <v>0</v>
      </c>
      <c r="H64" s="649" t="e">
        <f t="shared" si="8"/>
        <v>#N/A</v>
      </c>
      <c r="J64" s="413" t="e">
        <f t="shared" si="9"/>
        <v>#N/A</v>
      </c>
      <c r="L64" s="414" t="e">
        <f t="shared" si="10"/>
        <v>#N/A</v>
      </c>
      <c r="N64" s="26" t="str">
        <f t="shared" si="4"/>
        <v xml:space="preserve"> </v>
      </c>
    </row>
    <row r="65" spans="1:14" ht="12.75" customHeight="1" x14ac:dyDescent="0.25">
      <c r="A65" s="1129">
        <v>1505</v>
      </c>
      <c r="B65" s="3007" t="s">
        <v>1410</v>
      </c>
      <c r="C65" s="3007"/>
      <c r="D65" s="399"/>
      <c r="E65" s="399"/>
      <c r="F65" s="649">
        <f>'905Hosp'!F66</f>
        <v>0</v>
      </c>
      <c r="H65" s="649" t="e">
        <f t="shared" si="8"/>
        <v>#N/A</v>
      </c>
      <c r="J65" s="413" t="e">
        <f t="shared" si="9"/>
        <v>#N/A</v>
      </c>
      <c r="L65" s="414" t="e">
        <f t="shared" si="10"/>
        <v>#N/A</v>
      </c>
      <c r="N65" s="26" t="str">
        <f t="shared" si="4"/>
        <v xml:space="preserve"> </v>
      </c>
    </row>
    <row r="66" spans="1:14" ht="12.75" customHeight="1" x14ac:dyDescent="0.25">
      <c r="A66" s="1129">
        <v>1506</v>
      </c>
      <c r="B66" s="3007" t="s">
        <v>1806</v>
      </c>
      <c r="C66" s="3007"/>
      <c r="D66" s="399"/>
      <c r="E66" s="399"/>
      <c r="F66" s="651">
        <f>'905Hosp'!F67</f>
        <v>0</v>
      </c>
      <c r="H66" s="649" t="e">
        <f t="shared" si="8"/>
        <v>#N/A</v>
      </c>
      <c r="J66" s="413" t="e">
        <f>F66-H66</f>
        <v>#N/A</v>
      </c>
      <c r="L66" s="414" t="e">
        <f>IF(H66=0,0,J66/H66)</f>
        <v>#N/A</v>
      </c>
      <c r="N66" s="26" t="str">
        <f t="shared" si="4"/>
        <v xml:space="preserve"> </v>
      </c>
    </row>
    <row r="67" spans="1:14" ht="13.5" x14ac:dyDescent="0.25">
      <c r="A67" s="335"/>
      <c r="B67" s="2876" t="s">
        <v>1535</v>
      </c>
      <c r="C67" s="2876"/>
      <c r="D67" s="398"/>
      <c r="E67" s="398"/>
      <c r="F67" s="661">
        <f>SUM(F61:F66)</f>
        <v>0</v>
      </c>
      <c r="H67" s="661" t="e">
        <f>SUM(H61:H66)</f>
        <v>#N/A</v>
      </c>
      <c r="J67" s="413" t="e">
        <f t="shared" si="9"/>
        <v>#N/A</v>
      </c>
      <c r="L67" s="414" t="e">
        <f t="shared" si="10"/>
        <v>#N/A</v>
      </c>
    </row>
    <row r="68" spans="1:14" ht="11.25" customHeight="1" x14ac:dyDescent="0.25">
      <c r="A68" s="335"/>
      <c r="B68" s="335" t="s">
        <v>1536</v>
      </c>
      <c r="C68" s="335"/>
      <c r="D68" s="335"/>
      <c r="E68" s="335"/>
      <c r="J68" s="413"/>
      <c r="L68" s="414"/>
    </row>
    <row r="69" spans="1:14" ht="13.5" x14ac:dyDescent="0.25">
      <c r="A69" s="1129">
        <v>1520</v>
      </c>
      <c r="B69" s="3007" t="s">
        <v>617</v>
      </c>
      <c r="C69" s="3007"/>
      <c r="D69" s="399"/>
      <c r="E69" s="399"/>
      <c r="F69" s="649">
        <f>'905Hosp'!F70</f>
        <v>0</v>
      </c>
      <c r="H69" s="649" t="e">
        <f t="shared" ref="H69:H80" si="11">INDEX(PY905Data,MATCH($A69,PY905Row,0),MATCH($C$5,PY905Col,0))</f>
        <v>#N/A</v>
      </c>
      <c r="J69" s="413" t="e">
        <f t="shared" ref="J69:J82" si="12">F69-H69</f>
        <v>#N/A</v>
      </c>
      <c r="L69" s="414" t="e">
        <f t="shared" ref="L69:L82" si="13">IF(H69=0,0,J69/H69)</f>
        <v>#N/A</v>
      </c>
      <c r="N69" s="26" t="str">
        <f t="shared" ref="N69:N80" si="14">IF($F$84=0," ",IF(AND(ABS(J69)&gt;$L$3,ABS(L69)&gt;$L$2),"C",IF(AND(ABS(F69+H69)&gt;0,H69=0,ABS(J69)&gt;$L$3),"C"," ")))</f>
        <v xml:space="preserve"> </v>
      </c>
    </row>
    <row r="70" spans="1:14" ht="13.5" x14ac:dyDescent="0.25">
      <c r="A70" s="1129">
        <v>1530</v>
      </c>
      <c r="B70" s="3007" t="s">
        <v>1411</v>
      </c>
      <c r="C70" s="3007"/>
      <c r="D70" s="399"/>
      <c r="E70" s="399"/>
      <c r="F70" s="649">
        <f>'905Hosp'!F71</f>
        <v>0</v>
      </c>
      <c r="H70" s="649" t="e">
        <f t="shared" si="11"/>
        <v>#N/A</v>
      </c>
      <c r="J70" s="413" t="e">
        <f t="shared" si="12"/>
        <v>#N/A</v>
      </c>
      <c r="L70" s="414" t="e">
        <f t="shared" si="13"/>
        <v>#N/A</v>
      </c>
      <c r="N70" s="26" t="str">
        <f t="shared" si="14"/>
        <v xml:space="preserve"> </v>
      </c>
    </row>
    <row r="71" spans="1:14" ht="13.5" x14ac:dyDescent="0.25">
      <c r="A71" s="1129">
        <v>1540</v>
      </c>
      <c r="B71" s="3007" t="s">
        <v>1537</v>
      </c>
      <c r="C71" s="3007"/>
      <c r="D71" s="399"/>
      <c r="E71" s="399"/>
      <c r="F71" s="649">
        <f>'905Hosp'!F72</f>
        <v>0</v>
      </c>
      <c r="H71" s="649" t="e">
        <f t="shared" si="11"/>
        <v>#N/A</v>
      </c>
      <c r="J71" s="413" t="e">
        <f t="shared" si="12"/>
        <v>#N/A</v>
      </c>
      <c r="L71" s="414" t="e">
        <f t="shared" si="13"/>
        <v>#N/A</v>
      </c>
      <c r="N71" s="26" t="str">
        <f t="shared" si="14"/>
        <v xml:space="preserve"> </v>
      </c>
    </row>
    <row r="72" spans="1:14" ht="13.5" x14ac:dyDescent="0.25">
      <c r="A72" s="1129">
        <v>1550</v>
      </c>
      <c r="B72" s="3007" t="s">
        <v>1412</v>
      </c>
      <c r="C72" s="3007"/>
      <c r="D72" s="399"/>
      <c r="E72" s="399"/>
      <c r="F72" s="649">
        <f>'905Hosp'!F73</f>
        <v>0</v>
      </c>
      <c r="H72" s="649" t="e">
        <f t="shared" si="11"/>
        <v>#N/A</v>
      </c>
      <c r="J72" s="413" t="e">
        <f t="shared" si="12"/>
        <v>#N/A</v>
      </c>
      <c r="L72" s="414" t="e">
        <f t="shared" si="13"/>
        <v>#N/A</v>
      </c>
      <c r="N72" s="26" t="str">
        <f t="shared" si="14"/>
        <v xml:space="preserve"> </v>
      </c>
    </row>
    <row r="73" spans="1:14" ht="13.5" x14ac:dyDescent="0.25">
      <c r="A73" s="1129">
        <v>1481</v>
      </c>
      <c r="B73" s="3006" t="s">
        <v>5518</v>
      </c>
      <c r="C73" s="3006"/>
      <c r="D73" s="399"/>
      <c r="E73" s="399"/>
      <c r="F73" s="649">
        <f>'905Hosp'!F74</f>
        <v>0</v>
      </c>
      <c r="H73" s="649" t="e">
        <f t="shared" si="11"/>
        <v>#N/A</v>
      </c>
      <c r="J73" s="413" t="e">
        <f t="shared" si="12"/>
        <v>#N/A</v>
      </c>
      <c r="L73" s="414" t="e">
        <f t="shared" si="13"/>
        <v>#N/A</v>
      </c>
      <c r="N73" s="26" t="str">
        <f t="shared" si="14"/>
        <v xml:space="preserve"> </v>
      </c>
    </row>
    <row r="74" spans="1:14" ht="13.5" x14ac:dyDescent="0.25">
      <c r="A74" s="1129">
        <v>1521</v>
      </c>
      <c r="B74" s="3006" t="s">
        <v>5519</v>
      </c>
      <c r="C74" s="3006"/>
      <c r="D74" s="399"/>
      <c r="E74" s="399"/>
      <c r="F74" s="649">
        <f>'905Hosp'!F75</f>
        <v>0</v>
      </c>
      <c r="H74" s="649" t="e">
        <f t="shared" si="11"/>
        <v>#N/A</v>
      </c>
      <c r="J74" s="413" t="e">
        <f t="shared" si="12"/>
        <v>#N/A</v>
      </c>
      <c r="L74" s="414" t="e">
        <f t="shared" si="13"/>
        <v>#N/A</v>
      </c>
      <c r="N74" s="26" t="str">
        <f t="shared" si="14"/>
        <v xml:space="preserve"> </v>
      </c>
    </row>
    <row r="75" spans="1:14" ht="13.5" x14ac:dyDescent="0.25">
      <c r="A75" s="1129">
        <v>1531</v>
      </c>
      <c r="B75" s="3006" t="s">
        <v>5520</v>
      </c>
      <c r="C75" s="3006"/>
      <c r="D75" s="399"/>
      <c r="E75" s="399"/>
      <c r="F75" s="649">
        <f>'905Hosp'!F76</f>
        <v>0</v>
      </c>
      <c r="H75" s="649" t="e">
        <f t="shared" si="11"/>
        <v>#N/A</v>
      </c>
      <c r="J75" s="413" t="e">
        <f t="shared" si="12"/>
        <v>#N/A</v>
      </c>
      <c r="L75" s="414" t="e">
        <f t="shared" si="13"/>
        <v>#N/A</v>
      </c>
      <c r="N75" s="26" t="str">
        <f t="shared" si="14"/>
        <v xml:space="preserve"> </v>
      </c>
    </row>
    <row r="76" spans="1:14" ht="13.5" x14ac:dyDescent="0.25">
      <c r="A76" s="1129">
        <v>1551</v>
      </c>
      <c r="B76" s="3006" t="s">
        <v>5521</v>
      </c>
      <c r="C76" s="3006"/>
      <c r="D76" s="399"/>
      <c r="E76" s="399"/>
      <c r="F76" s="649">
        <f>'905Hosp'!F77</f>
        <v>0</v>
      </c>
      <c r="H76" s="649" t="e">
        <f t="shared" si="11"/>
        <v>#N/A</v>
      </c>
      <c r="J76" s="413" t="e">
        <f t="shared" si="12"/>
        <v>#N/A</v>
      </c>
      <c r="L76" s="414" t="e">
        <f t="shared" si="13"/>
        <v>#N/A</v>
      </c>
      <c r="N76" s="26" t="str">
        <f t="shared" si="14"/>
        <v xml:space="preserve"> </v>
      </c>
    </row>
    <row r="77" spans="1:14" ht="13.5" x14ac:dyDescent="0.25">
      <c r="A77" s="1129">
        <v>1553</v>
      </c>
      <c r="B77" s="3007" t="s">
        <v>1538</v>
      </c>
      <c r="C77" s="3007"/>
      <c r="D77" s="399"/>
      <c r="E77" s="399"/>
      <c r="F77" s="649">
        <f>'905Hosp'!F78</f>
        <v>0</v>
      </c>
      <c r="H77" s="649" t="e">
        <f t="shared" si="11"/>
        <v>#N/A</v>
      </c>
      <c r="J77" s="413" t="e">
        <f t="shared" si="12"/>
        <v>#N/A</v>
      </c>
      <c r="L77" s="414" t="e">
        <f t="shared" si="13"/>
        <v>#N/A</v>
      </c>
      <c r="N77" s="26" t="str">
        <f t="shared" si="14"/>
        <v xml:space="preserve"> </v>
      </c>
    </row>
    <row r="78" spans="1:14" ht="13.5" x14ac:dyDescent="0.25">
      <c r="A78" s="1129">
        <v>1555</v>
      </c>
      <c r="B78" s="3007" t="s">
        <v>1413</v>
      </c>
      <c r="C78" s="3007"/>
      <c r="D78" s="399"/>
      <c r="E78" s="399"/>
      <c r="F78" s="649">
        <f>'905Hosp'!F79</f>
        <v>0</v>
      </c>
      <c r="H78" s="649" t="e">
        <f t="shared" si="11"/>
        <v>#N/A</v>
      </c>
      <c r="J78" s="413" t="e">
        <f t="shared" si="12"/>
        <v>#N/A</v>
      </c>
      <c r="L78" s="414" t="e">
        <f t="shared" si="13"/>
        <v>#N/A</v>
      </c>
      <c r="N78" s="26" t="str">
        <f t="shared" si="14"/>
        <v xml:space="preserve"> </v>
      </c>
    </row>
    <row r="79" spans="1:14" ht="13.5" x14ac:dyDescent="0.25">
      <c r="A79" s="1129">
        <v>1560</v>
      </c>
      <c r="B79" s="3007" t="s">
        <v>1807</v>
      </c>
      <c r="C79" s="3007"/>
      <c r="D79" s="399"/>
      <c r="E79" s="399"/>
      <c r="F79" s="649">
        <f>'905Hosp'!F80</f>
        <v>0</v>
      </c>
      <c r="H79" s="649" t="e">
        <f t="shared" si="11"/>
        <v>#N/A</v>
      </c>
      <c r="J79" s="413" t="e">
        <f t="shared" si="12"/>
        <v>#N/A</v>
      </c>
      <c r="L79" s="414" t="e">
        <f t="shared" si="13"/>
        <v>#N/A</v>
      </c>
      <c r="N79" s="26" t="str">
        <f t="shared" si="14"/>
        <v xml:space="preserve"> </v>
      </c>
    </row>
    <row r="80" spans="1:14" ht="13.5" x14ac:dyDescent="0.25">
      <c r="A80" s="1129">
        <v>1570</v>
      </c>
      <c r="B80" s="2876" t="s">
        <v>1539</v>
      </c>
      <c r="C80" s="2876"/>
      <c r="D80" s="398"/>
      <c r="E80" s="398"/>
      <c r="F80" s="651">
        <f>'905Hosp'!F81</f>
        <v>0</v>
      </c>
      <c r="H80" s="651" t="e">
        <f t="shared" si="11"/>
        <v>#N/A</v>
      </c>
      <c r="J80" s="413" t="e">
        <f t="shared" si="12"/>
        <v>#N/A</v>
      </c>
      <c r="L80" s="414" t="e">
        <f t="shared" si="13"/>
        <v>#N/A</v>
      </c>
      <c r="N80" s="26" t="str">
        <f t="shared" si="14"/>
        <v xml:space="preserve"> </v>
      </c>
    </row>
    <row r="81" spans="1:19" ht="13.5" x14ac:dyDescent="0.25">
      <c r="A81" s="785"/>
      <c r="B81" s="2876" t="s">
        <v>1540</v>
      </c>
      <c r="C81" s="2876"/>
      <c r="D81" s="398"/>
      <c r="E81" s="398"/>
      <c r="F81" s="649">
        <f>SUM(F69:F80)</f>
        <v>0</v>
      </c>
      <c r="H81" s="649" t="e">
        <f>SUM(H69:H80)</f>
        <v>#N/A</v>
      </c>
      <c r="J81" s="413" t="e">
        <f t="shared" si="12"/>
        <v>#N/A</v>
      </c>
      <c r="L81" s="414" t="e">
        <f t="shared" si="13"/>
        <v>#N/A</v>
      </c>
    </row>
    <row r="82" spans="1:19" ht="13.5" x14ac:dyDescent="0.25">
      <c r="A82" s="675"/>
      <c r="B82" s="2876" t="s">
        <v>271</v>
      </c>
      <c r="C82" s="2876"/>
      <c r="D82" s="398"/>
      <c r="E82" s="398"/>
      <c r="F82" s="662">
        <f>SUM(F40:F81)-F67-F81</f>
        <v>0</v>
      </c>
      <c r="H82" s="662" t="e">
        <f>SUM(H40:H81)-H67-H81</f>
        <v>#N/A</v>
      </c>
      <c r="J82" s="413" t="e">
        <f t="shared" si="12"/>
        <v>#N/A</v>
      </c>
      <c r="L82" s="414" t="e">
        <f t="shared" si="13"/>
        <v>#N/A</v>
      </c>
    </row>
    <row r="83" spans="1:19" ht="6" customHeight="1" x14ac:dyDescent="0.25">
      <c r="B83" s="398"/>
      <c r="C83" s="398"/>
      <c r="D83" s="398"/>
      <c r="E83" s="398"/>
      <c r="J83" s="413"/>
      <c r="L83" s="414"/>
    </row>
    <row r="84" spans="1:19" ht="13.5" x14ac:dyDescent="0.25">
      <c r="B84" s="2876" t="s">
        <v>272</v>
      </c>
      <c r="C84" s="2876"/>
      <c r="D84" s="398"/>
      <c r="E84" s="398"/>
      <c r="F84" s="400">
        <f>F37+F82</f>
        <v>0</v>
      </c>
      <c r="H84" s="400" t="e">
        <f>H37+H82</f>
        <v>#N/A</v>
      </c>
      <c r="J84" s="413" t="e">
        <f>F84-H84</f>
        <v>#N/A</v>
      </c>
      <c r="L84" s="414" t="e">
        <f>IF(H84=0,0,J84/H84)</f>
        <v>#N/A</v>
      </c>
    </row>
    <row r="85" spans="1:19" ht="13.5" x14ac:dyDescent="0.25">
      <c r="B85" s="398"/>
      <c r="C85" s="398"/>
      <c r="D85" s="398"/>
      <c r="E85" s="398"/>
      <c r="F85" s="808"/>
      <c r="H85" s="808"/>
      <c r="J85" s="413"/>
      <c r="L85" s="414"/>
    </row>
    <row r="86" spans="1:19" ht="13.5" x14ac:dyDescent="0.25">
      <c r="B86" s="783" t="s">
        <v>1929</v>
      </c>
      <c r="F86"/>
      <c r="H86" s="1435"/>
      <c r="I86" s="2"/>
      <c r="J86" s="1366"/>
      <c r="L86" s="414"/>
    </row>
    <row r="87" spans="1:19" ht="13.5" x14ac:dyDescent="0.25">
      <c r="A87" s="1401">
        <v>1234</v>
      </c>
      <c r="B87" s="2876" t="s">
        <v>3965</v>
      </c>
      <c r="C87" s="2876"/>
      <c r="D87" s="2876"/>
      <c r="E87" s="2876"/>
      <c r="F87" s="649">
        <f>'905Hosp'!F88</f>
        <v>0</v>
      </c>
      <c r="G87" s="398"/>
      <c r="H87" s="649" t="e">
        <f t="shared" ref="H87:H93" si="15">INDEX(PY905Data,MATCH($A87,PY905Row,0),MATCH($C$5,PY905Col,0))</f>
        <v>#N/A</v>
      </c>
      <c r="J87" s="413" t="e">
        <f t="shared" ref="J87:J94" si="16">F87-H87</f>
        <v>#N/A</v>
      </c>
      <c r="L87" s="414" t="e">
        <f t="shared" ref="L87:L94" si="17">IF(H87=0,0,J87/H87)</f>
        <v>#N/A</v>
      </c>
      <c r="N87" s="26" t="str">
        <f t="shared" ref="N87:N93" si="18">IF($F$84=0," ",IF(AND(ABS(J87)&gt;$L$3,ABS(L87)&gt;$L$2),"C",IF(AND(ABS(F87+H87)&gt;0,H87=0,ABS(J87)&gt;$L$3),"C"," ")))</f>
        <v xml:space="preserve"> </v>
      </c>
    </row>
    <row r="88" spans="1:19" ht="13.5" x14ac:dyDescent="0.25">
      <c r="A88" s="1401">
        <v>1236</v>
      </c>
      <c r="B88" s="2876" t="s">
        <v>3582</v>
      </c>
      <c r="C88" s="2876"/>
      <c r="D88" s="2876"/>
      <c r="E88" s="2876"/>
      <c r="F88" s="649">
        <f>'905Hosp'!F89</f>
        <v>0</v>
      </c>
      <c r="G88" s="398"/>
      <c r="H88" s="649" t="e">
        <f t="shared" si="15"/>
        <v>#N/A</v>
      </c>
      <c r="J88" s="413" t="e">
        <f t="shared" si="16"/>
        <v>#N/A</v>
      </c>
      <c r="L88" s="414" t="e">
        <f t="shared" si="17"/>
        <v>#N/A</v>
      </c>
      <c r="N88" s="26" t="str">
        <f t="shared" si="18"/>
        <v xml:space="preserve"> </v>
      </c>
      <c r="P88" s="2968"/>
      <c r="Q88" s="2968"/>
      <c r="R88" s="398"/>
      <c r="S88" s="398"/>
    </row>
    <row r="89" spans="1:19" ht="13.5" x14ac:dyDescent="0.25">
      <c r="A89" s="1401">
        <v>1242</v>
      </c>
      <c r="B89" s="2876" t="s">
        <v>4599</v>
      </c>
      <c r="C89" s="2876"/>
      <c r="D89" s="2876"/>
      <c r="E89" s="2876"/>
      <c r="F89" s="649">
        <f>'905Hosp'!F90</f>
        <v>0</v>
      </c>
      <c r="G89" s="398"/>
      <c r="H89" s="649" t="e">
        <f t="shared" si="15"/>
        <v>#N/A</v>
      </c>
      <c r="J89" s="413" t="e">
        <f>F89-H89</f>
        <v>#N/A</v>
      </c>
      <c r="L89" s="414" t="e">
        <f>IF(H89=0,0,J89/H89)</f>
        <v>#N/A</v>
      </c>
      <c r="N89" s="26" t="str">
        <f>IF($F$84=0," ",IF(AND(ABS(J89)&gt;$L$3,ABS(L89)&gt;$L$2),"C",IF(AND(ABS(F89+H89)&gt;0,H89=0,ABS(J89)&gt;$L$3),"C"," ")))</f>
        <v xml:space="preserve"> </v>
      </c>
      <c r="P89" s="2968"/>
      <c r="Q89" s="2968"/>
      <c r="R89" s="398"/>
      <c r="S89" s="398"/>
    </row>
    <row r="90" spans="1:19" ht="13.5" x14ac:dyDescent="0.25">
      <c r="A90" s="1401">
        <v>1237</v>
      </c>
      <c r="B90" s="2876" t="s">
        <v>3866</v>
      </c>
      <c r="C90" s="2876"/>
      <c r="D90" s="2876"/>
      <c r="E90" s="2876"/>
      <c r="F90" s="649">
        <f>'905Hosp'!F91</f>
        <v>0</v>
      </c>
      <c r="G90" s="398"/>
      <c r="H90" s="649" t="e">
        <f t="shared" si="15"/>
        <v>#N/A</v>
      </c>
      <c r="J90" s="413" t="e">
        <f>F90-H90</f>
        <v>#N/A</v>
      </c>
      <c r="L90" s="414" t="e">
        <f>IF(H90=0,0,J90/H90)</f>
        <v>#N/A</v>
      </c>
      <c r="N90" s="26" t="str">
        <f t="shared" si="18"/>
        <v xml:space="preserve"> </v>
      </c>
      <c r="P90" s="2968"/>
      <c r="Q90" s="2968"/>
      <c r="R90" s="398"/>
      <c r="S90" s="398"/>
    </row>
    <row r="91" spans="1:19" ht="13.5" x14ac:dyDescent="0.25">
      <c r="A91" s="1401">
        <v>1241</v>
      </c>
      <c r="B91" s="3008" t="s">
        <v>4443</v>
      </c>
      <c r="C91" s="3008"/>
      <c r="D91" s="3008"/>
      <c r="E91" s="3008"/>
      <c r="F91" s="649">
        <f>'905Hosp'!F92</f>
        <v>0</v>
      </c>
      <c r="G91" s="398"/>
      <c r="H91" s="649" t="e">
        <f t="shared" si="15"/>
        <v>#N/A</v>
      </c>
      <c r="J91" s="413" t="e">
        <f t="shared" si="16"/>
        <v>#N/A</v>
      </c>
      <c r="L91" s="414" t="e">
        <f t="shared" si="17"/>
        <v>#N/A</v>
      </c>
      <c r="N91" s="26" t="str">
        <f t="shared" si="18"/>
        <v xml:space="preserve"> </v>
      </c>
      <c r="O91" s="1610"/>
      <c r="P91" s="2968"/>
      <c r="Q91" s="2968"/>
      <c r="R91" s="398"/>
      <c r="S91" s="398"/>
    </row>
    <row r="92" spans="1:19" ht="13.5" x14ac:dyDescent="0.25">
      <c r="A92" s="1401">
        <v>1238</v>
      </c>
      <c r="B92" s="2876" t="s">
        <v>3873</v>
      </c>
      <c r="C92" s="2876"/>
      <c r="D92" s="2876"/>
      <c r="E92" s="2876"/>
      <c r="F92" s="649">
        <f>'905Hosp'!F93</f>
        <v>0</v>
      </c>
      <c r="G92" s="398"/>
      <c r="H92" s="649" t="e">
        <f t="shared" si="15"/>
        <v>#N/A</v>
      </c>
      <c r="J92" s="413" t="e">
        <f t="shared" si="16"/>
        <v>#N/A</v>
      </c>
      <c r="L92" s="414" t="e">
        <f t="shared" si="17"/>
        <v>#N/A</v>
      </c>
      <c r="N92" s="26" t="str">
        <f t="shared" si="18"/>
        <v xml:space="preserve"> </v>
      </c>
      <c r="P92" s="2968"/>
      <c r="Q92" s="2968"/>
      <c r="R92" s="398"/>
      <c r="S92" s="398"/>
    </row>
    <row r="93" spans="1:19" ht="13.5" x14ac:dyDescent="0.25">
      <c r="A93" s="1401">
        <v>1239</v>
      </c>
      <c r="B93" s="2876" t="s">
        <v>3944</v>
      </c>
      <c r="C93" s="2876"/>
      <c r="D93" s="2876"/>
      <c r="E93" s="2876"/>
      <c r="F93" s="649">
        <f>'905Hosp'!F94</f>
        <v>0</v>
      </c>
      <c r="G93" s="398"/>
      <c r="H93" s="649" t="e">
        <f t="shared" si="15"/>
        <v>#N/A</v>
      </c>
      <c r="J93" s="413" t="e">
        <f t="shared" si="16"/>
        <v>#N/A</v>
      </c>
      <c r="L93" s="414" t="e">
        <f t="shared" si="17"/>
        <v>#N/A</v>
      </c>
      <c r="N93" s="26" t="str">
        <f t="shared" si="18"/>
        <v xml:space="preserve"> </v>
      </c>
      <c r="P93" s="2968"/>
      <c r="Q93" s="2968"/>
      <c r="R93" s="398"/>
      <c r="S93" s="398"/>
    </row>
    <row r="94" spans="1:19" ht="13.5" x14ac:dyDescent="0.25">
      <c r="A94" s="1401"/>
      <c r="B94" s="2876" t="s">
        <v>3700</v>
      </c>
      <c r="C94" s="2876"/>
      <c r="D94" s="398"/>
      <c r="E94" s="398"/>
      <c r="F94" s="400">
        <f>SUM(F87:F93)</f>
        <v>0</v>
      </c>
      <c r="H94" s="400" t="e">
        <f>SUM(H87:H93)</f>
        <v>#N/A</v>
      </c>
      <c r="J94" s="413" t="e">
        <f t="shared" si="16"/>
        <v>#N/A</v>
      </c>
      <c r="L94" s="414" t="e">
        <f t="shared" si="17"/>
        <v>#N/A</v>
      </c>
    </row>
    <row r="95" spans="1:19" ht="13.5" x14ac:dyDescent="0.25">
      <c r="A95" s="1401"/>
      <c r="B95" s="398"/>
      <c r="C95" s="398"/>
      <c r="D95" s="398"/>
      <c r="E95" s="398"/>
      <c r="F95" s="808"/>
      <c r="H95" s="808"/>
      <c r="J95" s="413"/>
      <c r="L95" s="808"/>
    </row>
    <row r="96" spans="1:19" x14ac:dyDescent="0.2">
      <c r="B96" s="394" t="s">
        <v>273</v>
      </c>
      <c r="C96" s="394"/>
      <c r="D96" s="394"/>
      <c r="E96" s="394"/>
    </row>
    <row r="97" spans="1:14" x14ac:dyDescent="0.2">
      <c r="B97" s="401" t="s">
        <v>274</v>
      </c>
      <c r="C97" s="401"/>
      <c r="D97" s="401"/>
      <c r="E97" s="401"/>
    </row>
    <row r="98" spans="1:14" x14ac:dyDescent="0.2">
      <c r="B98" s="335" t="s">
        <v>275</v>
      </c>
      <c r="C98" s="335"/>
      <c r="D98" s="335"/>
      <c r="E98" s="335"/>
    </row>
    <row r="99" spans="1:14" ht="13.5" x14ac:dyDescent="0.25">
      <c r="A99" s="335">
        <v>1640</v>
      </c>
      <c r="B99" s="3007" t="s">
        <v>1060</v>
      </c>
      <c r="C99" s="3007"/>
      <c r="D99" s="399"/>
      <c r="E99" s="399"/>
      <c r="F99" s="649">
        <f>'905Hosp'!F100</f>
        <v>0</v>
      </c>
      <c r="H99" s="649" t="e">
        <f>INDEX(PY905Data,MATCH($A99,PY905Row,0),MATCH($C$5,PY905Col,0))</f>
        <v>#N/A</v>
      </c>
      <c r="J99" s="413" t="e">
        <f>F99-H99</f>
        <v>#N/A</v>
      </c>
      <c r="L99" s="414" t="e">
        <f>IF(H99=0,0,J99/H99)</f>
        <v>#N/A</v>
      </c>
      <c r="N99" s="26" t="str">
        <f t="shared" ref="N99:N131" si="19">IF($F$84=0," ",IF(AND(ABS(J99)&gt;$L$3,ABS(L99)&gt;$L$2),"C",IF(AND(ABS(F99+H99)&gt;0,H99=0,ABS(J99)&gt;$L$3),"C"," ")))</f>
        <v xml:space="preserve"> </v>
      </c>
    </row>
    <row r="100" spans="1:14" ht="13.5" x14ac:dyDescent="0.25">
      <c r="A100" s="335">
        <v>1650</v>
      </c>
      <c r="B100" s="3007" t="s">
        <v>815</v>
      </c>
      <c r="C100" s="3007"/>
      <c r="D100" s="399"/>
      <c r="E100" s="399"/>
      <c r="F100" s="649">
        <f>'905Hosp'!F101</f>
        <v>0</v>
      </c>
      <c r="H100" s="649" t="e">
        <f>INDEX(PY905Data,MATCH($A100,PY905Row,0),MATCH($C$5,PY905Col,0))</f>
        <v>#N/A</v>
      </c>
      <c r="J100" s="413" t="e">
        <f>F100-H100</f>
        <v>#N/A</v>
      </c>
      <c r="L100" s="414" t="e">
        <f>IF(H100=0,0,J100/H100)</f>
        <v>#N/A</v>
      </c>
      <c r="N100" s="26" t="str">
        <f t="shared" si="19"/>
        <v xml:space="preserve"> </v>
      </c>
    </row>
    <row r="101" spans="1:14" ht="13.5" x14ac:dyDescent="0.25">
      <c r="A101" s="335">
        <v>1660</v>
      </c>
      <c r="B101" s="3007" t="s">
        <v>816</v>
      </c>
      <c r="C101" s="3007"/>
      <c r="D101" s="399"/>
      <c r="E101" s="399"/>
      <c r="F101" s="649">
        <f>'905Hosp'!F102</f>
        <v>0</v>
      </c>
      <c r="H101" s="649" t="e">
        <f>INDEX(PY905Data,MATCH($A101,PY905Row,0),MATCH($C$5,PY905Col,0))</f>
        <v>#N/A</v>
      </c>
      <c r="J101" s="413" t="e">
        <f>F101-H101</f>
        <v>#N/A</v>
      </c>
      <c r="L101" s="414" t="e">
        <f>IF(H101=0,0,J101/H101)</f>
        <v>#N/A</v>
      </c>
      <c r="N101" s="26" t="str">
        <f t="shared" si="19"/>
        <v xml:space="preserve"> </v>
      </c>
    </row>
    <row r="102" spans="1:14" ht="13.5" x14ac:dyDescent="0.25">
      <c r="A102" s="335">
        <v>1670</v>
      </c>
      <c r="B102" s="3007" t="s">
        <v>700</v>
      </c>
      <c r="C102" s="3007"/>
      <c r="D102" s="399"/>
      <c r="E102" s="399"/>
      <c r="F102" s="649">
        <f>'905Hosp'!F103</f>
        <v>0</v>
      </c>
      <c r="H102" s="649" t="e">
        <f>INDEX(PY905Data,MATCH($A102,PY905Row,0),MATCH($C$5,PY905Col,0))</f>
        <v>#N/A</v>
      </c>
      <c r="J102" s="413" t="e">
        <f>F102-H102</f>
        <v>#N/A</v>
      </c>
      <c r="L102" s="414" t="e">
        <f>IF(H102=0,0,J102/H102)</f>
        <v>#N/A</v>
      </c>
      <c r="N102" s="26" t="str">
        <f t="shared" si="19"/>
        <v xml:space="preserve"> </v>
      </c>
    </row>
    <row r="103" spans="1:14" ht="13.5" x14ac:dyDescent="0.25">
      <c r="A103" s="335">
        <v>1840</v>
      </c>
      <c r="B103" s="2876" t="s">
        <v>278</v>
      </c>
      <c r="C103" s="2876"/>
      <c r="D103" s="398"/>
      <c r="E103" s="398"/>
      <c r="F103" s="649">
        <f>'905Hosp'!F104</f>
        <v>0</v>
      </c>
      <c r="H103" s="649" t="e">
        <f>INDEX(PY905Data,MATCH($A103,PY905Row,0),MATCH($C$5,PY905Col,0))</f>
        <v>#N/A</v>
      </c>
      <c r="J103" s="413" t="e">
        <f>F103-H103</f>
        <v>#N/A</v>
      </c>
      <c r="L103" s="414" t="e">
        <f>IF(H103=0,0,J103/H103)</f>
        <v>#N/A</v>
      </c>
      <c r="N103" s="26" t="str">
        <f t="shared" si="19"/>
        <v xml:space="preserve"> </v>
      </c>
    </row>
    <row r="104" spans="1:14" ht="13.5" x14ac:dyDescent="0.25">
      <c r="A104" s="335"/>
      <c r="B104" s="335" t="s">
        <v>1423</v>
      </c>
      <c r="C104" s="335"/>
      <c r="D104" s="335"/>
      <c r="E104" s="335"/>
      <c r="J104" s="413"/>
      <c r="L104" s="414"/>
      <c r="N104" s="26" t="str">
        <f t="shared" si="19"/>
        <v xml:space="preserve"> </v>
      </c>
    </row>
    <row r="105" spans="1:14" ht="13.5" x14ac:dyDescent="0.25">
      <c r="A105" s="1129">
        <v>1788</v>
      </c>
      <c r="B105" s="3007" t="s">
        <v>4623</v>
      </c>
      <c r="C105" s="3007"/>
      <c r="D105" s="399"/>
      <c r="E105" s="399"/>
      <c r="F105" s="649">
        <f>'905Hosp'!F106</f>
        <v>0</v>
      </c>
      <c r="H105" s="649" t="e">
        <f t="shared" ref="H105:H131" si="20">INDEX(PY905Data,MATCH($A105,PY905Row,0),MATCH($C$5,PY905Col,0))</f>
        <v>#N/A</v>
      </c>
      <c r="J105" s="413" t="e">
        <f t="shared" ref="J105:J122" si="21">F105-H105</f>
        <v>#N/A</v>
      </c>
      <c r="L105" s="414" t="e">
        <f t="shared" ref="L105:L122" si="22">IF(H105=0,0,J105/H105)</f>
        <v>#N/A</v>
      </c>
      <c r="N105" s="26" t="str">
        <f t="shared" si="19"/>
        <v xml:space="preserve"> </v>
      </c>
    </row>
    <row r="106" spans="1:14" ht="13.5" x14ac:dyDescent="0.25">
      <c r="A106" s="1129">
        <v>1785</v>
      </c>
      <c r="B106" s="3007" t="s">
        <v>1541</v>
      </c>
      <c r="C106" s="3007"/>
      <c r="D106" s="399"/>
      <c r="E106" s="399"/>
      <c r="F106" s="649">
        <f>'905Hosp'!F107</f>
        <v>0</v>
      </c>
      <c r="H106" s="649" t="e">
        <f t="shared" si="20"/>
        <v>#N/A</v>
      </c>
      <c r="J106" s="413" t="e">
        <f t="shared" si="21"/>
        <v>#N/A</v>
      </c>
      <c r="L106" s="414" t="e">
        <f t="shared" si="22"/>
        <v>#N/A</v>
      </c>
      <c r="N106" s="26" t="str">
        <f t="shared" si="19"/>
        <v xml:space="preserve"> </v>
      </c>
    </row>
    <row r="107" spans="1:14" ht="13.5" x14ac:dyDescent="0.25">
      <c r="A107" s="1129">
        <v>1790</v>
      </c>
      <c r="B107" s="3007" t="s">
        <v>4595</v>
      </c>
      <c r="C107" s="3007"/>
      <c r="D107" s="399"/>
      <c r="E107" s="399"/>
      <c r="F107" s="649">
        <f>'905Hosp'!F108</f>
        <v>0</v>
      </c>
      <c r="H107" s="649" t="e">
        <f t="shared" si="20"/>
        <v>#N/A</v>
      </c>
      <c r="J107" s="413" t="e">
        <f t="shared" si="21"/>
        <v>#N/A</v>
      </c>
      <c r="L107" s="414" t="e">
        <f t="shared" si="22"/>
        <v>#N/A</v>
      </c>
      <c r="N107" s="26" t="str">
        <f t="shared" si="19"/>
        <v xml:space="preserve"> </v>
      </c>
    </row>
    <row r="108" spans="1:14" ht="13.5" x14ac:dyDescent="0.25">
      <c r="A108" s="1129">
        <v>1791</v>
      </c>
      <c r="B108" s="3007" t="s">
        <v>4692</v>
      </c>
      <c r="C108" s="3007"/>
      <c r="D108" s="399"/>
      <c r="E108" s="399"/>
      <c r="F108" s="649">
        <f>'905Hosp'!F109</f>
        <v>0</v>
      </c>
      <c r="H108" s="649" t="e">
        <f t="shared" si="20"/>
        <v>#N/A</v>
      </c>
      <c r="J108" s="413" t="e">
        <f t="shared" si="21"/>
        <v>#N/A</v>
      </c>
      <c r="L108" s="414" t="e">
        <f t="shared" si="22"/>
        <v>#N/A</v>
      </c>
      <c r="N108" s="26" t="str">
        <f t="shared" si="19"/>
        <v xml:space="preserve"> </v>
      </c>
    </row>
    <row r="109" spans="1:14" ht="13.5" x14ac:dyDescent="0.25">
      <c r="A109" s="1129">
        <v>1787</v>
      </c>
      <c r="B109" s="3007" t="s">
        <v>1542</v>
      </c>
      <c r="C109" s="3007"/>
      <c r="D109" s="399"/>
      <c r="E109" s="399"/>
      <c r="F109" s="649">
        <f>'905Hosp'!F110</f>
        <v>0</v>
      </c>
      <c r="H109" s="649" t="e">
        <f t="shared" si="20"/>
        <v>#N/A</v>
      </c>
      <c r="J109" s="413" t="e">
        <f t="shared" si="21"/>
        <v>#N/A</v>
      </c>
      <c r="L109" s="414" t="e">
        <f t="shared" si="22"/>
        <v>#N/A</v>
      </c>
      <c r="N109" s="26" t="str">
        <f t="shared" si="19"/>
        <v xml:space="preserve"> </v>
      </c>
    </row>
    <row r="110" spans="1:14" ht="13.5" x14ac:dyDescent="0.25">
      <c r="A110" s="1129">
        <v>1730</v>
      </c>
      <c r="B110" s="2876" t="s">
        <v>276</v>
      </c>
      <c r="C110" s="2876"/>
      <c r="D110" s="398"/>
      <c r="E110" s="398"/>
      <c r="F110" s="649">
        <f>'905Hosp'!F111</f>
        <v>0</v>
      </c>
      <c r="H110" s="649" t="e">
        <f t="shared" si="20"/>
        <v>#N/A</v>
      </c>
      <c r="J110" s="413" t="e">
        <f t="shared" si="21"/>
        <v>#N/A</v>
      </c>
      <c r="L110" s="414" t="e">
        <f t="shared" si="22"/>
        <v>#N/A</v>
      </c>
      <c r="N110" s="26" t="str">
        <f t="shared" si="19"/>
        <v xml:space="preserve"> </v>
      </c>
    </row>
    <row r="111" spans="1:14" ht="13.5" x14ac:dyDescent="0.25">
      <c r="A111" s="335">
        <v>1735</v>
      </c>
      <c r="B111" s="2876" t="s">
        <v>1543</v>
      </c>
      <c r="C111" s="2876"/>
      <c r="D111" s="398"/>
      <c r="E111" s="398"/>
      <c r="F111" s="649">
        <f>'905Hosp'!F112</f>
        <v>0</v>
      </c>
      <c r="H111" s="649" t="e">
        <f t="shared" si="20"/>
        <v>#N/A</v>
      </c>
      <c r="J111" s="413" t="e">
        <f t="shared" si="21"/>
        <v>#N/A</v>
      </c>
      <c r="L111" s="414" t="e">
        <f t="shared" si="22"/>
        <v>#N/A</v>
      </c>
      <c r="N111" s="26" t="str">
        <f t="shared" si="19"/>
        <v xml:space="preserve"> </v>
      </c>
    </row>
    <row r="112" spans="1:14" ht="13.5" x14ac:dyDescent="0.25">
      <c r="A112" s="1129">
        <v>1740</v>
      </c>
      <c r="B112" s="2876" t="s">
        <v>699</v>
      </c>
      <c r="C112" s="2876"/>
      <c r="D112" s="398"/>
      <c r="E112" s="398"/>
      <c r="F112" s="649">
        <f>'905Hosp'!F113</f>
        <v>0</v>
      </c>
      <c r="H112" s="649" t="e">
        <f t="shared" si="20"/>
        <v>#N/A</v>
      </c>
      <c r="J112" s="413" t="e">
        <f t="shared" si="21"/>
        <v>#N/A</v>
      </c>
      <c r="L112" s="414" t="e">
        <f t="shared" si="22"/>
        <v>#N/A</v>
      </c>
      <c r="N112" s="26" t="str">
        <f t="shared" si="19"/>
        <v xml:space="preserve"> </v>
      </c>
    </row>
    <row r="113" spans="1:14" ht="13.5" x14ac:dyDescent="0.25">
      <c r="A113" s="335">
        <v>1890</v>
      </c>
      <c r="B113" s="2876" t="s">
        <v>569</v>
      </c>
      <c r="C113" s="2876"/>
      <c r="D113" s="398"/>
      <c r="E113" s="398"/>
      <c r="F113" s="649">
        <f>'905Hosp'!F114</f>
        <v>0</v>
      </c>
      <c r="H113" s="649" t="e">
        <f t="shared" si="20"/>
        <v>#N/A</v>
      </c>
      <c r="J113" s="413" t="e">
        <f t="shared" si="21"/>
        <v>#N/A</v>
      </c>
      <c r="L113" s="414" t="e">
        <f t="shared" si="22"/>
        <v>#N/A</v>
      </c>
      <c r="N113" s="26" t="str">
        <f t="shared" si="19"/>
        <v xml:space="preserve"> </v>
      </c>
    </row>
    <row r="114" spans="1:14" ht="13.5" x14ac:dyDescent="0.25">
      <c r="A114" s="335">
        <v>1750</v>
      </c>
      <c r="B114" s="2876" t="s">
        <v>277</v>
      </c>
      <c r="C114" s="2876"/>
      <c r="D114" s="398"/>
      <c r="E114" s="398"/>
      <c r="F114" s="649">
        <f>'905Hosp'!F115</f>
        <v>0</v>
      </c>
      <c r="H114" s="649" t="e">
        <f t="shared" si="20"/>
        <v>#N/A</v>
      </c>
      <c r="J114" s="413" t="e">
        <f t="shared" si="21"/>
        <v>#N/A</v>
      </c>
      <c r="L114" s="414" t="e">
        <f t="shared" si="22"/>
        <v>#N/A</v>
      </c>
      <c r="N114" s="26" t="str">
        <f t="shared" si="19"/>
        <v xml:space="preserve"> </v>
      </c>
    </row>
    <row r="115" spans="1:14" ht="13.5" x14ac:dyDescent="0.25">
      <c r="A115" s="335">
        <v>1760</v>
      </c>
      <c r="B115" s="2876" t="s">
        <v>1402</v>
      </c>
      <c r="C115" s="2876"/>
      <c r="D115" s="398"/>
      <c r="E115" s="398"/>
      <c r="F115" s="649">
        <f>'905Hosp'!F116</f>
        <v>0</v>
      </c>
      <c r="H115" s="649" t="e">
        <f t="shared" si="20"/>
        <v>#N/A</v>
      </c>
      <c r="J115" s="413" t="e">
        <f t="shared" si="21"/>
        <v>#N/A</v>
      </c>
      <c r="L115" s="414" t="e">
        <f t="shared" si="22"/>
        <v>#N/A</v>
      </c>
      <c r="N115" s="26" t="str">
        <f t="shared" si="19"/>
        <v xml:space="preserve"> </v>
      </c>
    </row>
    <row r="116" spans="1:14" ht="13.5" x14ac:dyDescent="0.25">
      <c r="A116" s="335">
        <v>1870</v>
      </c>
      <c r="B116" s="2876" t="s">
        <v>739</v>
      </c>
      <c r="C116" s="2876"/>
      <c r="D116" s="398"/>
      <c r="E116" s="398"/>
      <c r="F116" s="649">
        <f>'905Hosp'!F117</f>
        <v>0</v>
      </c>
      <c r="H116" s="649" t="e">
        <f t="shared" si="20"/>
        <v>#N/A</v>
      </c>
      <c r="J116" s="413" t="e">
        <f t="shared" si="21"/>
        <v>#N/A</v>
      </c>
      <c r="L116" s="414" t="e">
        <f t="shared" si="22"/>
        <v>#N/A</v>
      </c>
      <c r="N116" s="26" t="str">
        <f t="shared" si="19"/>
        <v xml:space="preserve"> </v>
      </c>
    </row>
    <row r="117" spans="1:14" ht="13.5" x14ac:dyDescent="0.25">
      <c r="A117" s="335">
        <v>1880</v>
      </c>
      <c r="B117" s="2876" t="s">
        <v>701</v>
      </c>
      <c r="C117" s="2876"/>
      <c r="D117" s="398"/>
      <c r="E117" s="398"/>
      <c r="F117" s="649">
        <f>'905Hosp'!F118</f>
        <v>0</v>
      </c>
      <c r="H117" s="649" t="e">
        <f t="shared" si="20"/>
        <v>#N/A</v>
      </c>
      <c r="J117" s="413" t="e">
        <f t="shared" si="21"/>
        <v>#N/A</v>
      </c>
      <c r="L117" s="414" t="e">
        <f t="shared" si="22"/>
        <v>#N/A</v>
      </c>
      <c r="N117" s="26" t="str">
        <f t="shared" si="19"/>
        <v xml:space="preserve"> </v>
      </c>
    </row>
    <row r="118" spans="1:14" ht="13.5" x14ac:dyDescent="0.25">
      <c r="A118" s="335">
        <v>1762</v>
      </c>
      <c r="B118" s="2876" t="s">
        <v>1347</v>
      </c>
      <c r="C118" s="2876"/>
      <c r="D118" s="398"/>
      <c r="E118" s="398"/>
      <c r="F118" s="649">
        <f>'905Hosp'!F119</f>
        <v>0</v>
      </c>
      <c r="H118" s="649" t="e">
        <f t="shared" si="20"/>
        <v>#N/A</v>
      </c>
      <c r="J118" s="413" t="e">
        <f t="shared" si="21"/>
        <v>#N/A</v>
      </c>
      <c r="L118" s="414" t="e">
        <f t="shared" si="22"/>
        <v>#N/A</v>
      </c>
      <c r="N118" s="26" t="str">
        <f t="shared" si="19"/>
        <v xml:space="preserve"> </v>
      </c>
    </row>
    <row r="119" spans="1:14" ht="13.5" x14ac:dyDescent="0.25">
      <c r="A119" s="1129">
        <v>1775</v>
      </c>
      <c r="B119" s="2876" t="s">
        <v>4624</v>
      </c>
      <c r="C119" s="2876"/>
      <c r="D119" s="398"/>
      <c r="E119" s="398"/>
      <c r="F119" s="649">
        <f>'905Hosp'!F120</f>
        <v>0</v>
      </c>
      <c r="H119" s="649" t="e">
        <f t="shared" si="20"/>
        <v>#N/A</v>
      </c>
      <c r="J119" s="413" t="e">
        <f t="shared" si="21"/>
        <v>#N/A</v>
      </c>
      <c r="L119" s="414" t="e">
        <f t="shared" si="22"/>
        <v>#N/A</v>
      </c>
      <c r="N119" s="26" t="str">
        <f t="shared" si="19"/>
        <v xml:space="preserve"> </v>
      </c>
    </row>
    <row r="120" spans="1:14" ht="13.5" x14ac:dyDescent="0.25">
      <c r="A120" s="1129">
        <v>1780</v>
      </c>
      <c r="B120" s="2974" t="s">
        <v>5522</v>
      </c>
      <c r="C120" s="2974"/>
      <c r="D120" s="398"/>
      <c r="E120" s="398"/>
      <c r="F120" s="649">
        <f>'905Hosp'!F121</f>
        <v>0</v>
      </c>
      <c r="H120" s="649" t="e">
        <f t="shared" si="20"/>
        <v>#N/A</v>
      </c>
      <c r="J120" s="413" t="e">
        <f t="shared" si="21"/>
        <v>#N/A</v>
      </c>
      <c r="L120" s="414" t="e">
        <f t="shared" si="22"/>
        <v>#N/A</v>
      </c>
      <c r="N120" s="26" t="str">
        <f t="shared" si="19"/>
        <v xml:space="preserve"> </v>
      </c>
    </row>
    <row r="121" spans="1:14" ht="13.5" x14ac:dyDescent="0.25">
      <c r="A121" s="1129">
        <v>1800</v>
      </c>
      <c r="B121" s="2876" t="s">
        <v>1544</v>
      </c>
      <c r="C121" s="2876"/>
      <c r="D121" s="398"/>
      <c r="E121" s="398"/>
      <c r="F121" s="649">
        <f>'905Hosp'!F122</f>
        <v>0</v>
      </c>
      <c r="H121" s="649" t="e">
        <f t="shared" si="20"/>
        <v>#N/A</v>
      </c>
      <c r="J121" s="413" t="e">
        <f t="shared" si="21"/>
        <v>#N/A</v>
      </c>
      <c r="L121" s="414" t="e">
        <f t="shared" si="22"/>
        <v>#N/A</v>
      </c>
      <c r="N121" s="26" t="str">
        <f t="shared" si="19"/>
        <v xml:space="preserve"> </v>
      </c>
    </row>
    <row r="122" spans="1:14" ht="13.5" x14ac:dyDescent="0.25">
      <c r="A122" s="1129">
        <v>1850</v>
      </c>
      <c r="B122" s="2876" t="s">
        <v>1165</v>
      </c>
      <c r="C122" s="2876"/>
      <c r="D122" s="398"/>
      <c r="E122" s="398"/>
      <c r="F122" s="649">
        <f>'905Hosp'!F123</f>
        <v>0</v>
      </c>
      <c r="H122" s="649" t="e">
        <f t="shared" si="20"/>
        <v>#N/A</v>
      </c>
      <c r="J122" s="413" t="e">
        <f t="shared" si="21"/>
        <v>#N/A</v>
      </c>
      <c r="L122" s="414" t="e">
        <f t="shared" si="22"/>
        <v>#N/A</v>
      </c>
      <c r="N122" s="26" t="str">
        <f t="shared" si="19"/>
        <v xml:space="preserve"> </v>
      </c>
    </row>
    <row r="123" spans="1:14" ht="13.5" x14ac:dyDescent="0.25">
      <c r="A123" s="1129">
        <v>1851</v>
      </c>
      <c r="B123" s="2876" t="s">
        <v>3801</v>
      </c>
      <c r="C123" s="2876"/>
      <c r="D123" s="398"/>
      <c r="E123" s="398"/>
      <c r="F123" s="649">
        <f>'905Hosp'!F124</f>
        <v>0</v>
      </c>
      <c r="H123" s="649" t="e">
        <f t="shared" si="20"/>
        <v>#N/A</v>
      </c>
      <c r="J123" s="413" t="e">
        <f t="shared" ref="J123:J131" si="23">F123-H123</f>
        <v>#N/A</v>
      </c>
      <c r="L123" s="414" t="e">
        <f t="shared" ref="L123:L131" si="24">IF(H123=0,0,J123/H123)</f>
        <v>#N/A</v>
      </c>
      <c r="N123" s="26" t="str">
        <f t="shared" si="19"/>
        <v xml:space="preserve"> </v>
      </c>
    </row>
    <row r="124" spans="1:14" ht="13.5" x14ac:dyDescent="0.25">
      <c r="A124" s="1129">
        <v>1786</v>
      </c>
      <c r="B124" s="2876" t="s">
        <v>1545</v>
      </c>
      <c r="C124" s="2876"/>
      <c r="D124" s="398"/>
      <c r="E124" s="398"/>
      <c r="F124" s="649">
        <f>'905Hosp'!F125</f>
        <v>0</v>
      </c>
      <c r="H124" s="649" t="e">
        <f t="shared" si="20"/>
        <v>#N/A</v>
      </c>
      <c r="J124" s="413" t="e">
        <f t="shared" si="23"/>
        <v>#N/A</v>
      </c>
      <c r="L124" s="414" t="e">
        <f t="shared" si="24"/>
        <v>#N/A</v>
      </c>
      <c r="N124" s="26" t="str">
        <f t="shared" si="19"/>
        <v xml:space="preserve"> </v>
      </c>
    </row>
    <row r="125" spans="1:14" ht="13.5" x14ac:dyDescent="0.25">
      <c r="A125" s="1129">
        <v>1855</v>
      </c>
      <c r="B125" s="2876" t="s">
        <v>1295</v>
      </c>
      <c r="C125" s="2876"/>
      <c r="D125" s="398"/>
      <c r="E125" s="398"/>
      <c r="F125" s="649">
        <f>'905Hosp'!F126</f>
        <v>0</v>
      </c>
      <c r="H125" s="649" t="e">
        <f t="shared" si="20"/>
        <v>#N/A</v>
      </c>
      <c r="J125" s="413" t="e">
        <f t="shared" si="23"/>
        <v>#N/A</v>
      </c>
      <c r="L125" s="414" t="e">
        <f t="shared" si="24"/>
        <v>#N/A</v>
      </c>
      <c r="N125" s="26" t="str">
        <f t="shared" si="19"/>
        <v xml:space="preserve"> </v>
      </c>
    </row>
    <row r="126" spans="1:14" ht="13.5" x14ac:dyDescent="0.25">
      <c r="A126" s="1129">
        <v>1857</v>
      </c>
      <c r="B126" s="2876" t="s">
        <v>4612</v>
      </c>
      <c r="C126" s="2876"/>
      <c r="D126" s="398"/>
      <c r="E126" s="398"/>
      <c r="F126" s="649">
        <f>'905Hosp'!F127</f>
        <v>0</v>
      </c>
      <c r="H126" s="649" t="e">
        <f t="shared" si="20"/>
        <v>#N/A</v>
      </c>
      <c r="J126" s="413" t="e">
        <f>F126-H126</f>
        <v>#N/A</v>
      </c>
      <c r="L126" s="414" t="e">
        <f>IF(H126=0,0,J126/H126)</f>
        <v>#N/A</v>
      </c>
      <c r="N126" s="26" t="str">
        <f>IF($F$84=0," ",IF(AND(ABS(J126)&gt;$L$3,ABS(L126)&gt;$L$2),"C",IF(AND(ABS(F126+H126)&gt;0,H126=0,ABS(J126)&gt;$L$3),"C"," ")))</f>
        <v xml:space="preserve"> </v>
      </c>
    </row>
    <row r="127" spans="1:14" ht="13.5" x14ac:dyDescent="0.25">
      <c r="A127" s="1129">
        <v>1860</v>
      </c>
      <c r="B127" s="2876" t="s">
        <v>3874</v>
      </c>
      <c r="C127" s="2876"/>
      <c r="D127" s="2876"/>
      <c r="E127" s="2876"/>
      <c r="F127" s="649">
        <f>'905Hosp'!F128</f>
        <v>0</v>
      </c>
      <c r="H127" s="649" t="e">
        <f t="shared" si="20"/>
        <v>#N/A</v>
      </c>
      <c r="J127" s="413" t="e">
        <f t="shared" si="23"/>
        <v>#N/A</v>
      </c>
      <c r="L127" s="414" t="e">
        <f t="shared" si="24"/>
        <v>#N/A</v>
      </c>
      <c r="N127" s="26" t="str">
        <f t="shared" si="19"/>
        <v xml:space="preserve"> </v>
      </c>
    </row>
    <row r="128" spans="1:14" ht="13.5" x14ac:dyDescent="0.25">
      <c r="A128" s="1129">
        <v>1868</v>
      </c>
      <c r="B128" s="2876" t="s">
        <v>3868</v>
      </c>
      <c r="C128" s="2876"/>
      <c r="D128" s="2876"/>
      <c r="E128" s="2876"/>
      <c r="F128" s="649">
        <f>'905Hosp'!F129</f>
        <v>0</v>
      </c>
      <c r="H128" s="649" t="e">
        <f t="shared" si="20"/>
        <v>#N/A</v>
      </c>
      <c r="J128" s="413" t="e">
        <f>F128-H128</f>
        <v>#N/A</v>
      </c>
      <c r="L128" s="414" t="e">
        <f>IF(H128=0,0,J128/H128)</f>
        <v>#N/A</v>
      </c>
      <c r="N128" s="26" t="str">
        <f t="shared" si="19"/>
        <v xml:space="preserve"> </v>
      </c>
    </row>
    <row r="129" spans="1:15" ht="13.5" x14ac:dyDescent="0.25">
      <c r="A129" s="1129">
        <v>1869</v>
      </c>
      <c r="B129" s="2876" t="s">
        <v>4446</v>
      </c>
      <c r="C129" s="2876"/>
      <c r="D129" s="398"/>
      <c r="E129" s="398"/>
      <c r="F129" s="649">
        <f>'905Hosp'!F130</f>
        <v>0</v>
      </c>
      <c r="H129" s="649" t="e">
        <f t="shared" si="20"/>
        <v>#N/A</v>
      </c>
      <c r="J129" s="413" t="e">
        <f>F129-H129</f>
        <v>#N/A</v>
      </c>
      <c r="L129" s="414" t="e">
        <f>IF(H129=0,0,J129/H129)</f>
        <v>#N/A</v>
      </c>
      <c r="N129" s="26" t="str">
        <f>IF($F$84=0," ",IF(AND(ABS(J129)&gt;$L$3,ABS(L129)&gt;$L$2),"C",IF(AND(ABS(F129+H129)&gt;0,H129=0,ABS(J129)&gt;$L$3),"C"," ")))</f>
        <v xml:space="preserve"> </v>
      </c>
      <c r="O129" s="1610"/>
    </row>
    <row r="130" spans="1:15" ht="13.5" x14ac:dyDescent="0.25">
      <c r="A130" s="1129">
        <v>1865</v>
      </c>
      <c r="B130" s="2876" t="s">
        <v>1546</v>
      </c>
      <c r="C130" s="2876"/>
      <c r="D130" s="398"/>
      <c r="E130" s="398"/>
      <c r="F130" s="649">
        <f>'905Hosp'!F131</f>
        <v>0</v>
      </c>
      <c r="H130" s="649" t="e">
        <f t="shared" si="20"/>
        <v>#N/A</v>
      </c>
      <c r="J130" s="413" t="e">
        <f t="shared" si="23"/>
        <v>#N/A</v>
      </c>
      <c r="L130" s="414" t="e">
        <f t="shared" si="24"/>
        <v>#N/A</v>
      </c>
      <c r="N130" s="26" t="str">
        <f t="shared" si="19"/>
        <v xml:space="preserve"> </v>
      </c>
    </row>
    <row r="131" spans="1:15" ht="13.5" x14ac:dyDescent="0.25">
      <c r="A131" s="1129">
        <v>1866</v>
      </c>
      <c r="B131" s="2876" t="s">
        <v>1547</v>
      </c>
      <c r="C131" s="2876"/>
      <c r="D131" s="398"/>
      <c r="E131" s="398"/>
      <c r="F131" s="649">
        <f>'905Hosp'!F132</f>
        <v>0</v>
      </c>
      <c r="H131" s="649" t="e">
        <f t="shared" si="20"/>
        <v>#N/A</v>
      </c>
      <c r="J131" s="413" t="e">
        <f t="shared" si="23"/>
        <v>#N/A</v>
      </c>
      <c r="L131" s="414" t="e">
        <f t="shared" si="24"/>
        <v>#N/A</v>
      </c>
      <c r="N131" s="26" t="str">
        <f t="shared" si="19"/>
        <v xml:space="preserve"> </v>
      </c>
    </row>
    <row r="132" spans="1:15" ht="13.5" x14ac:dyDescent="0.25">
      <c r="B132" s="2876" t="s">
        <v>787</v>
      </c>
      <c r="C132" s="2876"/>
      <c r="D132" s="398"/>
      <c r="E132" s="398"/>
      <c r="F132" s="402">
        <f>SUM(F98:F131)</f>
        <v>0</v>
      </c>
      <c r="H132" s="402" t="e">
        <f>SUM(H98:H131)</f>
        <v>#N/A</v>
      </c>
      <c r="J132" s="413" t="e">
        <f>F132-H132</f>
        <v>#N/A</v>
      </c>
      <c r="L132" s="414" t="e">
        <f>IF(H132=0,0,J132/H132)</f>
        <v>#N/A</v>
      </c>
    </row>
    <row r="133" spans="1:15" ht="13.5" x14ac:dyDescent="0.25">
      <c r="B133" s="398"/>
      <c r="C133" s="398"/>
      <c r="D133" s="398"/>
      <c r="E133" s="398"/>
      <c r="J133" s="413"/>
      <c r="L133" s="414"/>
    </row>
    <row r="134" spans="1:15" ht="13.5" x14ac:dyDescent="0.25">
      <c r="B134" s="403" t="s">
        <v>788</v>
      </c>
      <c r="C134" s="403"/>
      <c r="D134" s="403"/>
      <c r="E134" s="403"/>
      <c r="J134" s="413"/>
      <c r="L134" s="414"/>
    </row>
    <row r="135" spans="1:15" x14ac:dyDescent="0.2">
      <c r="A135" s="335"/>
      <c r="B135" s="335" t="s">
        <v>275</v>
      </c>
      <c r="C135" s="335"/>
      <c r="D135" s="335"/>
      <c r="E135" s="335"/>
    </row>
    <row r="136" spans="1:15" ht="13.5" x14ac:dyDescent="0.25">
      <c r="A136" s="335">
        <v>1940</v>
      </c>
      <c r="B136" s="3007" t="s">
        <v>1060</v>
      </c>
      <c r="C136" s="3007"/>
      <c r="D136" s="399"/>
      <c r="E136" s="399"/>
      <c r="F136" s="649">
        <f>'905Hosp'!F137</f>
        <v>0</v>
      </c>
      <c r="H136" s="649" t="e">
        <f t="shared" ref="H136:H156" si="25">INDEX(PY905Data,MATCH($A136,PY905Row,0),MATCH($C$5,PY905Col,0))</f>
        <v>#N/A</v>
      </c>
      <c r="J136" s="413" t="e">
        <f>F136-H136</f>
        <v>#N/A</v>
      </c>
      <c r="L136" s="414" t="e">
        <f>IF(H136=0,0,J136/H136)</f>
        <v>#N/A</v>
      </c>
      <c r="N136" s="26" t="str">
        <f t="shared" ref="N136:N156" si="26">IF($F$84=0," ",IF(AND(ABS(J136)&gt;$L$3,ABS(L136)&gt;$L$2),"C",IF(AND(ABS(F136+H136)&gt;0,H136=0,ABS(J136)&gt;$L$3),"C"," ")))</f>
        <v xml:space="preserve"> </v>
      </c>
    </row>
    <row r="137" spans="1:15" ht="13.5" x14ac:dyDescent="0.25">
      <c r="A137" s="335">
        <v>1950</v>
      </c>
      <c r="B137" s="3007" t="s">
        <v>816</v>
      </c>
      <c r="C137" s="3007"/>
      <c r="D137" s="399"/>
      <c r="E137" s="399"/>
      <c r="F137" s="649">
        <f>'905Hosp'!F138</f>
        <v>0</v>
      </c>
      <c r="H137" s="649" t="e">
        <f t="shared" si="25"/>
        <v>#N/A</v>
      </c>
      <c r="J137" s="413" t="e">
        <f t="shared" ref="J137:J159" si="27">F137-H137</f>
        <v>#N/A</v>
      </c>
      <c r="L137" s="414" t="e">
        <f t="shared" ref="L137:L159" si="28">IF(H137=0,0,J137/H137)</f>
        <v>#N/A</v>
      </c>
      <c r="N137" s="26" t="str">
        <f t="shared" si="26"/>
        <v xml:space="preserve"> </v>
      </c>
    </row>
    <row r="138" spans="1:15" ht="13.5" x14ac:dyDescent="0.25">
      <c r="A138" s="335">
        <v>1960</v>
      </c>
      <c r="B138" s="3007" t="s">
        <v>700</v>
      </c>
      <c r="C138" s="3007"/>
      <c r="D138" s="399"/>
      <c r="E138" s="399"/>
      <c r="F138" s="649">
        <f>'905Hosp'!F139</f>
        <v>0</v>
      </c>
      <c r="H138" s="649" t="e">
        <f t="shared" si="25"/>
        <v>#N/A</v>
      </c>
      <c r="J138" s="413" t="e">
        <f t="shared" si="27"/>
        <v>#N/A</v>
      </c>
      <c r="L138" s="414" t="e">
        <f t="shared" si="28"/>
        <v>#N/A</v>
      </c>
      <c r="N138" s="26" t="str">
        <f t="shared" si="26"/>
        <v xml:space="preserve"> </v>
      </c>
    </row>
    <row r="139" spans="1:15" ht="13.5" x14ac:dyDescent="0.25">
      <c r="A139" s="1129">
        <v>2020</v>
      </c>
      <c r="B139" s="2876" t="s">
        <v>789</v>
      </c>
      <c r="C139" s="2876"/>
      <c r="D139" s="398"/>
      <c r="E139" s="398"/>
      <c r="F139" s="649">
        <f>'905Hosp'!F140</f>
        <v>0</v>
      </c>
      <c r="H139" s="649" t="e">
        <f t="shared" si="25"/>
        <v>#N/A</v>
      </c>
      <c r="J139" s="413" t="e">
        <f t="shared" si="27"/>
        <v>#N/A</v>
      </c>
      <c r="L139" s="414" t="e">
        <f t="shared" si="28"/>
        <v>#N/A</v>
      </c>
      <c r="N139" s="26" t="str">
        <f t="shared" si="26"/>
        <v xml:space="preserve"> </v>
      </c>
    </row>
    <row r="140" spans="1:15" ht="13.5" x14ac:dyDescent="0.25">
      <c r="A140" s="335">
        <v>2097</v>
      </c>
      <c r="B140" s="2876" t="s">
        <v>569</v>
      </c>
      <c r="C140" s="2876"/>
      <c r="D140" s="398"/>
      <c r="E140" s="398"/>
      <c r="F140" s="649">
        <f>'905Hosp'!F141</f>
        <v>0</v>
      </c>
      <c r="H140" s="649" t="e">
        <f t="shared" si="25"/>
        <v>#N/A</v>
      </c>
      <c r="J140" s="413" t="e">
        <f>F140-H140</f>
        <v>#N/A</v>
      </c>
      <c r="L140" s="414" t="e">
        <f>IF(H140=0,0,J140/H140)</f>
        <v>#N/A</v>
      </c>
      <c r="N140" s="26" t="str">
        <f t="shared" si="26"/>
        <v xml:space="preserve"> </v>
      </c>
    </row>
    <row r="141" spans="1:15" ht="13.5" x14ac:dyDescent="0.25">
      <c r="A141" s="335">
        <v>2070</v>
      </c>
      <c r="B141" s="2876" t="s">
        <v>739</v>
      </c>
      <c r="C141" s="2876"/>
      <c r="D141" s="398"/>
      <c r="E141" s="398"/>
      <c r="F141" s="649">
        <f>'905Hosp'!F142</f>
        <v>0</v>
      </c>
      <c r="H141" s="649" t="e">
        <f t="shared" si="25"/>
        <v>#N/A</v>
      </c>
      <c r="J141" s="413" t="e">
        <f t="shared" si="27"/>
        <v>#N/A</v>
      </c>
      <c r="L141" s="414" t="e">
        <f t="shared" si="28"/>
        <v>#N/A</v>
      </c>
      <c r="N141" s="26" t="str">
        <f t="shared" si="26"/>
        <v xml:space="preserve"> </v>
      </c>
    </row>
    <row r="142" spans="1:15" ht="13.5" x14ac:dyDescent="0.25">
      <c r="A142" s="335">
        <v>2080</v>
      </c>
      <c r="B142" s="2876" t="s">
        <v>701</v>
      </c>
      <c r="C142" s="2876"/>
      <c r="D142" s="398"/>
      <c r="E142" s="398"/>
      <c r="F142" s="649">
        <f>'905Hosp'!F143</f>
        <v>0</v>
      </c>
      <c r="H142" s="649" t="e">
        <f t="shared" si="25"/>
        <v>#N/A</v>
      </c>
      <c r="J142" s="413" t="e">
        <f t="shared" si="27"/>
        <v>#N/A</v>
      </c>
      <c r="L142" s="414" t="e">
        <f t="shared" si="28"/>
        <v>#N/A</v>
      </c>
      <c r="N142" s="26" t="str">
        <f t="shared" si="26"/>
        <v xml:space="preserve"> </v>
      </c>
    </row>
    <row r="143" spans="1:15" ht="13.5" x14ac:dyDescent="0.25">
      <c r="A143" s="335">
        <v>2024</v>
      </c>
      <c r="B143" s="2876" t="s">
        <v>1347</v>
      </c>
      <c r="C143" s="2876"/>
      <c r="D143" s="398"/>
      <c r="E143" s="398"/>
      <c r="F143" s="649">
        <f>'905Hosp'!F144</f>
        <v>0</v>
      </c>
      <c r="H143" s="649" t="e">
        <f t="shared" si="25"/>
        <v>#N/A</v>
      </c>
      <c r="J143" s="413" t="e">
        <f>F143-H143</f>
        <v>#N/A</v>
      </c>
      <c r="L143" s="414" t="e">
        <f>IF(H143=0,0,J143/H143)</f>
        <v>#N/A</v>
      </c>
      <c r="N143" s="26" t="str">
        <f t="shared" si="26"/>
        <v xml:space="preserve"> </v>
      </c>
    </row>
    <row r="144" spans="1:15" ht="13.5" x14ac:dyDescent="0.25">
      <c r="A144" s="1129">
        <v>2035</v>
      </c>
      <c r="B144" s="2876" t="s">
        <v>4595</v>
      </c>
      <c r="C144" s="2876"/>
      <c r="D144" s="398"/>
      <c r="E144" s="398"/>
      <c r="F144" s="649">
        <f>'905Hosp'!F145</f>
        <v>0</v>
      </c>
      <c r="H144" s="649" t="e">
        <f t="shared" si="25"/>
        <v>#N/A</v>
      </c>
      <c r="J144" s="413" t="e">
        <f t="shared" si="27"/>
        <v>#N/A</v>
      </c>
      <c r="L144" s="414" t="e">
        <f t="shared" si="28"/>
        <v>#N/A</v>
      </c>
      <c r="N144" s="26" t="str">
        <f t="shared" si="26"/>
        <v xml:space="preserve"> </v>
      </c>
    </row>
    <row r="145" spans="1:15" ht="13.5" x14ac:dyDescent="0.25">
      <c r="A145" s="1129">
        <v>2040</v>
      </c>
      <c r="B145" s="2974" t="s">
        <v>5477</v>
      </c>
      <c r="C145" s="2974"/>
      <c r="D145" s="398"/>
      <c r="E145" s="398"/>
      <c r="F145" s="649">
        <f>'905Hosp'!F146</f>
        <v>0</v>
      </c>
      <c r="H145" s="649" t="e">
        <f t="shared" si="25"/>
        <v>#N/A</v>
      </c>
      <c r="J145" s="413" t="e">
        <f t="shared" si="27"/>
        <v>#N/A</v>
      </c>
      <c r="L145" s="414" t="e">
        <f t="shared" si="28"/>
        <v>#N/A</v>
      </c>
      <c r="N145" s="26" t="str">
        <f t="shared" si="26"/>
        <v xml:space="preserve"> </v>
      </c>
    </row>
    <row r="146" spans="1:15" ht="13.5" x14ac:dyDescent="0.25">
      <c r="A146" s="1129">
        <v>2050</v>
      </c>
      <c r="B146" s="2876" t="s">
        <v>1548</v>
      </c>
      <c r="C146" s="2876"/>
      <c r="D146" s="398"/>
      <c r="E146" s="398"/>
      <c r="F146" s="649">
        <f>'905Hosp'!F147</f>
        <v>0</v>
      </c>
      <c r="H146" s="649" t="e">
        <f t="shared" si="25"/>
        <v>#N/A</v>
      </c>
      <c r="J146" s="413" t="e">
        <f t="shared" si="27"/>
        <v>#N/A</v>
      </c>
      <c r="L146" s="414" t="e">
        <f t="shared" si="28"/>
        <v>#N/A</v>
      </c>
      <c r="N146" s="26" t="str">
        <f t="shared" si="26"/>
        <v xml:space="preserve"> </v>
      </c>
    </row>
    <row r="147" spans="1:15" ht="13.5" x14ac:dyDescent="0.25">
      <c r="A147" s="1129">
        <v>2060</v>
      </c>
      <c r="B147" s="2876" t="s">
        <v>1061</v>
      </c>
      <c r="C147" s="2876"/>
      <c r="D147" s="398"/>
      <c r="E147" s="398"/>
      <c r="F147" s="649">
        <f>'905Hosp'!F148</f>
        <v>0</v>
      </c>
      <c r="H147" s="649" t="e">
        <f t="shared" si="25"/>
        <v>#N/A</v>
      </c>
      <c r="J147" s="413" t="e">
        <f t="shared" si="27"/>
        <v>#N/A</v>
      </c>
      <c r="L147" s="414" t="e">
        <f t="shared" si="28"/>
        <v>#N/A</v>
      </c>
      <c r="N147" s="26" t="str">
        <f t="shared" si="26"/>
        <v xml:space="preserve"> </v>
      </c>
    </row>
    <row r="148" spans="1:15" ht="13.5" x14ac:dyDescent="0.25">
      <c r="A148" s="1129">
        <v>2061</v>
      </c>
      <c r="B148" s="2876" t="s">
        <v>1062</v>
      </c>
      <c r="C148" s="2876"/>
      <c r="D148" s="398"/>
      <c r="E148" s="398"/>
      <c r="F148" s="649">
        <f>'905Hosp'!F149</f>
        <v>0</v>
      </c>
      <c r="H148" s="649" t="e">
        <f t="shared" si="25"/>
        <v>#N/A</v>
      </c>
      <c r="J148" s="413" t="e">
        <f t="shared" ref="J148:J156" si="29">F148-H148</f>
        <v>#N/A</v>
      </c>
      <c r="L148" s="414" t="e">
        <f t="shared" ref="L148:L156" si="30">IF(H148=0,0,J148/H148)</f>
        <v>#N/A</v>
      </c>
      <c r="N148" s="26" t="str">
        <f t="shared" si="26"/>
        <v xml:space="preserve"> </v>
      </c>
    </row>
    <row r="149" spans="1:15" ht="13.5" x14ac:dyDescent="0.25">
      <c r="A149" s="1129">
        <v>2045</v>
      </c>
      <c r="B149" s="2876" t="s">
        <v>93</v>
      </c>
      <c r="C149" s="2876"/>
      <c r="D149" s="398"/>
      <c r="E149" s="398"/>
      <c r="F149" s="649">
        <f>'905Hosp'!F150</f>
        <v>0</v>
      </c>
      <c r="H149" s="649" t="e">
        <f t="shared" si="25"/>
        <v>#N/A</v>
      </c>
      <c r="J149" s="413" t="e">
        <f t="shared" si="29"/>
        <v>#N/A</v>
      </c>
      <c r="L149" s="414" t="e">
        <f t="shared" si="30"/>
        <v>#N/A</v>
      </c>
      <c r="N149" s="26" t="str">
        <f t="shared" si="26"/>
        <v xml:space="preserve"> </v>
      </c>
    </row>
    <row r="150" spans="1:15" ht="13.5" x14ac:dyDescent="0.25">
      <c r="A150" s="1129">
        <v>2085</v>
      </c>
      <c r="B150" s="2876" t="s">
        <v>1226</v>
      </c>
      <c r="C150" s="2876"/>
      <c r="D150" s="398"/>
      <c r="E150" s="398"/>
      <c r="F150" s="649">
        <f>'905Hosp'!F151</f>
        <v>0</v>
      </c>
      <c r="H150" s="649" t="e">
        <f t="shared" si="25"/>
        <v>#N/A</v>
      </c>
      <c r="J150" s="413" t="e">
        <f t="shared" si="29"/>
        <v>#N/A</v>
      </c>
      <c r="L150" s="414" t="e">
        <f t="shared" si="30"/>
        <v>#N/A</v>
      </c>
      <c r="N150" s="26" t="str">
        <f t="shared" si="26"/>
        <v xml:space="preserve"> </v>
      </c>
    </row>
    <row r="151" spans="1:15" ht="13.5" x14ac:dyDescent="0.25">
      <c r="A151" s="1129">
        <v>2087</v>
      </c>
      <c r="B151" s="2876" t="s">
        <v>4593</v>
      </c>
      <c r="C151" s="2876"/>
      <c r="D151" s="398"/>
      <c r="E151" s="398"/>
      <c r="F151" s="649">
        <f>'905Hosp'!F152</f>
        <v>0</v>
      </c>
      <c r="H151" s="649" t="e">
        <f t="shared" si="25"/>
        <v>#N/A</v>
      </c>
      <c r="J151" s="413" t="e">
        <f>F151-H151</f>
        <v>#N/A</v>
      </c>
      <c r="L151" s="414" t="e">
        <f>IF(H151=0,0,J151/H151)</f>
        <v>#N/A</v>
      </c>
      <c r="N151" s="26" t="str">
        <f>IF($F$84=0," ",IF(AND(ABS(J151)&gt;$L$3,ABS(L151)&gt;$L$2),"C",IF(AND(ABS(F151+H151)&gt;0,H151=0,ABS(J151)&gt;$L$3),"C"," ")))</f>
        <v xml:space="preserve"> </v>
      </c>
    </row>
    <row r="152" spans="1:15" ht="13.5" x14ac:dyDescent="0.25">
      <c r="A152" s="1129">
        <v>2090</v>
      </c>
      <c r="B152" s="2876" t="s">
        <v>3875</v>
      </c>
      <c r="C152" s="2876"/>
      <c r="D152" s="2876"/>
      <c r="E152" s="2876"/>
      <c r="F152" s="649">
        <f>'905Hosp'!F153</f>
        <v>0</v>
      </c>
      <c r="H152" s="649" t="e">
        <f t="shared" si="25"/>
        <v>#N/A</v>
      </c>
      <c r="J152" s="413" t="e">
        <f t="shared" si="29"/>
        <v>#N/A</v>
      </c>
      <c r="L152" s="414" t="e">
        <f t="shared" si="30"/>
        <v>#N/A</v>
      </c>
      <c r="N152" s="26" t="str">
        <f t="shared" si="26"/>
        <v xml:space="preserve"> </v>
      </c>
    </row>
    <row r="153" spans="1:15" ht="13.5" x14ac:dyDescent="0.25">
      <c r="A153" s="1129">
        <v>2098</v>
      </c>
      <c r="B153" s="2876" t="s">
        <v>3876</v>
      </c>
      <c r="C153" s="2876"/>
      <c r="D153" s="2876"/>
      <c r="E153" s="2876"/>
      <c r="F153" s="649">
        <f>'905Hosp'!F154</f>
        <v>0</v>
      </c>
      <c r="H153" s="649" t="e">
        <f t="shared" si="25"/>
        <v>#N/A</v>
      </c>
      <c r="J153" s="413" t="e">
        <f>F153-H153</f>
        <v>#N/A</v>
      </c>
      <c r="L153" s="414" t="e">
        <f>IF(H153=0,0,J153/H153)</f>
        <v>#N/A</v>
      </c>
      <c r="N153" s="26" t="str">
        <f t="shared" si="26"/>
        <v xml:space="preserve"> </v>
      </c>
    </row>
    <row r="154" spans="1:15" ht="13.5" x14ac:dyDescent="0.25">
      <c r="A154" s="1129">
        <v>2099</v>
      </c>
      <c r="B154" s="2876" t="s">
        <v>4447</v>
      </c>
      <c r="C154" s="2876"/>
      <c r="D154" s="398"/>
      <c r="E154" s="398"/>
      <c r="F154" s="649">
        <f>'905Hosp'!F155</f>
        <v>0</v>
      </c>
      <c r="H154" s="649" t="e">
        <f t="shared" si="25"/>
        <v>#N/A</v>
      </c>
      <c r="J154" s="413" t="e">
        <f>F154-H154</f>
        <v>#N/A</v>
      </c>
      <c r="L154" s="414" t="e">
        <f>IF(H154=0,0,J154/H154)</f>
        <v>#N/A</v>
      </c>
      <c r="N154" s="26" t="str">
        <f>IF($F$84=0," ",IF(AND(ABS(J154)&gt;$L$3,ABS(L154)&gt;$L$2),"C",IF(AND(ABS(F154+H154)&gt;0,H154=0,ABS(J154)&gt;$L$3),"C"," ")))</f>
        <v xml:space="preserve"> </v>
      </c>
      <c r="O154" s="1610"/>
    </row>
    <row r="155" spans="1:15" ht="13.5" x14ac:dyDescent="0.25">
      <c r="A155" s="1129">
        <v>2095</v>
      </c>
      <c r="B155" s="2876" t="s">
        <v>1424</v>
      </c>
      <c r="C155" s="2876"/>
      <c r="D155" s="398"/>
      <c r="E155" s="398"/>
      <c r="F155" s="649">
        <f>'905Hosp'!F156</f>
        <v>0</v>
      </c>
      <c r="H155" s="649" t="e">
        <f t="shared" si="25"/>
        <v>#N/A</v>
      </c>
      <c r="J155" s="413" t="e">
        <f t="shared" si="29"/>
        <v>#N/A</v>
      </c>
      <c r="L155" s="414" t="e">
        <f t="shared" si="30"/>
        <v>#N/A</v>
      </c>
      <c r="N155" s="26" t="str">
        <f t="shared" si="26"/>
        <v xml:space="preserve"> </v>
      </c>
    </row>
    <row r="156" spans="1:15" ht="13.5" x14ac:dyDescent="0.25">
      <c r="A156" s="1129">
        <v>2096</v>
      </c>
      <c r="B156" s="2876" t="s">
        <v>1549</v>
      </c>
      <c r="C156" s="2876"/>
      <c r="D156" s="398"/>
      <c r="E156" s="398"/>
      <c r="F156" s="649">
        <f>'905Hosp'!F157</f>
        <v>0</v>
      </c>
      <c r="H156" s="649" t="e">
        <f t="shared" si="25"/>
        <v>#N/A</v>
      </c>
      <c r="J156" s="413" t="e">
        <f t="shared" si="29"/>
        <v>#N/A</v>
      </c>
      <c r="L156" s="414" t="e">
        <f t="shared" si="30"/>
        <v>#N/A</v>
      </c>
      <c r="N156" s="26" t="str">
        <f t="shared" si="26"/>
        <v xml:space="preserve"> </v>
      </c>
    </row>
    <row r="157" spans="1:15" ht="13.5" x14ac:dyDescent="0.25">
      <c r="B157" s="2876" t="s">
        <v>474</v>
      </c>
      <c r="C157" s="2876"/>
      <c r="D157" s="398"/>
      <c r="E157" s="398"/>
      <c r="F157" s="402">
        <f>SUM(F135:F156)</f>
        <v>0</v>
      </c>
      <c r="H157" s="402" t="e">
        <f>SUM(H135:H156)</f>
        <v>#N/A</v>
      </c>
      <c r="J157" s="413" t="e">
        <f t="shared" si="27"/>
        <v>#N/A</v>
      </c>
      <c r="L157" s="414" t="e">
        <f t="shared" si="28"/>
        <v>#N/A</v>
      </c>
    </row>
    <row r="158" spans="1:15" ht="13.5" x14ac:dyDescent="0.25">
      <c r="B158" s="398"/>
      <c r="C158" s="398"/>
      <c r="D158" s="398"/>
      <c r="E158" s="398"/>
      <c r="F158" s="404"/>
      <c r="H158" s="404"/>
      <c r="J158" s="413"/>
      <c r="L158" s="414"/>
    </row>
    <row r="159" spans="1:15" ht="13.5" x14ac:dyDescent="0.25">
      <c r="B159" s="2876" t="s">
        <v>791</v>
      </c>
      <c r="C159" s="2876"/>
      <c r="D159" s="398"/>
      <c r="E159" s="398"/>
      <c r="F159" s="404">
        <f>F132+F157</f>
        <v>0</v>
      </c>
      <c r="H159" s="404" t="e">
        <f>H132+H157</f>
        <v>#N/A</v>
      </c>
      <c r="J159" s="413" t="e">
        <f t="shared" si="27"/>
        <v>#N/A</v>
      </c>
      <c r="L159" s="414" t="e">
        <f t="shared" si="28"/>
        <v>#N/A</v>
      </c>
    </row>
    <row r="160" spans="1:15" ht="7.5" customHeight="1" x14ac:dyDescent="0.25">
      <c r="B160" s="398"/>
      <c r="C160" s="398"/>
      <c r="D160" s="398"/>
      <c r="E160" s="398"/>
      <c r="F160" s="656"/>
      <c r="H160" s="656"/>
      <c r="J160" s="413"/>
      <c r="L160" s="414"/>
    </row>
    <row r="161" spans="1:19" ht="13.5" x14ac:dyDescent="0.25">
      <c r="B161" s="394" t="s">
        <v>1931</v>
      </c>
      <c r="F161"/>
      <c r="H161" s="656"/>
      <c r="J161" s="413"/>
      <c r="L161" s="414"/>
    </row>
    <row r="162" spans="1:19" ht="13.5" x14ac:dyDescent="0.25">
      <c r="A162" s="335">
        <v>1764</v>
      </c>
      <c r="B162" s="2876" t="s">
        <v>3966</v>
      </c>
      <c r="C162" s="2876"/>
      <c r="D162" s="2876"/>
      <c r="E162" s="2876"/>
      <c r="F162" s="649">
        <f>'905Hosp'!F163</f>
        <v>0</v>
      </c>
      <c r="G162" s="398"/>
      <c r="H162" s="649" t="e">
        <f t="shared" ref="H162:H171" si="31">INDEX(PY905Data,MATCH($A162,PY905Row,0),MATCH($C$5,PY905Col,0))</f>
        <v>#N/A</v>
      </c>
      <c r="J162" s="413" t="e">
        <f t="shared" ref="J162:J172" si="32">F162-H162</f>
        <v>#N/A</v>
      </c>
      <c r="L162" s="414" t="e">
        <f t="shared" ref="L162:L172" si="33">IF(H162=0,0,J162/H162)</f>
        <v>#N/A</v>
      </c>
      <c r="N162" s="26" t="str">
        <f t="shared" ref="N162:N171" si="34">IF($F$84=0," ",IF(AND(ABS(J162)&gt;$L$3,ABS(L162)&gt;$L$2),"C",IF(AND(ABS(F162+H162)&gt;0,H162=0,ABS(J162)&gt;$L$3),"C"," ")))</f>
        <v xml:space="preserve"> </v>
      </c>
    </row>
    <row r="163" spans="1:19" ht="13.5" x14ac:dyDescent="0.25">
      <c r="A163" s="335">
        <v>2026</v>
      </c>
      <c r="B163" s="2876" t="s">
        <v>3967</v>
      </c>
      <c r="C163" s="2876"/>
      <c r="D163" s="2876"/>
      <c r="E163" s="2876"/>
      <c r="F163" s="649">
        <f>'905Hosp'!F164</f>
        <v>0</v>
      </c>
      <c r="G163" s="398"/>
      <c r="H163" s="649" t="e">
        <f t="shared" si="31"/>
        <v>#N/A</v>
      </c>
      <c r="J163" s="413" t="e">
        <f t="shared" si="32"/>
        <v>#N/A</v>
      </c>
      <c r="L163" s="414" t="e">
        <f t="shared" si="33"/>
        <v>#N/A</v>
      </c>
      <c r="N163" s="26" t="str">
        <f t="shared" si="34"/>
        <v xml:space="preserve"> </v>
      </c>
    </row>
    <row r="164" spans="1:19" ht="13.5" x14ac:dyDescent="0.25">
      <c r="A164" s="335">
        <v>1766</v>
      </c>
      <c r="B164" s="2876" t="s">
        <v>3557</v>
      </c>
      <c r="C164" s="2876"/>
      <c r="D164" s="2876"/>
      <c r="E164" s="2876"/>
      <c r="F164" s="649">
        <f>'905Hosp'!F165</f>
        <v>0</v>
      </c>
      <c r="G164" s="398"/>
      <c r="H164" s="649" t="e">
        <f t="shared" si="31"/>
        <v>#N/A</v>
      </c>
      <c r="J164" s="413" t="e">
        <f t="shared" si="32"/>
        <v>#N/A</v>
      </c>
      <c r="L164" s="414" t="e">
        <f t="shared" si="33"/>
        <v>#N/A</v>
      </c>
      <c r="N164" s="26" t="str">
        <f t="shared" si="34"/>
        <v xml:space="preserve"> </v>
      </c>
      <c r="P164" s="2968"/>
      <c r="Q164" s="2968"/>
      <c r="R164" s="398"/>
      <c r="S164" s="398"/>
    </row>
    <row r="165" spans="1:19" ht="13.5" x14ac:dyDescent="0.25">
      <c r="A165" s="335">
        <v>1768</v>
      </c>
      <c r="B165" s="2876" t="s">
        <v>3574</v>
      </c>
      <c r="C165" s="2876"/>
      <c r="D165" s="2876"/>
      <c r="E165" s="2876"/>
      <c r="F165" s="649">
        <f>'905Hosp'!F166</f>
        <v>0</v>
      </c>
      <c r="G165" s="398"/>
      <c r="H165" s="649" t="e">
        <f t="shared" si="31"/>
        <v>#N/A</v>
      </c>
      <c r="J165" s="413" t="e">
        <f t="shared" si="32"/>
        <v>#N/A</v>
      </c>
      <c r="L165" s="414" t="e">
        <f t="shared" si="33"/>
        <v>#N/A</v>
      </c>
      <c r="N165" s="26" t="str">
        <f t="shared" si="34"/>
        <v xml:space="preserve"> </v>
      </c>
      <c r="P165" s="2968"/>
      <c r="Q165" s="2968"/>
      <c r="R165" s="398"/>
      <c r="S165" s="398"/>
    </row>
    <row r="166" spans="1:19" ht="13.5" x14ac:dyDescent="0.25">
      <c r="A166" s="335">
        <v>1765</v>
      </c>
      <c r="B166" s="2876" t="s">
        <v>3872</v>
      </c>
      <c r="C166" s="2876"/>
      <c r="D166" s="2876"/>
      <c r="E166" s="2876"/>
      <c r="F166" s="649">
        <f>'905Hosp'!F167</f>
        <v>0</v>
      </c>
      <c r="G166" s="398"/>
      <c r="H166" s="649" t="e">
        <f t="shared" si="31"/>
        <v>#N/A</v>
      </c>
      <c r="J166" s="413" t="e">
        <f>F166-H166</f>
        <v>#N/A</v>
      </c>
      <c r="L166" s="414" t="e">
        <f>IF(H166=0,0,J166/H166)</f>
        <v>#N/A</v>
      </c>
      <c r="N166" s="26" t="str">
        <f t="shared" si="34"/>
        <v xml:space="preserve"> </v>
      </c>
      <c r="P166" s="2968"/>
      <c r="Q166" s="2968"/>
      <c r="R166" s="398"/>
      <c r="S166" s="398"/>
    </row>
    <row r="167" spans="1:19" ht="13.5" x14ac:dyDescent="0.25">
      <c r="A167" s="335">
        <v>1772</v>
      </c>
      <c r="B167" s="2876" t="s">
        <v>4449</v>
      </c>
      <c r="C167" s="2876"/>
      <c r="D167" s="2876"/>
      <c r="E167" s="2876"/>
      <c r="F167" s="649">
        <f>'905Hosp'!F168</f>
        <v>0</v>
      </c>
      <c r="G167" s="398"/>
      <c r="H167" s="649" t="e">
        <f t="shared" si="31"/>
        <v>#N/A</v>
      </c>
      <c r="J167" s="413" t="e">
        <f>F167-H167</f>
        <v>#N/A</v>
      </c>
      <c r="L167" s="414" t="e">
        <f>IF(H167=0,0,J167/H167)</f>
        <v>#N/A</v>
      </c>
      <c r="N167" s="26" t="str">
        <f>IF($F$84=0," ",IF(AND(ABS(J167)&gt;$L$3,ABS(L167)&gt;$L$2),"C",IF(AND(ABS(F167+H167)&gt;0,H167=0,ABS(J167)&gt;$L$3),"C"," ")))</f>
        <v xml:space="preserve"> </v>
      </c>
      <c r="O167" s="1610"/>
      <c r="P167" s="2968"/>
      <c r="Q167" s="2968"/>
      <c r="R167" s="398"/>
      <c r="S167" s="398"/>
    </row>
    <row r="168" spans="1:19" ht="13.5" x14ac:dyDescent="0.25">
      <c r="A168" s="335">
        <v>1767</v>
      </c>
      <c r="B168" s="2876" t="s">
        <v>3871</v>
      </c>
      <c r="C168" s="2876"/>
      <c r="D168" s="2876"/>
      <c r="E168" s="2876"/>
      <c r="F168" s="649">
        <f>'905Hosp'!F169</f>
        <v>0</v>
      </c>
      <c r="G168" s="398"/>
      <c r="H168" s="649" t="e">
        <f t="shared" si="31"/>
        <v>#N/A</v>
      </c>
      <c r="J168" s="413" t="e">
        <f>F168-H168</f>
        <v>#N/A</v>
      </c>
      <c r="L168" s="414" t="e">
        <f>IF(H168=0,0,J168/H168)</f>
        <v>#N/A</v>
      </c>
      <c r="N168" s="26" t="str">
        <f>IF($F$84=0," ",IF(AND(ABS(J168)&gt;$L$3,ABS(L168)&gt;$L$2),"C",IF(AND(ABS(F168+H168)&gt;0,H168=0,ABS(J168)&gt;$L$3),"C"," ")))</f>
        <v xml:space="preserve"> </v>
      </c>
      <c r="P168" s="2968"/>
      <c r="Q168" s="2968"/>
      <c r="R168" s="398"/>
      <c r="S168" s="398"/>
    </row>
    <row r="169" spans="1:19" ht="13.5" x14ac:dyDescent="0.25">
      <c r="A169" s="335">
        <v>1771</v>
      </c>
      <c r="B169" s="2876" t="s">
        <v>4448</v>
      </c>
      <c r="C169" s="2876"/>
      <c r="D169" s="2876"/>
      <c r="E169" s="2876"/>
      <c r="F169" s="649">
        <f>'905Hosp'!F170</f>
        <v>0</v>
      </c>
      <c r="G169" s="398"/>
      <c r="H169" s="649" t="e">
        <f t="shared" si="31"/>
        <v>#N/A</v>
      </c>
      <c r="J169" s="413" t="e">
        <f>F169-H169</f>
        <v>#N/A</v>
      </c>
      <c r="L169" s="414" t="e">
        <f>IF(H169=0,0,J169/H169)</f>
        <v>#N/A</v>
      </c>
      <c r="N169" s="26" t="str">
        <f t="shared" si="34"/>
        <v xml:space="preserve"> </v>
      </c>
      <c r="O169" s="1610"/>
      <c r="P169" s="2968"/>
      <c r="Q169" s="2968"/>
      <c r="R169" s="398"/>
      <c r="S169" s="398"/>
    </row>
    <row r="170" spans="1:19" ht="13.5" x14ac:dyDescent="0.25">
      <c r="A170" s="335">
        <v>1773</v>
      </c>
      <c r="B170" s="2974" t="s">
        <v>5512</v>
      </c>
      <c r="C170" s="2974"/>
      <c r="D170" s="2974"/>
      <c r="E170" s="2974"/>
      <c r="F170" s="649">
        <f>'905Hosp'!F171</f>
        <v>0</v>
      </c>
      <c r="G170" s="398"/>
      <c r="H170" s="649" t="e">
        <f t="shared" si="31"/>
        <v>#N/A</v>
      </c>
      <c r="J170" s="413" t="e">
        <f>F170-H170</f>
        <v>#N/A</v>
      </c>
      <c r="L170" s="414" t="e">
        <f>IF(H170=0,0,J170/H170)</f>
        <v>#N/A</v>
      </c>
      <c r="N170" s="26" t="str">
        <f t="shared" si="34"/>
        <v xml:space="preserve"> </v>
      </c>
      <c r="O170" s="1610"/>
      <c r="P170" s="2261"/>
      <c r="Q170" s="2261"/>
      <c r="R170" s="398"/>
      <c r="S170" s="398"/>
    </row>
    <row r="171" spans="1:19" ht="13.5" x14ac:dyDescent="0.25">
      <c r="A171" s="335">
        <v>1769</v>
      </c>
      <c r="B171" s="2876" t="s">
        <v>3945</v>
      </c>
      <c r="C171" s="2876"/>
      <c r="D171" s="2876"/>
      <c r="E171" s="2876"/>
      <c r="F171" s="651">
        <f>'905Hosp'!F172</f>
        <v>0</v>
      </c>
      <c r="G171" s="398"/>
      <c r="H171" s="651" t="e">
        <f t="shared" si="31"/>
        <v>#N/A</v>
      </c>
      <c r="J171" s="413" t="e">
        <f t="shared" si="32"/>
        <v>#N/A</v>
      </c>
      <c r="L171" s="414" t="e">
        <f t="shared" si="33"/>
        <v>#N/A</v>
      </c>
      <c r="N171" s="26" t="str">
        <f t="shared" si="34"/>
        <v xml:space="preserve"> </v>
      </c>
      <c r="P171" s="2968"/>
      <c r="Q171" s="2968"/>
      <c r="R171" s="398"/>
      <c r="S171" s="398"/>
    </row>
    <row r="172" spans="1:19" ht="13.5" x14ac:dyDescent="0.25">
      <c r="B172" s="2876" t="s">
        <v>1934</v>
      </c>
      <c r="C172" s="2876"/>
      <c r="D172" s="398"/>
      <c r="E172" s="398"/>
      <c r="F172" s="404">
        <f>SUM(F162:F171)</f>
        <v>0</v>
      </c>
      <c r="G172" s="398"/>
      <c r="H172" s="404" t="e">
        <f>SUM(H162:H171)</f>
        <v>#N/A</v>
      </c>
      <c r="J172" s="413" t="e">
        <f t="shared" si="32"/>
        <v>#N/A</v>
      </c>
      <c r="L172" s="414" t="e">
        <f t="shared" si="33"/>
        <v>#N/A</v>
      </c>
    </row>
    <row r="173" spans="1:19" ht="14.25" thickBot="1" x14ac:dyDescent="0.3">
      <c r="B173" s="691"/>
      <c r="C173" s="691"/>
      <c r="D173" s="691"/>
      <c r="E173" s="691"/>
      <c r="F173" s="691"/>
      <c r="G173" s="691"/>
      <c r="J173" s="413"/>
      <c r="L173" s="414"/>
    </row>
    <row r="174" spans="1:19" ht="13.5" thickBot="1" x14ac:dyDescent="0.25">
      <c r="B174" s="395" t="s">
        <v>1905</v>
      </c>
      <c r="F174" s="1566" t="s">
        <v>3963</v>
      </c>
      <c r="G174" s="1567"/>
      <c r="H174" s="1568"/>
      <c r="I174" s="1567"/>
      <c r="J174" s="1567"/>
      <c r="K174" s="1567"/>
      <c r="L174" s="1569"/>
    </row>
    <row r="175" spans="1:19" ht="13.5" x14ac:dyDescent="0.25">
      <c r="A175" s="335">
        <v>2130</v>
      </c>
      <c r="B175" s="2876" t="s">
        <v>3469</v>
      </c>
      <c r="C175" s="2876"/>
      <c r="D175" s="398"/>
      <c r="E175" s="398"/>
      <c r="F175" s="649">
        <f>'905Hosp'!F176</f>
        <v>0</v>
      </c>
      <c r="H175" s="649" t="e">
        <f>INDEX(PY905Data,MATCH($A175,PY905Row,0),MATCH($C$5,PY905Col,0))</f>
        <v>#N/A</v>
      </c>
      <c r="J175" s="413" t="e">
        <f>F175-H175</f>
        <v>#N/A</v>
      </c>
      <c r="L175" s="414" t="e">
        <f>IF(H175=0,0,J175/H175)</f>
        <v>#N/A</v>
      </c>
    </row>
    <row r="176" spans="1:19" ht="13.5" x14ac:dyDescent="0.25">
      <c r="A176" s="330"/>
      <c r="B176" s="335" t="s">
        <v>1550</v>
      </c>
      <c r="C176" s="335"/>
      <c r="D176" s="335"/>
      <c r="E176" s="335"/>
      <c r="J176" s="413"/>
      <c r="L176" s="414"/>
    </row>
    <row r="177" spans="1:14" ht="13.5" x14ac:dyDescent="0.25">
      <c r="A177" s="335">
        <v>2140</v>
      </c>
      <c r="B177" s="2876" t="s">
        <v>192</v>
      </c>
      <c r="C177" s="2876"/>
      <c r="D177" s="398"/>
      <c r="E177" s="398"/>
      <c r="F177" s="649">
        <f>'905Hosp'!F178</f>
        <v>0</v>
      </c>
      <c r="H177" s="649" t="e">
        <f>INDEX(PY905Data,MATCH($A177,PY905Row,0),MATCH($C$5,PY905Col,0))</f>
        <v>#N/A</v>
      </c>
      <c r="J177" s="413" t="e">
        <f>F177-H177</f>
        <v>#N/A</v>
      </c>
      <c r="L177" s="414" t="e">
        <f>IF(H177=0,0,J177/H177)</f>
        <v>#N/A</v>
      </c>
    </row>
    <row r="178" spans="1:14" ht="13.5" x14ac:dyDescent="0.25">
      <c r="A178" s="335">
        <v>2141</v>
      </c>
      <c r="B178" s="2876" t="s">
        <v>475</v>
      </c>
      <c r="C178" s="2876"/>
      <c r="D178" s="398"/>
      <c r="E178" s="398"/>
      <c r="F178" s="649">
        <f>'905Hosp'!F179</f>
        <v>0</v>
      </c>
      <c r="H178" s="649" t="e">
        <f>INDEX(PY905Data,MATCH($A178,PY905Row,0),MATCH($C$5,PY905Col,0))</f>
        <v>#N/A</v>
      </c>
      <c r="J178" s="413" t="e">
        <f>F178-H178</f>
        <v>#N/A</v>
      </c>
      <c r="L178" s="414" t="e">
        <f>IF(H178=0,0,J178/H178)</f>
        <v>#N/A</v>
      </c>
    </row>
    <row r="179" spans="1:14" ht="13.5" x14ac:dyDescent="0.25">
      <c r="A179" s="335">
        <v>2142</v>
      </c>
      <c r="B179" s="2876" t="s">
        <v>476</v>
      </c>
      <c r="C179" s="2876"/>
      <c r="D179" s="398"/>
      <c r="E179" s="398"/>
      <c r="F179" s="649">
        <f>'905Hosp'!F180</f>
        <v>0</v>
      </c>
      <c r="H179" s="649" t="e">
        <f>INDEX(PY905Data,MATCH($A179,PY905Row,0),MATCH($C$5,PY905Col,0))</f>
        <v>#N/A</v>
      </c>
      <c r="J179" s="413" t="e">
        <f>F179-H179</f>
        <v>#N/A</v>
      </c>
      <c r="L179" s="414" t="e">
        <f>IF(H179=0,0,J179/H179)</f>
        <v>#N/A</v>
      </c>
    </row>
    <row r="180" spans="1:14" ht="13.5" x14ac:dyDescent="0.25">
      <c r="A180" s="330"/>
      <c r="B180" s="335" t="s">
        <v>1303</v>
      </c>
      <c r="C180" s="335"/>
      <c r="D180" s="335"/>
      <c r="E180" s="335"/>
      <c r="J180" s="413"/>
      <c r="L180" s="414"/>
    </row>
    <row r="181" spans="1:14" ht="13.5" x14ac:dyDescent="0.25">
      <c r="A181" s="335">
        <v>2150</v>
      </c>
      <c r="B181" s="2876" t="s">
        <v>192</v>
      </c>
      <c r="C181" s="2876"/>
      <c r="D181" s="398"/>
      <c r="E181" s="398"/>
      <c r="F181" s="649">
        <f>'905Hosp'!F182</f>
        <v>0</v>
      </c>
      <c r="H181" s="649" t="e">
        <f>INDEX(PY905Data,MATCH($A181,PY905Row,0),MATCH($C$5,PY905Col,0))</f>
        <v>#N/A</v>
      </c>
      <c r="J181" s="413" t="e">
        <f>F181-H181</f>
        <v>#N/A</v>
      </c>
      <c r="L181" s="414" t="e">
        <f>IF(H181=0,0,J181/H181)</f>
        <v>#N/A</v>
      </c>
    </row>
    <row r="182" spans="1:14" ht="13.5" x14ac:dyDescent="0.25">
      <c r="A182" s="335">
        <v>2151</v>
      </c>
      <c r="B182" s="2876" t="s">
        <v>475</v>
      </c>
      <c r="C182" s="2876"/>
      <c r="D182" s="398"/>
      <c r="E182" s="398"/>
      <c r="F182" s="649">
        <f>'905Hosp'!F183</f>
        <v>0</v>
      </c>
      <c r="H182" s="649" t="e">
        <f>INDEX(PY905Data,MATCH($A182,PY905Row,0),MATCH($C$5,PY905Col,0))</f>
        <v>#N/A</v>
      </c>
      <c r="J182" s="413" t="e">
        <f>F182-H182</f>
        <v>#N/A</v>
      </c>
      <c r="L182" s="414" t="e">
        <f>IF(H182=0,0,J182/H182)</f>
        <v>#N/A</v>
      </c>
    </row>
    <row r="183" spans="1:14" ht="13.5" x14ac:dyDescent="0.25">
      <c r="A183" s="335">
        <v>2152</v>
      </c>
      <c r="B183" s="2876" t="s">
        <v>476</v>
      </c>
      <c r="C183" s="2876"/>
      <c r="D183" s="398"/>
      <c r="E183" s="398"/>
      <c r="F183" s="649">
        <f>'905Hosp'!F184</f>
        <v>0</v>
      </c>
      <c r="H183" s="649" t="e">
        <f>INDEX(PY905Data,MATCH($A183,PY905Row,0),MATCH($C$5,PY905Col,0))</f>
        <v>#N/A</v>
      </c>
      <c r="J183" s="413" t="e">
        <f>F183-H183</f>
        <v>#N/A</v>
      </c>
      <c r="L183" s="414" t="e">
        <f>IF(H183=0,0,J183/H183)</f>
        <v>#N/A</v>
      </c>
    </row>
    <row r="184" spans="1:14" ht="13.5" x14ac:dyDescent="0.25">
      <c r="A184" s="335">
        <v>2180</v>
      </c>
      <c r="B184" s="2876" t="s">
        <v>923</v>
      </c>
      <c r="C184" s="2876"/>
      <c r="D184" s="398"/>
      <c r="E184" s="398"/>
      <c r="F184" s="649">
        <f>'905Hosp'!F185</f>
        <v>0</v>
      </c>
      <c r="H184" s="649" t="e">
        <f>INDEX(PY905Data,MATCH($A184,PY905Row,0),MATCH($C$5,PY905Col,0))</f>
        <v>#N/A</v>
      </c>
      <c r="J184" s="413" t="e">
        <f>F184-H184</f>
        <v>#N/A</v>
      </c>
      <c r="L184" s="414" t="e">
        <f>IF(H184=0,0,J184/H184)</f>
        <v>#N/A</v>
      </c>
    </row>
    <row r="185" spans="1:14" ht="14.25" thickBot="1" x14ac:dyDescent="0.3">
      <c r="B185" s="2876" t="s">
        <v>1889</v>
      </c>
      <c r="C185" s="2876"/>
      <c r="D185" s="398"/>
      <c r="E185" s="398"/>
      <c r="F185" s="405">
        <f>SUM(F175:F184)</f>
        <v>0</v>
      </c>
      <c r="H185" s="405" t="e">
        <f>SUM(H175:H184)</f>
        <v>#N/A</v>
      </c>
      <c r="J185" s="413" t="e">
        <f>F185-H185</f>
        <v>#N/A</v>
      </c>
      <c r="L185" s="414" t="e">
        <f>IF(H185=0,0,J185/H185)</f>
        <v>#N/A</v>
      </c>
    </row>
    <row r="186" spans="1:14" ht="6" customHeight="1" thickTop="1" x14ac:dyDescent="0.25">
      <c r="B186" s="398"/>
      <c r="C186" s="398"/>
      <c r="D186" s="398"/>
      <c r="E186" s="398"/>
      <c r="J186" s="413"/>
      <c r="L186" s="414"/>
    </row>
    <row r="187" spans="1:14" x14ac:dyDescent="0.2">
      <c r="B187" s="335" t="s">
        <v>3480</v>
      </c>
      <c r="C187" s="44"/>
      <c r="D187" s="44"/>
      <c r="E187" s="44"/>
      <c r="F187" s="805" t="str">
        <f>IF(ROUND(F84+F94-F159-F172,2)=F185, "In Bal.","Out of Bal.")</f>
        <v>In Bal.</v>
      </c>
      <c r="H187" s="805" t="e">
        <f>IF(ROUND(H84+H94-H159-H172,2)=H185, "In Bal.","Out of Bal.")</f>
        <v>#N/A</v>
      </c>
    </row>
    <row r="188" spans="1:14" x14ac:dyDescent="0.2">
      <c r="B188" s="335" t="s">
        <v>1935</v>
      </c>
      <c r="C188" s="44"/>
      <c r="D188" s="44"/>
      <c r="E188" s="44"/>
    </row>
    <row r="189" spans="1:14" x14ac:dyDescent="0.2">
      <c r="B189" s="1256" t="s">
        <v>1906</v>
      </c>
      <c r="C189" s="653"/>
      <c r="D189" s="653"/>
      <c r="E189" s="653"/>
      <c r="F189" s="654"/>
    </row>
    <row r="190" spans="1:14" x14ac:dyDescent="0.2">
      <c r="B190" s="407" t="s">
        <v>387</v>
      </c>
      <c r="C190" s="407"/>
      <c r="D190" s="407"/>
      <c r="E190" s="407"/>
      <c r="F190" s="1255" t="str">
        <f>CONCATENATE("FYE ",+TEXT(Data!$A$2,"mmmm d,yyyy"))</f>
        <v>FYE June 30,2022</v>
      </c>
      <c r="H190" s="1255" t="str">
        <f>CONCATENATE("FYE ",+TEXT(Data!$A$4,"mmmm d,yyyy"))</f>
        <v>FYE June 30,2021</v>
      </c>
    </row>
    <row r="191" spans="1:14" ht="13.5" x14ac:dyDescent="0.25">
      <c r="A191" s="335">
        <v>2310</v>
      </c>
      <c r="B191" s="2876" t="s">
        <v>782</v>
      </c>
      <c r="C191" s="2876"/>
      <c r="D191" s="398"/>
      <c r="E191" s="398"/>
      <c r="F191" s="649">
        <f>'905Hosp'!F192</f>
        <v>0</v>
      </c>
      <c r="H191" s="649" t="e">
        <f t="shared" ref="H191:H201" si="35">INDEX(PY905Data,MATCH($A191,PY905Row,0),MATCH($C$5,PY905Col,0))</f>
        <v>#N/A</v>
      </c>
      <c r="J191" s="413" t="e">
        <f t="shared" ref="J191:J202" si="36">F191-H191</f>
        <v>#N/A</v>
      </c>
      <c r="L191" s="414" t="e">
        <f t="shared" ref="L191:L202" si="37">IF(H191=0,0,J191/H191)</f>
        <v>#N/A</v>
      </c>
      <c r="N191" s="26" t="str">
        <f t="shared" ref="N191:N201" si="38">IF($F$84=0," ",IF(AND(ABS(J191)&gt;$L$3,ABS(L191)&gt;$L$2),"C",IF(AND(ABS(F191+H191)&gt;0,H191=0,ABS(J191)&gt;$L$3),"C"," ")))</f>
        <v xml:space="preserve"> </v>
      </c>
    </row>
    <row r="192" spans="1:14" ht="13.5" x14ac:dyDescent="0.25">
      <c r="A192" s="335">
        <v>2320</v>
      </c>
      <c r="B192" s="2876" t="s">
        <v>1425</v>
      </c>
      <c r="C192" s="2876"/>
      <c r="D192" s="398"/>
      <c r="E192" s="398"/>
      <c r="F192" s="649">
        <f>'905Hosp'!F193</f>
        <v>0</v>
      </c>
      <c r="H192" s="649" t="e">
        <f t="shared" si="35"/>
        <v>#N/A</v>
      </c>
      <c r="J192" s="413" t="e">
        <f t="shared" si="36"/>
        <v>#N/A</v>
      </c>
      <c r="L192" s="414" t="e">
        <f t="shared" si="37"/>
        <v>#N/A</v>
      </c>
      <c r="N192" s="26" t="str">
        <f t="shared" si="38"/>
        <v xml:space="preserve"> </v>
      </c>
    </row>
    <row r="193" spans="1:14" ht="13.5" x14ac:dyDescent="0.25">
      <c r="A193" s="335">
        <v>2330</v>
      </c>
      <c r="B193" s="2876" t="s">
        <v>1426</v>
      </c>
      <c r="C193" s="2876"/>
      <c r="D193" s="398"/>
      <c r="E193" s="398"/>
      <c r="F193" s="649">
        <f>'905Hosp'!F194</f>
        <v>0</v>
      </c>
      <c r="H193" s="649" t="e">
        <f t="shared" si="35"/>
        <v>#N/A</v>
      </c>
      <c r="J193" s="413" t="e">
        <f>F193-H193</f>
        <v>#N/A</v>
      </c>
      <c r="L193" s="414" t="e">
        <f>IF(H193=0,0,J193/H193)</f>
        <v>#N/A</v>
      </c>
      <c r="N193" s="26" t="str">
        <f t="shared" si="38"/>
        <v xml:space="preserve"> </v>
      </c>
    </row>
    <row r="194" spans="1:14" ht="13.5" x14ac:dyDescent="0.25">
      <c r="A194" s="335">
        <v>2350</v>
      </c>
      <c r="B194" s="2876" t="s">
        <v>1427</v>
      </c>
      <c r="C194" s="2876"/>
      <c r="D194" s="398"/>
      <c r="E194" s="398"/>
      <c r="F194" s="649">
        <f>'905Hosp'!F195</f>
        <v>0</v>
      </c>
      <c r="H194" s="649" t="e">
        <f t="shared" si="35"/>
        <v>#N/A</v>
      </c>
      <c r="J194" s="413" t="e">
        <f>F194-H194</f>
        <v>#N/A</v>
      </c>
      <c r="L194" s="414" t="e">
        <f>IF(H194=0,0,J194/H194)</f>
        <v>#N/A</v>
      </c>
      <c r="N194" s="26" t="str">
        <f t="shared" si="38"/>
        <v xml:space="preserve"> </v>
      </c>
    </row>
    <row r="195" spans="1:14" ht="13.5" x14ac:dyDescent="0.25">
      <c r="A195" s="335">
        <v>2370</v>
      </c>
      <c r="B195" s="2876" t="s">
        <v>388</v>
      </c>
      <c r="C195" s="2876"/>
      <c r="D195" s="398"/>
      <c r="E195" s="398"/>
      <c r="F195" s="649">
        <f>'905Hosp'!F196</f>
        <v>0</v>
      </c>
      <c r="H195" s="649" t="e">
        <f t="shared" si="35"/>
        <v>#N/A</v>
      </c>
      <c r="J195" s="413" t="e">
        <f t="shared" si="36"/>
        <v>#N/A</v>
      </c>
      <c r="L195" s="414" t="e">
        <f t="shared" si="37"/>
        <v>#N/A</v>
      </c>
      <c r="N195" s="26" t="str">
        <f t="shared" si="38"/>
        <v xml:space="preserve"> </v>
      </c>
    </row>
    <row r="196" spans="1:14" ht="13.5" x14ac:dyDescent="0.25">
      <c r="A196" s="335">
        <v>2390</v>
      </c>
      <c r="B196" s="2876" t="s">
        <v>389</v>
      </c>
      <c r="C196" s="2876"/>
      <c r="D196" s="398"/>
      <c r="E196" s="398"/>
      <c r="F196" s="649">
        <f>'905Hosp'!F197</f>
        <v>0</v>
      </c>
      <c r="H196" s="649" t="e">
        <f t="shared" si="35"/>
        <v>#N/A</v>
      </c>
      <c r="J196" s="413" t="e">
        <f t="shared" si="36"/>
        <v>#N/A</v>
      </c>
      <c r="L196" s="414" t="e">
        <f t="shared" si="37"/>
        <v>#N/A</v>
      </c>
      <c r="N196" s="26" t="str">
        <f t="shared" si="38"/>
        <v xml:space="preserve"> </v>
      </c>
    </row>
    <row r="197" spans="1:14" ht="13.5" x14ac:dyDescent="0.25">
      <c r="A197" s="335">
        <v>2400</v>
      </c>
      <c r="B197" s="2876" t="s">
        <v>390</v>
      </c>
      <c r="C197" s="2876"/>
      <c r="D197" s="398"/>
      <c r="E197" s="398"/>
      <c r="F197" s="649">
        <f>'905Hosp'!F198</f>
        <v>0</v>
      </c>
      <c r="H197" s="649" t="e">
        <f t="shared" si="35"/>
        <v>#N/A</v>
      </c>
      <c r="J197" s="413" t="e">
        <f t="shared" si="36"/>
        <v>#N/A</v>
      </c>
      <c r="L197" s="414" t="e">
        <f t="shared" si="37"/>
        <v>#N/A</v>
      </c>
      <c r="N197" s="26" t="str">
        <f t="shared" si="38"/>
        <v xml:space="preserve"> </v>
      </c>
    </row>
    <row r="198" spans="1:14" ht="13.5" x14ac:dyDescent="0.25">
      <c r="A198" s="335">
        <v>2410</v>
      </c>
      <c r="B198" s="2876" t="s">
        <v>391</v>
      </c>
      <c r="C198" s="2876"/>
      <c r="D198" s="398"/>
      <c r="E198" s="398"/>
      <c r="F198" s="649">
        <f>'905Hosp'!F199</f>
        <v>0</v>
      </c>
      <c r="H198" s="649" t="e">
        <f t="shared" si="35"/>
        <v>#N/A</v>
      </c>
      <c r="J198" s="413" t="e">
        <f t="shared" si="36"/>
        <v>#N/A</v>
      </c>
      <c r="L198" s="414" t="e">
        <f t="shared" si="37"/>
        <v>#N/A</v>
      </c>
      <c r="N198" s="26" t="str">
        <f t="shared" si="38"/>
        <v xml:space="preserve"> </v>
      </c>
    </row>
    <row r="199" spans="1:14" ht="13.5" x14ac:dyDescent="0.25">
      <c r="A199" s="335">
        <v>2420</v>
      </c>
      <c r="B199" s="2876" t="s">
        <v>783</v>
      </c>
      <c r="C199" s="2876"/>
      <c r="D199" s="398"/>
      <c r="E199" s="398"/>
      <c r="F199" s="649">
        <f>'905Hosp'!F200</f>
        <v>0</v>
      </c>
      <c r="H199" s="649" t="e">
        <f t="shared" si="35"/>
        <v>#N/A</v>
      </c>
      <c r="J199" s="413" t="e">
        <f t="shared" si="36"/>
        <v>#N/A</v>
      </c>
      <c r="L199" s="414" t="e">
        <f t="shared" si="37"/>
        <v>#N/A</v>
      </c>
      <c r="N199" s="26" t="str">
        <f t="shared" si="38"/>
        <v xml:space="preserve"> </v>
      </c>
    </row>
    <row r="200" spans="1:14" ht="13.5" x14ac:dyDescent="0.25">
      <c r="A200" s="335">
        <v>2430</v>
      </c>
      <c r="B200" s="2876" t="s">
        <v>8</v>
      </c>
      <c r="C200" s="2876"/>
      <c r="D200" s="398"/>
      <c r="E200" s="398"/>
      <c r="F200" s="649">
        <f>'905Hosp'!F201</f>
        <v>0</v>
      </c>
      <c r="H200" s="649" t="e">
        <f t="shared" si="35"/>
        <v>#N/A</v>
      </c>
      <c r="J200" s="413" t="e">
        <f t="shared" si="36"/>
        <v>#N/A</v>
      </c>
      <c r="L200" s="414" t="e">
        <f t="shared" si="37"/>
        <v>#N/A</v>
      </c>
      <c r="N200" s="26" t="str">
        <f t="shared" si="38"/>
        <v xml:space="preserve"> </v>
      </c>
    </row>
    <row r="201" spans="1:14" ht="13.5" x14ac:dyDescent="0.25">
      <c r="A201" s="335">
        <v>2450</v>
      </c>
      <c r="B201" s="2876" t="s">
        <v>643</v>
      </c>
      <c r="C201" s="2876"/>
      <c r="D201" s="398"/>
      <c r="E201" s="398"/>
      <c r="F201" s="649">
        <f>'905Hosp'!F202</f>
        <v>0</v>
      </c>
      <c r="H201" s="649" t="e">
        <f t="shared" si="35"/>
        <v>#N/A</v>
      </c>
      <c r="J201" s="413" t="e">
        <f t="shared" si="36"/>
        <v>#N/A</v>
      </c>
      <c r="L201" s="414" t="e">
        <f t="shared" si="37"/>
        <v>#N/A</v>
      </c>
      <c r="N201" s="26" t="str">
        <f t="shared" si="38"/>
        <v xml:space="preserve"> </v>
      </c>
    </row>
    <row r="202" spans="1:14" ht="13.5" x14ac:dyDescent="0.25">
      <c r="A202" s="785"/>
      <c r="B202" s="2876" t="s">
        <v>392</v>
      </c>
      <c r="C202" s="2876"/>
      <c r="D202" s="398"/>
      <c r="E202" s="398"/>
      <c r="F202" s="402">
        <f>SUM(F191:F201)</f>
        <v>0</v>
      </c>
      <c r="H202" s="402" t="e">
        <f>SUM(H191:H201)</f>
        <v>#N/A</v>
      </c>
      <c r="J202" s="413" t="e">
        <f t="shared" si="36"/>
        <v>#N/A</v>
      </c>
      <c r="L202" s="414" t="e">
        <f t="shared" si="37"/>
        <v>#N/A</v>
      </c>
    </row>
    <row r="203" spans="1:14" ht="3" customHeight="1" x14ac:dyDescent="0.25">
      <c r="B203" s="398"/>
      <c r="C203" s="398"/>
      <c r="D203" s="398"/>
      <c r="E203" s="398"/>
      <c r="F203" s="656"/>
      <c r="H203" s="656"/>
      <c r="J203" s="413"/>
      <c r="L203" s="414"/>
    </row>
    <row r="204" spans="1:14" ht="13.5" x14ac:dyDescent="0.25">
      <c r="B204" s="407" t="s">
        <v>393</v>
      </c>
      <c r="C204" s="407"/>
      <c r="D204" s="407"/>
      <c r="E204" s="407"/>
      <c r="J204" s="413"/>
      <c r="L204" s="414"/>
    </row>
    <row r="205" spans="1:14" ht="13.5" x14ac:dyDescent="0.25">
      <c r="A205" s="335">
        <v>2490</v>
      </c>
      <c r="B205" s="2964" t="s">
        <v>394</v>
      </c>
      <c r="C205" s="2964"/>
      <c r="D205" s="2964"/>
      <c r="E205" s="2964"/>
      <c r="F205" s="649">
        <f>'905Hosp'!F206</f>
        <v>0</v>
      </c>
      <c r="H205" s="649" t="e">
        <f t="shared" ref="H205:H212" si="39">INDEX(PY905Data,MATCH($A205,PY905Row,0),MATCH($C$5,PY905Col,0))</f>
        <v>#N/A</v>
      </c>
      <c r="J205" s="413" t="e">
        <f t="shared" ref="J205:J218" si="40">F205-H205</f>
        <v>#N/A</v>
      </c>
      <c r="L205" s="414" t="e">
        <f t="shared" ref="L205:L218" si="41">IF(H205=0,0,J205/H205)</f>
        <v>#N/A</v>
      </c>
      <c r="N205" s="26" t="str">
        <f t="shared" ref="N205:N216" si="42">IF($F$84=0," ",IF(AND(ABS(J205)&gt;$L$3,ABS(L205)&gt;$L$2),"C",IF(AND(ABS(F205+H205)&gt;0,H205=0,ABS(J205)&gt;$L$3),"C"," ")))</f>
        <v xml:space="preserve"> </v>
      </c>
    </row>
    <row r="206" spans="1:14" ht="13.5" x14ac:dyDescent="0.25">
      <c r="A206" s="335">
        <v>2510</v>
      </c>
      <c r="B206" s="2876" t="s">
        <v>395</v>
      </c>
      <c r="C206" s="2876"/>
      <c r="D206" s="398"/>
      <c r="E206" s="398"/>
      <c r="F206" s="649">
        <f>'905Hosp'!F207</f>
        <v>0</v>
      </c>
      <c r="H206" s="649" t="e">
        <f t="shared" si="39"/>
        <v>#N/A</v>
      </c>
      <c r="J206" s="413" t="e">
        <f t="shared" si="40"/>
        <v>#N/A</v>
      </c>
      <c r="L206" s="414" t="e">
        <f t="shared" si="41"/>
        <v>#N/A</v>
      </c>
      <c r="N206" s="26" t="str">
        <f t="shared" si="42"/>
        <v xml:space="preserve"> </v>
      </c>
    </row>
    <row r="207" spans="1:14" ht="13.5" x14ac:dyDescent="0.25">
      <c r="A207" s="335">
        <v>2520</v>
      </c>
      <c r="B207" s="2876" t="s">
        <v>396</v>
      </c>
      <c r="C207" s="2876"/>
      <c r="D207" s="398"/>
      <c r="E207" s="398"/>
      <c r="F207" s="649">
        <f>'905Hosp'!F208</f>
        <v>0</v>
      </c>
      <c r="H207" s="649" t="e">
        <f t="shared" si="39"/>
        <v>#N/A</v>
      </c>
      <c r="J207" s="413" t="e">
        <f t="shared" si="40"/>
        <v>#N/A</v>
      </c>
      <c r="L207" s="414" t="e">
        <f t="shared" si="41"/>
        <v>#N/A</v>
      </c>
      <c r="N207" s="26" t="str">
        <f t="shared" si="42"/>
        <v xml:space="preserve"> </v>
      </c>
    </row>
    <row r="208" spans="1:14" ht="13.5" x14ac:dyDescent="0.25">
      <c r="A208" s="335">
        <v>2550</v>
      </c>
      <c r="B208" s="2876" t="s">
        <v>397</v>
      </c>
      <c r="C208" s="2876"/>
      <c r="D208" s="398"/>
      <c r="E208" s="398"/>
      <c r="F208" s="649">
        <f>'905Hosp'!F209</f>
        <v>0</v>
      </c>
      <c r="H208" s="649" t="e">
        <f t="shared" si="39"/>
        <v>#N/A</v>
      </c>
      <c r="J208" s="413" t="e">
        <f t="shared" si="40"/>
        <v>#N/A</v>
      </c>
      <c r="L208" s="414" t="e">
        <f t="shared" si="41"/>
        <v>#N/A</v>
      </c>
      <c r="N208" s="26" t="str">
        <f t="shared" si="42"/>
        <v xml:space="preserve"> </v>
      </c>
    </row>
    <row r="209" spans="1:14" ht="13.5" x14ac:dyDescent="0.25">
      <c r="A209" s="335">
        <v>2540</v>
      </c>
      <c r="B209" s="2876" t="s">
        <v>1171</v>
      </c>
      <c r="C209" s="2876"/>
      <c r="D209" s="398"/>
      <c r="E209" s="398"/>
      <c r="F209" s="649">
        <f>'905Hosp'!F210</f>
        <v>0</v>
      </c>
      <c r="H209" s="649" t="e">
        <f t="shared" si="39"/>
        <v>#N/A</v>
      </c>
      <c r="J209" s="413" t="e">
        <f t="shared" si="40"/>
        <v>#N/A</v>
      </c>
      <c r="L209" s="414" t="e">
        <f t="shared" si="41"/>
        <v>#N/A</v>
      </c>
      <c r="N209" s="26" t="str">
        <f t="shared" si="42"/>
        <v xml:space="preserve"> </v>
      </c>
    </row>
    <row r="210" spans="1:14" ht="13.5" x14ac:dyDescent="0.25">
      <c r="A210" s="335">
        <v>2560</v>
      </c>
      <c r="B210" s="2876" t="s">
        <v>379</v>
      </c>
      <c r="C210" s="2876"/>
      <c r="D210" s="398"/>
      <c r="E210" s="398"/>
      <c r="F210" s="649">
        <f>'905Hosp'!F211</f>
        <v>0</v>
      </c>
      <c r="H210" s="649" t="e">
        <f t="shared" si="39"/>
        <v>#N/A</v>
      </c>
      <c r="J210" s="413" t="e">
        <f t="shared" si="40"/>
        <v>#N/A</v>
      </c>
      <c r="L210" s="414" t="e">
        <f t="shared" si="41"/>
        <v>#N/A</v>
      </c>
      <c r="N210" s="26" t="str">
        <f t="shared" si="42"/>
        <v xml:space="preserve"> </v>
      </c>
    </row>
    <row r="211" spans="1:14" ht="13.5" x14ac:dyDescent="0.25">
      <c r="A211" s="335">
        <v>2570</v>
      </c>
      <c r="B211" s="2876" t="s">
        <v>1183</v>
      </c>
      <c r="C211" s="2876"/>
      <c r="D211" s="398"/>
      <c r="E211" s="398"/>
      <c r="F211" s="649">
        <f>'905Hosp'!F212</f>
        <v>0</v>
      </c>
      <c r="H211" s="649" t="e">
        <f t="shared" si="39"/>
        <v>#N/A</v>
      </c>
      <c r="J211" s="413" t="e">
        <f t="shared" si="40"/>
        <v>#N/A</v>
      </c>
      <c r="L211" s="414" t="e">
        <f t="shared" si="41"/>
        <v>#N/A</v>
      </c>
      <c r="N211" s="26" t="str">
        <f t="shared" si="42"/>
        <v xml:space="preserve"> </v>
      </c>
    </row>
    <row r="212" spans="1:14" ht="13.5" x14ac:dyDescent="0.25">
      <c r="A212" s="335">
        <v>2590</v>
      </c>
      <c r="B212" s="2876" t="s">
        <v>1428</v>
      </c>
      <c r="C212" s="2876"/>
      <c r="D212" s="398"/>
      <c r="E212" s="398"/>
      <c r="F212" s="649">
        <f>'905Hosp'!F213</f>
        <v>0</v>
      </c>
      <c r="H212" s="649" t="e">
        <f t="shared" si="39"/>
        <v>#N/A</v>
      </c>
      <c r="J212" s="413" t="e">
        <f>F212-H212</f>
        <v>#N/A</v>
      </c>
      <c r="L212" s="414" t="e">
        <f>IF(H212=0,0,J212/H212)</f>
        <v>#N/A</v>
      </c>
      <c r="N212" s="26" t="str">
        <f t="shared" si="42"/>
        <v xml:space="preserve"> </v>
      </c>
    </row>
    <row r="213" spans="1:14" ht="13.5" x14ac:dyDescent="0.25">
      <c r="A213" s="335"/>
      <c r="B213" s="335" t="s">
        <v>635</v>
      </c>
      <c r="C213" s="335"/>
      <c r="D213" s="335"/>
      <c r="E213" s="335"/>
      <c r="J213" s="413"/>
      <c r="L213" s="414"/>
    </row>
    <row r="214" spans="1:14" ht="13.5" x14ac:dyDescent="0.25">
      <c r="A214" s="335">
        <v>2610</v>
      </c>
      <c r="B214" s="3007" t="s">
        <v>1429</v>
      </c>
      <c r="C214" s="3007"/>
      <c r="D214" s="399"/>
      <c r="E214" s="399"/>
      <c r="F214" s="649">
        <f>'905Hosp'!F215</f>
        <v>0</v>
      </c>
      <c r="H214" s="649" t="e">
        <f>INDEX(PY905Data,MATCH($A214,PY905Row,0),MATCH($C$5,PY905Col,0))</f>
        <v>#N/A</v>
      </c>
      <c r="J214" s="413" t="e">
        <f>F214-H214</f>
        <v>#N/A</v>
      </c>
      <c r="L214" s="414" t="e">
        <f>IF(H214=0,0,J214/H214)</f>
        <v>#N/A</v>
      </c>
      <c r="N214" s="26" t="str">
        <f t="shared" si="42"/>
        <v xml:space="preserve"> </v>
      </c>
    </row>
    <row r="215" spans="1:14" ht="13.5" x14ac:dyDescent="0.25">
      <c r="A215" s="335">
        <v>2625</v>
      </c>
      <c r="B215" s="3007" t="s">
        <v>1464</v>
      </c>
      <c r="C215" s="3007"/>
      <c r="D215" s="399"/>
      <c r="E215" s="399"/>
      <c r="F215" s="649">
        <f>'905Hosp'!F216</f>
        <v>0</v>
      </c>
      <c r="H215" s="649" t="e">
        <f>INDEX(PY905Data,MATCH($A215,PY905Row,0),MATCH($C$5,PY905Col,0))</f>
        <v>#N/A</v>
      </c>
      <c r="J215" s="413" t="e">
        <f>F215-H215</f>
        <v>#N/A</v>
      </c>
      <c r="L215" s="414" t="e">
        <f>IF(H215=0,0,J215/H215)</f>
        <v>#N/A</v>
      </c>
      <c r="N215" s="26" t="str">
        <f t="shared" si="42"/>
        <v xml:space="preserve"> </v>
      </c>
    </row>
    <row r="216" spans="1:14" ht="13.5" x14ac:dyDescent="0.25">
      <c r="A216" s="335">
        <v>2630</v>
      </c>
      <c r="B216" s="3007" t="s">
        <v>1430</v>
      </c>
      <c r="C216" s="3007"/>
      <c r="D216" s="399"/>
      <c r="E216" s="399"/>
      <c r="F216" s="651">
        <f>'905Hosp'!F217</f>
        <v>0</v>
      </c>
      <c r="H216" s="651" t="e">
        <f>INDEX(PY905Data,MATCH($A216,PY905Row,0),MATCH($C$5,PY905Col,0))</f>
        <v>#N/A</v>
      </c>
      <c r="J216" s="413" t="e">
        <f t="shared" si="40"/>
        <v>#N/A</v>
      </c>
      <c r="L216" s="414" t="e">
        <f t="shared" si="41"/>
        <v>#N/A</v>
      </c>
      <c r="N216" s="26" t="str">
        <f t="shared" si="42"/>
        <v xml:space="preserve"> </v>
      </c>
    </row>
    <row r="217" spans="1:14" ht="13.5" x14ac:dyDescent="0.25">
      <c r="B217" s="2876" t="s">
        <v>1184</v>
      </c>
      <c r="C217" s="2876"/>
      <c r="D217" s="398"/>
      <c r="E217" s="398"/>
      <c r="F217" s="404">
        <f>SUM(F205:F216)</f>
        <v>0</v>
      </c>
      <c r="H217" s="404" t="e">
        <f>SUM(H205:H216)</f>
        <v>#N/A</v>
      </c>
      <c r="J217" s="413" t="e">
        <f t="shared" si="40"/>
        <v>#N/A</v>
      </c>
      <c r="L217" s="414" t="e">
        <f t="shared" si="41"/>
        <v>#N/A</v>
      </c>
    </row>
    <row r="218" spans="1:14" ht="13.5" x14ac:dyDescent="0.25">
      <c r="B218" s="2876" t="s">
        <v>933</v>
      </c>
      <c r="C218" s="2876"/>
      <c r="D218" s="398"/>
      <c r="E218" s="398"/>
      <c r="F218" s="402">
        <f>F202-F217</f>
        <v>0</v>
      </c>
      <c r="H218" s="402" t="e">
        <f>H202-H217</f>
        <v>#N/A</v>
      </c>
      <c r="J218" s="413" t="e">
        <f t="shared" si="40"/>
        <v>#N/A</v>
      </c>
      <c r="L218" s="414" t="e">
        <f t="shared" si="41"/>
        <v>#N/A</v>
      </c>
    </row>
    <row r="219" spans="1:14" ht="3.75" customHeight="1" x14ac:dyDescent="0.25">
      <c r="B219" s="398"/>
      <c r="C219" s="398"/>
      <c r="D219" s="398"/>
      <c r="E219" s="398"/>
      <c r="F219" s="656"/>
      <c r="H219" s="656"/>
      <c r="J219" s="413"/>
      <c r="L219" s="414"/>
    </row>
    <row r="220" spans="1:14" x14ac:dyDescent="0.2">
      <c r="B220" s="395" t="s">
        <v>1185</v>
      </c>
    </row>
    <row r="221" spans="1:14" ht="13.5" x14ac:dyDescent="0.25">
      <c r="A221" s="335">
        <v>2690</v>
      </c>
      <c r="B221" s="2876" t="s">
        <v>898</v>
      </c>
      <c r="C221" s="2876"/>
      <c r="D221" s="398"/>
      <c r="E221" s="398"/>
      <c r="F221" s="649">
        <f>'905Hosp'!F222</f>
        <v>0</v>
      </c>
      <c r="H221" s="649" t="e">
        <f t="shared" ref="H221:H239" si="43">INDEX(PY905Data,MATCH($A221,PY905Row,0),MATCH($C$5,PY905Col,0))</f>
        <v>#N/A</v>
      </c>
      <c r="J221" s="413" t="e">
        <f>F221-H221</f>
        <v>#N/A</v>
      </c>
      <c r="L221" s="414" t="e">
        <f>IF(H221=0,0,J221/H221)</f>
        <v>#N/A</v>
      </c>
      <c r="N221" s="26" t="str">
        <f t="shared" ref="N221:N239" si="44">IF($F$84=0," ",IF(AND(ABS(J221)&gt;$L$3,ABS(L221)&gt;$L$2),"C",IF(AND(ABS(F221+H221)&gt;0,H221=0,ABS(J221)&gt;$L$3),"C"," ")))</f>
        <v xml:space="preserve"> </v>
      </c>
    </row>
    <row r="222" spans="1:14" ht="13.5" x14ac:dyDescent="0.25">
      <c r="A222" s="335">
        <v>2691</v>
      </c>
      <c r="B222" s="2876" t="s">
        <v>1340</v>
      </c>
      <c r="C222" s="2876"/>
      <c r="D222" s="398"/>
      <c r="E222" s="398"/>
      <c r="F222" s="649">
        <f>'905Hosp'!F223</f>
        <v>0</v>
      </c>
      <c r="H222" s="649" t="e">
        <f t="shared" si="43"/>
        <v>#N/A</v>
      </c>
      <c r="J222" s="413" t="e">
        <f>F222-H222</f>
        <v>#N/A</v>
      </c>
      <c r="L222" s="414" t="e">
        <f>IF(H222=0,0,J222/H222)</f>
        <v>#N/A</v>
      </c>
      <c r="N222" s="26" t="str">
        <f t="shared" si="44"/>
        <v xml:space="preserve"> </v>
      </c>
    </row>
    <row r="223" spans="1:14" ht="13.5" x14ac:dyDescent="0.25">
      <c r="A223" s="335">
        <v>2692</v>
      </c>
      <c r="B223" s="2876" t="s">
        <v>1339</v>
      </c>
      <c r="C223" s="2876"/>
      <c r="D223" s="398"/>
      <c r="E223" s="398"/>
      <c r="F223" s="649">
        <f>'905Hosp'!F224</f>
        <v>0</v>
      </c>
      <c r="H223" s="649" t="e">
        <f t="shared" si="43"/>
        <v>#N/A</v>
      </c>
      <c r="J223" s="413" t="e">
        <f t="shared" ref="J223:J251" si="45">F223-H223</f>
        <v>#N/A</v>
      </c>
      <c r="L223" s="414" t="e">
        <f t="shared" ref="L223:L251" si="46">IF(H223=0,0,J223/H223)</f>
        <v>#N/A</v>
      </c>
      <c r="N223" s="26" t="str">
        <f t="shared" si="44"/>
        <v xml:space="preserve"> </v>
      </c>
    </row>
    <row r="224" spans="1:14" ht="13.5" x14ac:dyDescent="0.25">
      <c r="A224" s="335">
        <v>2693</v>
      </c>
      <c r="B224" s="2876" t="s">
        <v>5137</v>
      </c>
      <c r="C224" s="2876"/>
      <c r="D224" s="398"/>
      <c r="E224" s="398"/>
      <c r="F224" s="649">
        <f>'905Hosp'!F225</f>
        <v>0</v>
      </c>
      <c r="H224" s="649" t="e">
        <f t="shared" si="43"/>
        <v>#N/A</v>
      </c>
      <c r="J224" s="413" t="e">
        <f t="shared" si="45"/>
        <v>#N/A</v>
      </c>
      <c r="L224" s="414" t="e">
        <f t="shared" si="46"/>
        <v>#N/A</v>
      </c>
      <c r="N224" s="26" t="str">
        <f t="shared" si="44"/>
        <v xml:space="preserve"> </v>
      </c>
    </row>
    <row r="225" spans="1:15" ht="13.5" x14ac:dyDescent="0.25">
      <c r="A225" s="335">
        <v>2700</v>
      </c>
      <c r="B225" s="2876" t="s">
        <v>1186</v>
      </c>
      <c r="C225" s="2876"/>
      <c r="D225" s="398"/>
      <c r="E225" s="398"/>
      <c r="F225" s="649">
        <f>'905Hosp'!F226</f>
        <v>0</v>
      </c>
      <c r="H225" s="649" t="e">
        <f t="shared" si="43"/>
        <v>#N/A</v>
      </c>
      <c r="J225" s="413" t="e">
        <f>F225-H225</f>
        <v>#N/A</v>
      </c>
      <c r="L225" s="414" t="e">
        <f>IF(H225=0,0,J225/H225)</f>
        <v>#N/A</v>
      </c>
      <c r="N225" s="26" t="str">
        <f t="shared" si="44"/>
        <v xml:space="preserve"> </v>
      </c>
    </row>
    <row r="226" spans="1:15" ht="13.5" x14ac:dyDescent="0.25">
      <c r="A226" s="335">
        <v>2701</v>
      </c>
      <c r="B226" s="2876" t="s">
        <v>4795</v>
      </c>
      <c r="C226" s="2876"/>
      <c r="D226" s="398"/>
      <c r="E226" s="398"/>
      <c r="F226" s="649">
        <f>'905Hosp'!F227</f>
        <v>0</v>
      </c>
      <c r="H226" s="649" t="e">
        <f t="shared" si="43"/>
        <v>#N/A</v>
      </c>
      <c r="J226" s="413" t="e">
        <f>F226-H226</f>
        <v>#N/A</v>
      </c>
      <c r="L226" s="414" t="e">
        <f>IF(H226=0,0,J226/H226)</f>
        <v>#N/A</v>
      </c>
      <c r="N226" s="26" t="str">
        <f t="shared" si="44"/>
        <v xml:space="preserve"> </v>
      </c>
    </row>
    <row r="227" spans="1:15" ht="13.5" x14ac:dyDescent="0.25">
      <c r="A227" s="335">
        <v>2710</v>
      </c>
      <c r="B227" s="2876" t="s">
        <v>1187</v>
      </c>
      <c r="C227" s="2876"/>
      <c r="D227" s="398"/>
      <c r="E227" s="398"/>
      <c r="F227" s="649">
        <f>'905Hosp'!F228</f>
        <v>0</v>
      </c>
      <c r="H227" s="649" t="e">
        <f t="shared" si="43"/>
        <v>#N/A</v>
      </c>
      <c r="J227" s="413" t="e">
        <f>F227-H227</f>
        <v>#N/A</v>
      </c>
      <c r="L227" s="414" t="e">
        <f>IF(H227=0,0,J227/H227)</f>
        <v>#N/A</v>
      </c>
      <c r="N227" s="26" t="str">
        <f t="shared" si="44"/>
        <v xml:space="preserve"> </v>
      </c>
    </row>
    <row r="228" spans="1:15" ht="13.5" x14ac:dyDescent="0.25">
      <c r="A228" s="335">
        <v>2711</v>
      </c>
      <c r="B228" s="2876" t="s">
        <v>5313</v>
      </c>
      <c r="C228" s="2876"/>
      <c r="D228" s="398"/>
      <c r="E228" s="398"/>
      <c r="F228" s="649">
        <f>'905Hosp'!F229</f>
        <v>0</v>
      </c>
      <c r="H228" s="649" t="e">
        <f t="shared" si="43"/>
        <v>#N/A</v>
      </c>
      <c r="J228" s="413" t="e">
        <f>F228-H228</f>
        <v>#N/A</v>
      </c>
      <c r="L228" s="414" t="e">
        <f>IF(H228=0,0,J228/H228)</f>
        <v>#N/A</v>
      </c>
      <c r="N228" s="26" t="str">
        <f t="shared" si="44"/>
        <v xml:space="preserve"> </v>
      </c>
    </row>
    <row r="229" spans="1:15" ht="13.5" x14ac:dyDescent="0.25">
      <c r="A229" s="335">
        <v>2720</v>
      </c>
      <c r="B229" s="2876" t="s">
        <v>1188</v>
      </c>
      <c r="C229" s="2876"/>
      <c r="D229" s="398"/>
      <c r="E229" s="398"/>
      <c r="F229" s="649">
        <f>'905Hosp'!F230</f>
        <v>0</v>
      </c>
      <c r="H229" s="649" t="e">
        <f t="shared" si="43"/>
        <v>#N/A</v>
      </c>
      <c r="J229" s="413" t="e">
        <f t="shared" si="45"/>
        <v>#N/A</v>
      </c>
      <c r="L229" s="414" t="e">
        <f t="shared" si="46"/>
        <v>#N/A</v>
      </c>
      <c r="N229" s="26" t="str">
        <f t="shared" si="44"/>
        <v xml:space="preserve"> </v>
      </c>
    </row>
    <row r="230" spans="1:15" ht="13.5" x14ac:dyDescent="0.25">
      <c r="A230" s="335">
        <v>2740</v>
      </c>
      <c r="B230" s="2876" t="s">
        <v>497</v>
      </c>
      <c r="C230" s="2876"/>
      <c r="D230" s="398"/>
      <c r="E230" s="398"/>
      <c r="F230" s="649">
        <f>'905Hosp'!F231</f>
        <v>0</v>
      </c>
      <c r="H230" s="649" t="e">
        <f t="shared" si="43"/>
        <v>#N/A</v>
      </c>
      <c r="J230" s="413" t="e">
        <f t="shared" si="45"/>
        <v>#N/A</v>
      </c>
      <c r="L230" s="414" t="e">
        <f t="shared" si="46"/>
        <v>#N/A</v>
      </c>
      <c r="N230" s="26" t="str">
        <f t="shared" si="44"/>
        <v xml:space="preserve"> </v>
      </c>
    </row>
    <row r="231" spans="1:15" ht="13.5" x14ac:dyDescent="0.25">
      <c r="A231" s="335">
        <v>2750</v>
      </c>
      <c r="B231" s="2876" t="s">
        <v>995</v>
      </c>
      <c r="C231" s="2876"/>
      <c r="D231" s="398"/>
      <c r="E231" s="398"/>
      <c r="F231" s="649">
        <f>'905Hosp'!F232</f>
        <v>0</v>
      </c>
      <c r="H231" s="649" t="e">
        <f t="shared" si="43"/>
        <v>#N/A</v>
      </c>
      <c r="J231" s="413" t="e">
        <f t="shared" si="45"/>
        <v>#N/A</v>
      </c>
      <c r="L231" s="414" t="e">
        <f t="shared" si="46"/>
        <v>#N/A</v>
      </c>
      <c r="N231" s="26" t="str">
        <f t="shared" si="44"/>
        <v xml:space="preserve"> </v>
      </c>
    </row>
    <row r="232" spans="1:15" ht="13.5" x14ac:dyDescent="0.25">
      <c r="A232" s="335">
        <v>2755</v>
      </c>
      <c r="B232" s="2876" t="s">
        <v>4478</v>
      </c>
      <c r="C232" s="2876"/>
      <c r="D232" s="398"/>
      <c r="E232" s="398"/>
      <c r="F232" s="649">
        <f>'905Hosp'!F233</f>
        <v>0</v>
      </c>
      <c r="H232" s="649" t="e">
        <f t="shared" si="43"/>
        <v>#N/A</v>
      </c>
      <c r="J232" s="413" t="e">
        <f>F232-H232</f>
        <v>#N/A</v>
      </c>
      <c r="L232" s="414" t="e">
        <f>IF(H232=0,0,J232/H232)</f>
        <v>#N/A</v>
      </c>
      <c r="N232" s="26" t="str">
        <f>IF($F$84=0," ",IF(AND(ABS(J232)&gt;$L$3,ABS(L232)&gt;$L$2),"C",IF(AND(ABS(F232+H232)&gt;0,H232=0,ABS(J232)&gt;$L$3),"C"," ")))</f>
        <v xml:space="preserve"> </v>
      </c>
      <c r="O232" s="1610"/>
    </row>
    <row r="233" spans="1:15" ht="13.5" x14ac:dyDescent="0.25">
      <c r="A233" s="335">
        <v>2760</v>
      </c>
      <c r="B233" s="2876" t="s">
        <v>1045</v>
      </c>
      <c r="C233" s="2876"/>
      <c r="D233" s="398"/>
      <c r="E233" s="398"/>
      <c r="F233" s="649">
        <f>'905Hosp'!F234</f>
        <v>0</v>
      </c>
      <c r="H233" s="649" t="e">
        <f t="shared" si="43"/>
        <v>#N/A</v>
      </c>
      <c r="J233" s="413" t="e">
        <f t="shared" si="45"/>
        <v>#N/A</v>
      </c>
      <c r="L233" s="414" t="e">
        <f t="shared" si="46"/>
        <v>#N/A</v>
      </c>
      <c r="N233" s="26" t="str">
        <f t="shared" si="44"/>
        <v xml:space="preserve"> </v>
      </c>
    </row>
    <row r="234" spans="1:15" ht="13.5" x14ac:dyDescent="0.25">
      <c r="A234" s="335">
        <v>2770</v>
      </c>
      <c r="B234" s="2876" t="s">
        <v>1076</v>
      </c>
      <c r="C234" s="2876"/>
      <c r="D234" s="398"/>
      <c r="E234" s="398"/>
      <c r="F234" s="649">
        <f>'905Hosp'!F235</f>
        <v>0</v>
      </c>
      <c r="H234" s="649" t="e">
        <f t="shared" si="43"/>
        <v>#N/A</v>
      </c>
      <c r="J234" s="413" t="e">
        <f t="shared" si="45"/>
        <v>#N/A</v>
      </c>
      <c r="L234" s="414" t="e">
        <f t="shared" si="46"/>
        <v>#N/A</v>
      </c>
      <c r="N234" s="26" t="str">
        <f t="shared" si="44"/>
        <v xml:space="preserve"> </v>
      </c>
    </row>
    <row r="235" spans="1:15" ht="13.5" x14ac:dyDescent="0.25">
      <c r="A235" s="335">
        <v>2780</v>
      </c>
      <c r="B235" s="2876" t="s">
        <v>799</v>
      </c>
      <c r="C235" s="2876"/>
      <c r="D235" s="398"/>
      <c r="E235" s="398"/>
      <c r="F235" s="649">
        <f>'905Hosp'!F236</f>
        <v>0</v>
      </c>
      <c r="H235" s="649" t="e">
        <f t="shared" si="43"/>
        <v>#N/A</v>
      </c>
      <c r="J235" s="413" t="e">
        <f t="shared" si="45"/>
        <v>#N/A</v>
      </c>
      <c r="L235" s="414" t="e">
        <f t="shared" si="46"/>
        <v>#N/A</v>
      </c>
      <c r="N235" s="26" t="str">
        <f t="shared" si="44"/>
        <v xml:space="preserve"> </v>
      </c>
    </row>
    <row r="236" spans="1:15" ht="13.5" x14ac:dyDescent="0.25">
      <c r="A236" s="335">
        <v>2785</v>
      </c>
      <c r="B236" s="2876" t="s">
        <v>1551</v>
      </c>
      <c r="C236" s="2876"/>
      <c r="D236" s="398"/>
      <c r="E236" s="398"/>
      <c r="F236" s="649">
        <f>'905Hosp'!F237</f>
        <v>0</v>
      </c>
      <c r="H236" s="649" t="e">
        <f t="shared" si="43"/>
        <v>#N/A</v>
      </c>
      <c r="J236" s="413" t="e">
        <f>F236-H236</f>
        <v>#N/A</v>
      </c>
      <c r="L236" s="414" t="e">
        <f>IF(H236=0,0,J236/H236)</f>
        <v>#N/A</v>
      </c>
      <c r="N236" s="26" t="str">
        <f t="shared" si="44"/>
        <v xml:space="preserve"> </v>
      </c>
    </row>
    <row r="237" spans="1:15" ht="13.5" x14ac:dyDescent="0.25">
      <c r="A237" s="335">
        <v>2786</v>
      </c>
      <c r="B237" s="2974" t="s">
        <v>5513</v>
      </c>
      <c r="C237" s="2974"/>
      <c r="D237" s="398"/>
      <c r="E237" s="398"/>
      <c r="F237" s="649">
        <f>'905Hosp'!F238</f>
        <v>0</v>
      </c>
      <c r="H237" s="649" t="e">
        <f t="shared" si="43"/>
        <v>#N/A</v>
      </c>
      <c r="J237" s="413" t="e">
        <f>F237-H237</f>
        <v>#N/A</v>
      </c>
      <c r="L237" s="414" t="e">
        <f>IF(H237=0,0,J237/H237)</f>
        <v>#N/A</v>
      </c>
      <c r="N237" s="26" t="str">
        <f t="shared" si="44"/>
        <v xml:space="preserve"> </v>
      </c>
    </row>
    <row r="238" spans="1:15" ht="13.5" x14ac:dyDescent="0.25">
      <c r="A238" s="335">
        <v>2800</v>
      </c>
      <c r="B238" s="2876" t="s">
        <v>800</v>
      </c>
      <c r="C238" s="2876"/>
      <c r="D238" s="398"/>
      <c r="E238" s="398"/>
      <c r="F238" s="649">
        <f>'905Hosp'!F239</f>
        <v>0</v>
      </c>
      <c r="H238" s="649" t="e">
        <f t="shared" si="43"/>
        <v>#N/A</v>
      </c>
      <c r="J238" s="413" t="e">
        <f t="shared" si="45"/>
        <v>#N/A</v>
      </c>
      <c r="L238" s="414" t="e">
        <f t="shared" si="46"/>
        <v>#N/A</v>
      </c>
      <c r="N238" s="26" t="str">
        <f t="shared" si="44"/>
        <v xml:space="preserve"> </v>
      </c>
    </row>
    <row r="239" spans="1:15" ht="13.5" x14ac:dyDescent="0.25">
      <c r="A239" s="335">
        <v>2810</v>
      </c>
      <c r="B239" s="2876" t="s">
        <v>801</v>
      </c>
      <c r="C239" s="2876"/>
      <c r="D239" s="398"/>
      <c r="E239" s="398"/>
      <c r="F239" s="649">
        <f>'905Hosp'!F240</f>
        <v>0</v>
      </c>
      <c r="H239" s="649" t="e">
        <f t="shared" si="43"/>
        <v>#N/A</v>
      </c>
      <c r="J239" s="413" t="e">
        <f t="shared" si="45"/>
        <v>#N/A</v>
      </c>
      <c r="L239" s="414" t="e">
        <f t="shared" si="46"/>
        <v>#N/A</v>
      </c>
      <c r="N239" s="26" t="str">
        <f t="shared" si="44"/>
        <v xml:space="preserve"> </v>
      </c>
    </row>
    <row r="240" spans="1:15" ht="13.5" x14ac:dyDescent="0.25">
      <c r="B240" s="2876" t="s">
        <v>239</v>
      </c>
      <c r="C240" s="2876"/>
      <c r="D240" s="398"/>
      <c r="E240" s="398"/>
      <c r="F240" s="402">
        <f>SUM(F221:F239)</f>
        <v>0</v>
      </c>
      <c r="H240" s="402" t="e">
        <f>SUM(H221:H239)</f>
        <v>#N/A</v>
      </c>
      <c r="J240" s="413" t="e">
        <f t="shared" si="45"/>
        <v>#N/A</v>
      </c>
      <c r="L240" s="414" t="e">
        <f t="shared" si="46"/>
        <v>#N/A</v>
      </c>
    </row>
    <row r="241" spans="1:14" ht="13.5" x14ac:dyDescent="0.25">
      <c r="B241" s="2876" t="s">
        <v>408</v>
      </c>
      <c r="C241" s="2876"/>
      <c r="D241" s="398"/>
      <c r="E241" s="398"/>
      <c r="F241" s="1230">
        <f>F218+F240</f>
        <v>0</v>
      </c>
      <c r="H241" s="1230" t="e">
        <f>H218+H240</f>
        <v>#N/A</v>
      </c>
      <c r="J241" s="413" t="e">
        <f t="shared" si="45"/>
        <v>#N/A</v>
      </c>
      <c r="L241" s="414" t="e">
        <f t="shared" si="46"/>
        <v>#N/A</v>
      </c>
    </row>
    <row r="242" spans="1:14" ht="13.5" x14ac:dyDescent="0.25">
      <c r="A242" s="937">
        <v>2870</v>
      </c>
      <c r="B242" s="2876" t="s">
        <v>240</v>
      </c>
      <c r="C242" s="2876"/>
      <c r="D242" s="398"/>
      <c r="E242" s="398"/>
      <c r="F242" s="649">
        <f>'905Hosp'!F243</f>
        <v>0</v>
      </c>
      <c r="H242" s="649" t="e">
        <f t="shared" ref="H242:H248" si="47">INDEX(PY905Data,MATCH($A242,PY905Row,0),MATCH($C$5,PY905Col,0))</f>
        <v>#N/A</v>
      </c>
      <c r="J242" s="413" t="e">
        <f t="shared" si="45"/>
        <v>#N/A</v>
      </c>
      <c r="L242" s="414" t="e">
        <f t="shared" si="46"/>
        <v>#N/A</v>
      </c>
      <c r="N242" s="26" t="str">
        <f t="shared" ref="N242:N248" si="48">IF($F$84=0," ",IF(AND(ABS(J242)&gt;$L$3,ABS(L242)&gt;$L$2),"C",IF(AND(ABS(F242+H242)&gt;0,H242=0,ABS(J242)&gt;$L$3),"C"," ")))</f>
        <v xml:space="preserve"> </v>
      </c>
    </row>
    <row r="243" spans="1:14" ht="13.5" x14ac:dyDescent="0.25">
      <c r="A243" s="335">
        <v>2880</v>
      </c>
      <c r="B243" s="2876" t="s">
        <v>241</v>
      </c>
      <c r="C243" s="2876"/>
      <c r="D243" s="398"/>
      <c r="E243" s="398"/>
      <c r="F243" s="649">
        <f>'905Hosp'!F244</f>
        <v>0</v>
      </c>
      <c r="H243" s="649" t="e">
        <f t="shared" si="47"/>
        <v>#N/A</v>
      </c>
      <c r="J243" s="413" t="e">
        <f t="shared" si="45"/>
        <v>#N/A</v>
      </c>
      <c r="L243" s="414" t="e">
        <f t="shared" si="46"/>
        <v>#N/A</v>
      </c>
      <c r="N243" s="26" t="str">
        <f t="shared" si="48"/>
        <v xml:space="preserve"> </v>
      </c>
    </row>
    <row r="244" spans="1:14" ht="13.5" x14ac:dyDescent="0.25">
      <c r="A244" s="335">
        <v>2890</v>
      </c>
      <c r="B244" s="2876" t="s">
        <v>242</v>
      </c>
      <c r="C244" s="2876"/>
      <c r="D244" s="398"/>
      <c r="E244" s="398"/>
      <c r="F244" s="649">
        <f>'905Hosp'!F245</f>
        <v>0</v>
      </c>
      <c r="H244" s="649" t="e">
        <f t="shared" si="47"/>
        <v>#N/A</v>
      </c>
      <c r="J244" s="413" t="e">
        <f t="shared" si="45"/>
        <v>#N/A</v>
      </c>
      <c r="L244" s="414" t="e">
        <f t="shared" si="46"/>
        <v>#N/A</v>
      </c>
      <c r="N244" s="26" t="str">
        <f t="shared" si="48"/>
        <v xml:space="preserve"> </v>
      </c>
    </row>
    <row r="245" spans="1:14" ht="13.5" x14ac:dyDescent="0.25">
      <c r="A245" s="335">
        <v>2900</v>
      </c>
      <c r="B245" s="2876" t="s">
        <v>1432</v>
      </c>
      <c r="C245" s="2876"/>
      <c r="D245" s="398"/>
      <c r="E245" s="398"/>
      <c r="F245" s="649">
        <f>'905Hosp'!F246</f>
        <v>0</v>
      </c>
      <c r="H245" s="649" t="e">
        <f t="shared" si="47"/>
        <v>#N/A</v>
      </c>
      <c r="J245" s="413" t="e">
        <f>F245-H245</f>
        <v>#N/A</v>
      </c>
      <c r="L245" s="414" t="e">
        <f>IF(H245=0,0,J245/H245)</f>
        <v>#N/A</v>
      </c>
      <c r="N245" s="26" t="str">
        <f t="shared" si="48"/>
        <v xml:space="preserve"> </v>
      </c>
    </row>
    <row r="246" spans="1:14" ht="13.5" x14ac:dyDescent="0.25">
      <c r="A246" s="1129">
        <v>2940</v>
      </c>
      <c r="B246" s="2876" t="s">
        <v>1433</v>
      </c>
      <c r="C246" s="2876"/>
      <c r="D246" s="398"/>
      <c r="E246" s="398"/>
      <c r="F246" s="649">
        <f>'905Hosp'!F247</f>
        <v>0</v>
      </c>
      <c r="H246" s="649" t="e">
        <f t="shared" si="47"/>
        <v>#N/A</v>
      </c>
      <c r="J246" s="413" t="e">
        <f>F246-H246</f>
        <v>#N/A</v>
      </c>
      <c r="L246" s="414" t="e">
        <f>IF(H246=0,0,J246/H246)</f>
        <v>#N/A</v>
      </c>
      <c r="N246" s="26" t="str">
        <f t="shared" si="48"/>
        <v xml:space="preserve"> </v>
      </c>
    </row>
    <row r="247" spans="1:14" ht="13.5" x14ac:dyDescent="0.25">
      <c r="A247" s="335">
        <v>2950</v>
      </c>
      <c r="B247" s="2876" t="s">
        <v>243</v>
      </c>
      <c r="C247" s="2876"/>
      <c r="D247" s="398"/>
      <c r="E247" s="398"/>
      <c r="F247" s="649">
        <f>'905Hosp'!F248</f>
        <v>0</v>
      </c>
      <c r="H247" s="649" t="e">
        <f t="shared" si="47"/>
        <v>#N/A</v>
      </c>
      <c r="J247" s="413" t="e">
        <f t="shared" si="45"/>
        <v>#N/A</v>
      </c>
      <c r="L247" s="414" t="e">
        <f t="shared" si="46"/>
        <v>#N/A</v>
      </c>
      <c r="N247" s="26" t="str">
        <f t="shared" si="48"/>
        <v xml:space="preserve"> </v>
      </c>
    </row>
    <row r="248" spans="1:14" ht="13.5" x14ac:dyDescent="0.25">
      <c r="A248" s="335">
        <v>2960</v>
      </c>
      <c r="B248" s="2876" t="s">
        <v>244</v>
      </c>
      <c r="C248" s="2876"/>
      <c r="D248" s="398"/>
      <c r="E248" s="398"/>
      <c r="F248" s="651">
        <f>'905Hosp'!F249</f>
        <v>0</v>
      </c>
      <c r="H248" s="651" t="e">
        <f t="shared" si="47"/>
        <v>#N/A</v>
      </c>
      <c r="J248" s="413" t="e">
        <f t="shared" si="45"/>
        <v>#N/A</v>
      </c>
      <c r="L248" s="414" t="e">
        <f t="shared" si="46"/>
        <v>#N/A</v>
      </c>
      <c r="N248" s="26" t="str">
        <f t="shared" si="48"/>
        <v xml:space="preserve"> </v>
      </c>
    </row>
    <row r="249" spans="1:14" ht="13.5" x14ac:dyDescent="0.25">
      <c r="B249" s="2876" t="s">
        <v>1908</v>
      </c>
      <c r="C249" s="2876"/>
      <c r="D249" s="398"/>
      <c r="E249" s="398"/>
      <c r="F249" s="1230">
        <f>SUM(F241:F248)</f>
        <v>0</v>
      </c>
      <c r="H249" s="1230" t="e">
        <f>SUM(H241:H248)</f>
        <v>#N/A</v>
      </c>
      <c r="J249" s="413" t="e">
        <f t="shared" si="45"/>
        <v>#N/A</v>
      </c>
      <c r="L249" s="414" t="e">
        <f t="shared" si="46"/>
        <v>#N/A</v>
      </c>
      <c r="N249" s="1570" t="s">
        <v>3960</v>
      </c>
    </row>
    <row r="250" spans="1:14" ht="13.5" x14ac:dyDescent="0.25">
      <c r="A250" s="785">
        <v>2980</v>
      </c>
      <c r="B250" s="2876" t="s">
        <v>1907</v>
      </c>
      <c r="C250" s="2876"/>
      <c r="D250" s="398"/>
      <c r="E250" s="398"/>
      <c r="F250" s="649">
        <f>'905Hosp'!F251</f>
        <v>2194239572.1999998</v>
      </c>
      <c r="H250" s="649" t="e">
        <f>INDEX(PY905Data,MATCH($A250,PY905Row,0),MATCH($C$5,PY905Col,0))</f>
        <v>#N/A</v>
      </c>
      <c r="J250" s="413" t="e">
        <f t="shared" si="45"/>
        <v>#N/A</v>
      </c>
      <c r="L250" s="414" t="e">
        <f t="shared" si="46"/>
        <v>#N/A</v>
      </c>
      <c r="N250" s="1571" t="s">
        <v>3961</v>
      </c>
    </row>
    <row r="251" spans="1:14" ht="13.5" x14ac:dyDescent="0.25">
      <c r="A251" s="785">
        <v>2990</v>
      </c>
      <c r="B251" s="2876" t="s">
        <v>1054</v>
      </c>
      <c r="C251" s="2876"/>
      <c r="D251" s="398"/>
      <c r="E251" s="398"/>
      <c r="F251" s="649">
        <f>'905Hosp'!F252</f>
        <v>0</v>
      </c>
      <c r="H251" s="649" t="e">
        <f>INDEX(PY905Data,MATCH($A251,PY905Row,0),MATCH($C$5,PY905Col,0))</f>
        <v>#N/A</v>
      </c>
      <c r="J251" s="413" t="e">
        <f t="shared" si="45"/>
        <v>#N/A</v>
      </c>
      <c r="L251" s="414" t="e">
        <f t="shared" si="46"/>
        <v>#N/A</v>
      </c>
      <c r="N251" s="1572" t="s">
        <v>3962</v>
      </c>
    </row>
    <row r="252" spans="1:14" ht="13.5" thickBot="1" x14ac:dyDescent="0.25">
      <c r="B252" s="2876" t="s">
        <v>1909</v>
      </c>
      <c r="C252" s="2876"/>
      <c r="D252" s="398"/>
      <c r="E252" s="398"/>
      <c r="F252" s="405">
        <f>SUM(F249:F251)</f>
        <v>2194239572.1999998</v>
      </c>
      <c r="H252" s="405" t="e">
        <f>SUM(H249:H251)</f>
        <v>#N/A</v>
      </c>
    </row>
    <row r="253" spans="1:14" ht="6" customHeight="1" thickTop="1" x14ac:dyDescent="0.2"/>
    <row r="254" spans="1:14" x14ac:dyDescent="0.2">
      <c r="B254" s="349" t="s">
        <v>1910</v>
      </c>
      <c r="C254" s="657"/>
      <c r="D254" s="657"/>
      <c r="E254" s="657"/>
      <c r="F254" s="406" t="str">
        <f>IF(ROUND(F185-F252,2)=0,"In Bal.","Error")</f>
        <v>Error</v>
      </c>
      <c r="H254" s="406" t="e">
        <f>IF(ROUND(H185-H252,2)=0,"In Bal.","Error")</f>
        <v>#N/A</v>
      </c>
    </row>
    <row r="255" spans="1:14" x14ac:dyDescent="0.2">
      <c r="B255" s="398"/>
      <c r="C255" s="398"/>
      <c r="D255" s="398"/>
      <c r="E255" s="398"/>
    </row>
  </sheetData>
  <sheetProtection algorithmName="SHA-512" hashValue="iajmbbp5p/obt6MeOGuKO3TwtM5g0QfsJ8upzwOAkLB8HITGxfCIqCWfSfUtPCOoJ+u88wcHcSSYZ2Xrh2gs9Q==" saltValue="J7nbFshqOqcdqs6XxWihkQ==" spinCount="100000" sheet="1" objects="1" scenarios="1" autoFilter="0"/>
  <mergeCells count="227">
    <mergeCell ref="B144:C144"/>
    <mergeCell ref="B139:C139"/>
    <mergeCell ref="B140:C140"/>
    <mergeCell ref="B141:C141"/>
    <mergeCell ref="B214:C214"/>
    <mergeCell ref="B215:C215"/>
    <mergeCell ref="B216:C216"/>
    <mergeCell ref="B208:C208"/>
    <mergeCell ref="B209:C209"/>
    <mergeCell ref="B196:C196"/>
    <mergeCell ref="B197:C197"/>
    <mergeCell ref="B198:C198"/>
    <mergeCell ref="B199:C199"/>
    <mergeCell ref="B200:C200"/>
    <mergeCell ref="B201:C201"/>
    <mergeCell ref="B202:C202"/>
    <mergeCell ref="B205:E205"/>
    <mergeCell ref="B206:C206"/>
    <mergeCell ref="B207:C207"/>
    <mergeCell ref="B185:C185"/>
    <mergeCell ref="B191:C191"/>
    <mergeCell ref="B192:C192"/>
    <mergeCell ref="B239:C239"/>
    <mergeCell ref="B240:C240"/>
    <mergeCell ref="B241:C241"/>
    <mergeCell ref="P89:Q89"/>
    <mergeCell ref="B126:C126"/>
    <mergeCell ref="B151:C151"/>
    <mergeCell ref="P90:Q90"/>
    <mergeCell ref="B129:C129"/>
    <mergeCell ref="B154:C154"/>
    <mergeCell ref="B167:E167"/>
    <mergeCell ref="P167:Q167"/>
    <mergeCell ref="B168:E168"/>
    <mergeCell ref="P168:Q168"/>
    <mergeCell ref="B157:C157"/>
    <mergeCell ref="B159:C159"/>
    <mergeCell ref="B142:C142"/>
    <mergeCell ref="B143:C143"/>
    <mergeCell ref="B145:C145"/>
    <mergeCell ref="B146:C146"/>
    <mergeCell ref="B147:C147"/>
    <mergeCell ref="B136:C136"/>
    <mergeCell ref="B137:C137"/>
    <mergeCell ref="B226:C226"/>
    <mergeCell ref="B228:C228"/>
    <mergeCell ref="B138:C138"/>
    <mergeCell ref="B225:C225"/>
    <mergeCell ref="B210:C210"/>
    <mergeCell ref="B211:C211"/>
    <mergeCell ref="B212:C212"/>
    <mergeCell ref="B252:C252"/>
    <mergeCell ref="B244:C244"/>
    <mergeCell ref="B245:C245"/>
    <mergeCell ref="B246:C246"/>
    <mergeCell ref="B247:C247"/>
    <mergeCell ref="B248:C248"/>
    <mergeCell ref="B249:C249"/>
    <mergeCell ref="B227:C227"/>
    <mergeCell ref="B229:C229"/>
    <mergeCell ref="B230:C230"/>
    <mergeCell ref="B231:C231"/>
    <mergeCell ref="B233:C233"/>
    <mergeCell ref="B234:C234"/>
    <mergeCell ref="B242:C242"/>
    <mergeCell ref="B243:C243"/>
    <mergeCell ref="B250:C250"/>
    <mergeCell ref="B251:C251"/>
    <mergeCell ref="B235:C235"/>
    <mergeCell ref="B236:C236"/>
    <mergeCell ref="B238:C238"/>
    <mergeCell ref="B149:C149"/>
    <mergeCell ref="B150:C150"/>
    <mergeCell ref="B155:C155"/>
    <mergeCell ref="B156:C156"/>
    <mergeCell ref="B148:C148"/>
    <mergeCell ref="B152:E152"/>
    <mergeCell ref="B153:E153"/>
    <mergeCell ref="B194:C194"/>
    <mergeCell ref="B195:C195"/>
    <mergeCell ref="B178:C178"/>
    <mergeCell ref="B179:C179"/>
    <mergeCell ref="B181:C181"/>
    <mergeCell ref="B182:C182"/>
    <mergeCell ref="B183:C183"/>
    <mergeCell ref="B184:C184"/>
    <mergeCell ref="B172:C172"/>
    <mergeCell ref="B175:C175"/>
    <mergeCell ref="B224:C224"/>
    <mergeCell ref="B171:E171"/>
    <mergeCell ref="B177:C177"/>
    <mergeCell ref="B217:C217"/>
    <mergeCell ref="B218:C218"/>
    <mergeCell ref="B193:C193"/>
    <mergeCell ref="B128:E128"/>
    <mergeCell ref="B132:C132"/>
    <mergeCell ref="B118:C118"/>
    <mergeCell ref="B120:C120"/>
    <mergeCell ref="B121:C121"/>
    <mergeCell ref="B122:C122"/>
    <mergeCell ref="B124:C124"/>
    <mergeCell ref="B119:C119"/>
    <mergeCell ref="B125:C125"/>
    <mergeCell ref="B130:C130"/>
    <mergeCell ref="B131:C131"/>
    <mergeCell ref="B123:C123"/>
    <mergeCell ref="B112:C112"/>
    <mergeCell ref="B113:C113"/>
    <mergeCell ref="B114:C114"/>
    <mergeCell ref="B115:C115"/>
    <mergeCell ref="B116:C116"/>
    <mergeCell ref="B117:C117"/>
    <mergeCell ref="B102:C102"/>
    <mergeCell ref="B103:C103"/>
    <mergeCell ref="B94:C94"/>
    <mergeCell ref="B107:C107"/>
    <mergeCell ref="B108:C108"/>
    <mergeCell ref="B93:E93"/>
    <mergeCell ref="B110:C110"/>
    <mergeCell ref="B111:C111"/>
    <mergeCell ref="B78:C78"/>
    <mergeCell ref="B79:C79"/>
    <mergeCell ref="B80:C80"/>
    <mergeCell ref="B81:C81"/>
    <mergeCell ref="B82:C82"/>
    <mergeCell ref="B84:C84"/>
    <mergeCell ref="B90:E90"/>
    <mergeCell ref="B89:E89"/>
    <mergeCell ref="B67:C67"/>
    <mergeCell ref="B69:C69"/>
    <mergeCell ref="B70:C70"/>
    <mergeCell ref="B71:C71"/>
    <mergeCell ref="B72:C72"/>
    <mergeCell ref="B77:C77"/>
    <mergeCell ref="B61:C61"/>
    <mergeCell ref="B62:C62"/>
    <mergeCell ref="B63:C63"/>
    <mergeCell ref="B64:C64"/>
    <mergeCell ref="B65:C65"/>
    <mergeCell ref="B66:C66"/>
    <mergeCell ref="B73:C73"/>
    <mergeCell ref="B74:C74"/>
    <mergeCell ref="B75:C75"/>
    <mergeCell ref="B76:C76"/>
    <mergeCell ref="B52:C52"/>
    <mergeCell ref="B53:C53"/>
    <mergeCell ref="B54:C54"/>
    <mergeCell ref="B55:C55"/>
    <mergeCell ref="B56:C56"/>
    <mergeCell ref="B59:C59"/>
    <mergeCell ref="B45:C45"/>
    <mergeCell ref="B46:C46"/>
    <mergeCell ref="B47:C47"/>
    <mergeCell ref="B49:C49"/>
    <mergeCell ref="B50:C50"/>
    <mergeCell ref="B51:C51"/>
    <mergeCell ref="B57:C57"/>
    <mergeCell ref="B58:C58"/>
    <mergeCell ref="B48:C48"/>
    <mergeCell ref="B36:C36"/>
    <mergeCell ref="B37:C37"/>
    <mergeCell ref="B40:C40"/>
    <mergeCell ref="B41:C41"/>
    <mergeCell ref="B43:C43"/>
    <mergeCell ref="B44:C44"/>
    <mergeCell ref="B27:C27"/>
    <mergeCell ref="B28:C28"/>
    <mergeCell ref="B29:C29"/>
    <mergeCell ref="B31:C31"/>
    <mergeCell ref="B32:C32"/>
    <mergeCell ref="B33:C33"/>
    <mergeCell ref="B35:C35"/>
    <mergeCell ref="B34:C34"/>
    <mergeCell ref="B30:C30"/>
    <mergeCell ref="B20:C20"/>
    <mergeCell ref="B21:C21"/>
    <mergeCell ref="B22:C22"/>
    <mergeCell ref="B24:C24"/>
    <mergeCell ref="B25:C25"/>
    <mergeCell ref="B26:C26"/>
    <mergeCell ref="B13:C13"/>
    <mergeCell ref="B14:C14"/>
    <mergeCell ref="B15:C15"/>
    <mergeCell ref="B16:C16"/>
    <mergeCell ref="B17:C17"/>
    <mergeCell ref="B19:C19"/>
    <mergeCell ref="B23:C23"/>
    <mergeCell ref="N1:N3"/>
    <mergeCell ref="I5:L5"/>
    <mergeCell ref="C6:F6"/>
    <mergeCell ref="J6:L6"/>
    <mergeCell ref="A1:G1"/>
    <mergeCell ref="A2:G2"/>
    <mergeCell ref="B3:G3"/>
    <mergeCell ref="A4:G4"/>
    <mergeCell ref="P171:Q171"/>
    <mergeCell ref="P88:Q88"/>
    <mergeCell ref="P93:Q93"/>
    <mergeCell ref="B105:C105"/>
    <mergeCell ref="B106:C106"/>
    <mergeCell ref="B109:C109"/>
    <mergeCell ref="B127:E127"/>
    <mergeCell ref="B99:C99"/>
    <mergeCell ref="B100:C100"/>
    <mergeCell ref="B101:C101"/>
    <mergeCell ref="P91:Q91"/>
    <mergeCell ref="P92:Q92"/>
    <mergeCell ref="B87:E87"/>
    <mergeCell ref="B88:E88"/>
    <mergeCell ref="B91:E91"/>
    <mergeCell ref="B92:E92"/>
    <mergeCell ref="B237:C237"/>
    <mergeCell ref="B222:C222"/>
    <mergeCell ref="B223:C223"/>
    <mergeCell ref="P166:Q166"/>
    <mergeCell ref="P169:Q169"/>
    <mergeCell ref="B162:E162"/>
    <mergeCell ref="B163:E163"/>
    <mergeCell ref="B164:E164"/>
    <mergeCell ref="B165:E165"/>
    <mergeCell ref="B166:E166"/>
    <mergeCell ref="B169:E169"/>
    <mergeCell ref="P164:Q164"/>
    <mergeCell ref="P165:Q165"/>
    <mergeCell ref="B170:E170"/>
    <mergeCell ref="B232:C232"/>
    <mergeCell ref="B221:C221"/>
  </mergeCells>
  <conditionalFormatting sqref="N1:N3">
    <cfRule type="cellIs" dxfId="5" priority="1" stopIfTrue="1" operator="equal">
      <formula>"na"</formula>
    </cfRule>
  </conditionalFormatting>
  <dataValidations disablePrompts="1" count="1">
    <dataValidation type="textLength" operator="equal" allowBlank="1" showInputMessage="1" showErrorMessage="1" errorTitle="Invalid data!" error="GASB number must be 4 digits." sqref="G7" xr:uid="{00000000-0002-0000-5200-000000000000}">
      <formula1>4</formula1>
    </dataValidation>
  </dataValidations>
  <hyperlinks>
    <hyperlink ref="B1:L1" location="Index!A1" display="Index!A1" xr:uid="{00000000-0004-0000-5200-000000000000}"/>
  </hyperlinks>
  <printOptions headings="1"/>
  <pageMargins left="0.75" right="0.5" top="0.5" bottom="0.5" header="0.5" footer="0.25"/>
  <pageSetup scale="65" fitToHeight="3" orientation="portrait" r:id="rId1"/>
  <headerFooter alignWithMargins="0">
    <oddFooter>&amp;L&amp;D &amp;T&amp;R&amp;A (&amp;P of &amp;N)</oddFooter>
  </headerFooter>
  <rowBreaks count="3" manualBreakCount="3">
    <brk id="59" max="13" man="1"/>
    <brk id="132" max="13" man="1"/>
    <brk id="188" max="13" man="1"/>
  </rowBreaks>
  <legacy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6"/>
  <dimension ref="A1:W94"/>
  <sheetViews>
    <sheetView showGridLines="0" zoomScaleNormal="100" workbookViewId="0">
      <selection sqref="A1:K1"/>
    </sheetView>
  </sheetViews>
  <sheetFormatPr defaultColWidth="9.42578125" defaultRowHeight="12.75" x14ac:dyDescent="0.2"/>
  <cols>
    <col min="1" max="1" width="4.42578125" customWidth="1"/>
    <col min="2" max="2" width="15.42578125" customWidth="1"/>
    <col min="3" max="3" width="21.42578125" customWidth="1"/>
    <col min="4" max="4" width="19.42578125" style="649" customWidth="1"/>
    <col min="5" max="5" width="1.5703125" customWidth="1"/>
    <col min="6" max="6" width="17.5703125" style="649" customWidth="1"/>
    <col min="7" max="7" width="1.42578125" customWidth="1"/>
    <col min="8" max="8" width="15.5703125" customWidth="1"/>
    <col min="9" max="9" width="1.42578125" customWidth="1"/>
    <col min="10" max="10" width="7.5703125" customWidth="1"/>
    <col min="11" max="11" width="1.42578125" customWidth="1"/>
    <col min="12" max="12" width="4.5703125" customWidth="1"/>
  </cols>
  <sheetData>
    <row r="1" spans="1:23" ht="15.75" x14ac:dyDescent="0.25">
      <c r="B1" s="2449" t="str">
        <f>+Index!$A$1</f>
        <v xml:space="preserve">                                                               Office of the State Controller                                                                </v>
      </c>
      <c r="C1" s="2449"/>
      <c r="D1" s="2449"/>
      <c r="E1" s="2449"/>
      <c r="F1" s="2449"/>
      <c r="G1" s="2449"/>
      <c r="H1" s="2449"/>
      <c r="I1" s="2449"/>
      <c r="J1" s="2449"/>
      <c r="K1" s="2449"/>
      <c r="L1" s="2450" t="str">
        <f>IF(Index!$B$110="na","NA","")</f>
        <v/>
      </c>
      <c r="M1" s="622"/>
      <c r="O1" s="622"/>
      <c r="P1" s="622"/>
      <c r="Q1" s="622"/>
      <c r="R1" s="622"/>
      <c r="S1" s="622"/>
      <c r="T1" s="622"/>
      <c r="U1" s="622"/>
      <c r="V1" s="622"/>
    </row>
    <row r="2" spans="1:23" ht="16.5" x14ac:dyDescent="0.3">
      <c r="B2" s="2431" t="str">
        <f>+Index!$A$2</f>
        <v>2022 ACFR Worksheets</v>
      </c>
      <c r="C2" s="2431"/>
      <c r="D2" s="2431"/>
      <c r="E2" s="2431"/>
      <c r="F2" s="2431"/>
      <c r="G2" s="2431"/>
      <c r="H2" s="2431"/>
      <c r="I2" s="2431"/>
      <c r="J2" s="2431"/>
      <c r="K2" s="2431"/>
      <c r="L2" s="2450"/>
      <c r="M2" s="281"/>
      <c r="O2" s="632"/>
      <c r="P2" s="632"/>
      <c r="Q2" s="632"/>
      <c r="R2" s="632"/>
      <c r="S2" s="632"/>
      <c r="T2" s="632"/>
      <c r="U2" s="632"/>
      <c r="V2" s="632"/>
    </row>
    <row r="3" spans="1:23" ht="16.5" customHeight="1" x14ac:dyDescent="0.3">
      <c r="B3" s="2993" t="s">
        <v>3816</v>
      </c>
      <c r="C3" s="2993"/>
      <c r="D3" s="2993"/>
      <c r="E3" s="2993"/>
      <c r="F3" s="2993"/>
      <c r="G3" s="2993"/>
      <c r="H3" s="2993"/>
      <c r="I3" s="2993"/>
      <c r="J3" s="2993"/>
      <c r="K3" s="2993"/>
      <c r="L3" s="2450"/>
      <c r="M3" s="637"/>
      <c r="O3" s="632"/>
      <c r="P3" s="632"/>
      <c r="Q3" s="632"/>
      <c r="R3" s="632"/>
      <c r="S3" s="632"/>
      <c r="T3" s="632"/>
      <c r="U3" s="632"/>
      <c r="V3" s="632"/>
    </row>
    <row r="4" spans="1:23" x14ac:dyDescent="0.2">
      <c r="A4" s="1367" t="s">
        <v>3491</v>
      </c>
      <c r="B4" s="1305"/>
      <c r="C4" s="1305"/>
      <c r="D4" s="1305"/>
      <c r="F4"/>
      <c r="J4" s="393"/>
    </row>
    <row r="5" spans="1:23" s="200" customFormat="1" ht="15" customHeight="1" x14ac:dyDescent="0.2">
      <c r="B5" s="200" t="s">
        <v>327</v>
      </c>
      <c r="C5" s="639" t="s">
        <v>1093</v>
      </c>
      <c r="F5" s="806" t="s">
        <v>972</v>
      </c>
      <c r="G5" s="2986" t="str">
        <f>+CONCATENATE(Index!$E$12," ",Index!$E$14)</f>
        <v xml:space="preserve"> </v>
      </c>
      <c r="H5" s="2986"/>
      <c r="I5" s="2986"/>
      <c r="J5" s="2986"/>
      <c r="K5"/>
      <c r="L5"/>
      <c r="M5"/>
      <c r="O5" s="633"/>
      <c r="W5" s="199"/>
    </row>
    <row r="6" spans="1:23" s="200" customFormat="1" ht="15" customHeight="1" x14ac:dyDescent="0.2">
      <c r="B6" s="200" t="s">
        <v>1154</v>
      </c>
      <c r="C6" s="3010" t="s">
        <v>1938</v>
      </c>
      <c r="D6" s="3010"/>
      <c r="F6" s="633"/>
      <c r="G6" s="633"/>
      <c r="O6" s="634"/>
      <c r="P6" s="634"/>
      <c r="Q6" s="634"/>
      <c r="R6" s="634"/>
      <c r="S6" s="634"/>
      <c r="T6" s="634"/>
      <c r="U6" s="634"/>
      <c r="V6" s="201"/>
      <c r="W6" s="199"/>
    </row>
    <row r="7" spans="1:23" s="200" customFormat="1" ht="15" customHeight="1" x14ac:dyDescent="0.2">
      <c r="B7" s="200" t="s">
        <v>477</v>
      </c>
      <c r="C7" s="1066" t="s">
        <v>3490</v>
      </c>
      <c r="E7" s="633"/>
      <c r="F7" s="806" t="s">
        <v>348</v>
      </c>
      <c r="H7" s="2986">
        <f>+Index!$E$13</f>
        <v>0</v>
      </c>
      <c r="I7" s="2986"/>
      <c r="J7" s="2986"/>
      <c r="W7" s="199"/>
    </row>
    <row r="8" spans="1:23" s="38" customFormat="1" ht="12" customHeight="1" thickBot="1" x14ac:dyDescent="0.25">
      <c r="B8" s="129"/>
      <c r="C8" s="129"/>
      <c r="D8" s="129"/>
      <c r="E8" s="129"/>
      <c r="F8" s="129"/>
      <c r="G8" s="129"/>
      <c r="H8" s="129"/>
      <c r="I8" s="129"/>
      <c r="J8" s="129"/>
      <c r="K8" s="129"/>
      <c r="L8" s="122"/>
      <c r="M8" s="122"/>
    </row>
    <row r="9" spans="1:23" x14ac:dyDescent="0.2">
      <c r="D9" s="1231" t="s">
        <v>3484</v>
      </c>
      <c r="F9" s="1231" t="s">
        <v>1747</v>
      </c>
    </row>
    <row r="10" spans="1:23" ht="12.75" customHeight="1" x14ac:dyDescent="0.25">
      <c r="B10" s="392"/>
      <c r="C10" s="392"/>
      <c r="D10" s="408" t="str">
        <f>CONCATENATE("FY",YEAR(Data!$A$3),"-",YEAR(Data!$A$2))</f>
        <v>FY2021-2022</v>
      </c>
      <c r="E10" s="409"/>
      <c r="F10" s="408" t="str">
        <f>CONCATENATE("FY",YEAR(Data!$A$3)-1,"-",YEAR(Data!$A$2)-1)</f>
        <v>FY2020-2021</v>
      </c>
      <c r="G10" s="410"/>
      <c r="H10" s="408" t="s">
        <v>478</v>
      </c>
      <c r="I10" s="411"/>
      <c r="J10" s="412" t="s">
        <v>1012</v>
      </c>
      <c r="K10" s="411"/>
    </row>
    <row r="12" spans="1:23" x14ac:dyDescent="0.2">
      <c r="B12" s="648" t="s">
        <v>303</v>
      </c>
      <c r="C12" s="394"/>
    </row>
    <row r="13" spans="1:23" ht="13.5" x14ac:dyDescent="0.25">
      <c r="B13" s="3009" t="s">
        <v>630</v>
      </c>
      <c r="C13" s="3009"/>
      <c r="D13" s="650">
        <f>'906-6B'!J11</f>
        <v>0</v>
      </c>
      <c r="F13" s="842">
        <f>HLOOKUP($C$5,PriorYr906!$J$9:$K$87,3,FALSE)</f>
        <v>0</v>
      </c>
      <c r="H13" s="413">
        <f>D13-F13</f>
        <v>0</v>
      </c>
      <c r="J13" s="414">
        <f>IF(F13=0,0,H13/F13)</f>
        <v>0</v>
      </c>
    </row>
    <row r="14" spans="1:23" ht="13.5" x14ac:dyDescent="0.25">
      <c r="B14" s="567" t="s">
        <v>483</v>
      </c>
      <c r="C14" s="643"/>
      <c r="D14" s="650"/>
      <c r="F14" s="690"/>
      <c r="H14" s="413"/>
      <c r="J14" s="414"/>
    </row>
    <row r="15" spans="1:23" ht="13.5" x14ac:dyDescent="0.25">
      <c r="B15" s="2876" t="s">
        <v>1219</v>
      </c>
      <c r="C15" s="3009"/>
      <c r="D15" s="649">
        <f>'906-6B'!J13</f>
        <v>0</v>
      </c>
      <c r="F15" s="393">
        <f>HLOOKUP($C$5,PriorYr906!$J$9:$K$87,5,FALSE)</f>
        <v>0</v>
      </c>
      <c r="H15" s="413">
        <f>D15-F15</f>
        <v>0</v>
      </c>
      <c r="J15" s="414">
        <f>IF(F15=0,0,H15/F15)</f>
        <v>0</v>
      </c>
    </row>
    <row r="16" spans="1:23" ht="13.5" x14ac:dyDescent="0.25">
      <c r="B16" s="2876" t="s">
        <v>1221</v>
      </c>
      <c r="C16" s="3009"/>
      <c r="D16" s="649">
        <f>'906-6B'!J14</f>
        <v>0</v>
      </c>
      <c r="F16" s="393">
        <f>HLOOKUP($C$5,PriorYr906!$J$9:$K$87,6,FALSE)</f>
        <v>0</v>
      </c>
      <c r="H16" s="413">
        <f t="shared" ref="H16:H40" si="0">D16-F16</f>
        <v>0</v>
      </c>
      <c r="J16" s="414">
        <f t="shared" ref="J16:J40" si="1">IF(F16=0,0,H16/F16)</f>
        <v>0</v>
      </c>
    </row>
    <row r="17" spans="2:10" ht="13.5" x14ac:dyDescent="0.25">
      <c r="B17" s="2876" t="s">
        <v>1222</v>
      </c>
      <c r="C17" s="3009"/>
      <c r="D17" s="649">
        <f>'906-6B'!J15</f>
        <v>0</v>
      </c>
      <c r="F17" s="393">
        <f>HLOOKUP($C$5,PriorYr906!$J$9:$K$87,7,FALSE)</f>
        <v>0</v>
      </c>
      <c r="H17" s="413">
        <f t="shared" si="0"/>
        <v>0</v>
      </c>
      <c r="J17" s="414">
        <f t="shared" si="1"/>
        <v>0</v>
      </c>
    </row>
    <row r="18" spans="2:10" ht="13.5" x14ac:dyDescent="0.25">
      <c r="B18" s="2876" t="s">
        <v>1220</v>
      </c>
      <c r="C18" s="2876"/>
      <c r="D18" s="649">
        <f>'906-6B'!J16</f>
        <v>0</v>
      </c>
      <c r="F18" s="393">
        <f>HLOOKUP($C$5,PriorYr906!$J$9:$K$87,8,FALSE)</f>
        <v>0</v>
      </c>
      <c r="H18" s="413">
        <f t="shared" si="0"/>
        <v>0</v>
      </c>
      <c r="J18" s="414">
        <f t="shared" si="1"/>
        <v>0</v>
      </c>
    </row>
    <row r="19" spans="2:10" ht="13.5" x14ac:dyDescent="0.25">
      <c r="B19" s="2876" t="s">
        <v>1215</v>
      </c>
      <c r="C19" s="2876"/>
      <c r="D19" s="649">
        <f>'906-6B'!J17</f>
        <v>0</v>
      </c>
      <c r="F19" s="393">
        <f>HLOOKUP($C$5,PriorYr906!$J$9:$K$87,9,FALSE)</f>
        <v>0</v>
      </c>
      <c r="H19" s="413">
        <f t="shared" si="0"/>
        <v>0</v>
      </c>
      <c r="J19" s="414">
        <f t="shared" si="1"/>
        <v>0</v>
      </c>
    </row>
    <row r="20" spans="2:10" ht="13.5" x14ac:dyDescent="0.25">
      <c r="B20" s="2876" t="s">
        <v>1566</v>
      </c>
      <c r="C20" s="2876"/>
      <c r="D20" s="649">
        <f>'906-6B'!J18</f>
        <v>0</v>
      </c>
      <c r="F20" s="393">
        <f>HLOOKUP($C$5,PriorYr906!$J$9:$K$87,10,FALSE)</f>
        <v>0</v>
      </c>
      <c r="H20" s="413">
        <f>D20-F20</f>
        <v>0</v>
      </c>
      <c r="J20" s="414">
        <f>IF(F20=0,0,H20/F20)</f>
        <v>0</v>
      </c>
    </row>
    <row r="21" spans="2:10" ht="13.5" x14ac:dyDescent="0.25">
      <c r="B21" s="2876" t="s">
        <v>1216</v>
      </c>
      <c r="C21" s="2876"/>
      <c r="D21" s="649">
        <f>'906-6B'!J19</f>
        <v>0</v>
      </c>
      <c r="F21" s="393">
        <f>HLOOKUP($C$5,PriorYr906!$J$9:$K$87,11,FALSE)</f>
        <v>0</v>
      </c>
      <c r="H21" s="413">
        <f t="shared" si="0"/>
        <v>0</v>
      </c>
      <c r="J21" s="414">
        <f t="shared" si="1"/>
        <v>0</v>
      </c>
    </row>
    <row r="22" spans="2:10" ht="13.5" x14ac:dyDescent="0.25">
      <c r="B22" s="2876" t="s">
        <v>492</v>
      </c>
      <c r="C22" s="2876"/>
      <c r="D22" s="649">
        <f>'906-6B'!J20</f>
        <v>0</v>
      </c>
      <c r="F22" s="393">
        <f>HLOOKUP($C$5,PriorYr906!$J$9:$K$87,12,FALSE)</f>
        <v>0</v>
      </c>
      <c r="H22" s="413">
        <f t="shared" si="0"/>
        <v>0</v>
      </c>
      <c r="J22" s="414">
        <f t="shared" si="1"/>
        <v>0</v>
      </c>
    </row>
    <row r="23" spans="2:10" ht="13.5" x14ac:dyDescent="0.25">
      <c r="B23" s="2876" t="s">
        <v>487</v>
      </c>
      <c r="C23" s="2876"/>
      <c r="D23" s="649">
        <f>'906-6B'!J21</f>
        <v>0</v>
      </c>
      <c r="F23" s="393">
        <f>HLOOKUP($C$5,PriorYr906!$J$9:$K$87,13,FALSE)</f>
        <v>0</v>
      </c>
      <c r="H23" s="413">
        <f t="shared" si="0"/>
        <v>0</v>
      </c>
      <c r="J23" s="414">
        <f t="shared" si="1"/>
        <v>0</v>
      </c>
    </row>
    <row r="24" spans="2:10" ht="13.5" x14ac:dyDescent="0.25">
      <c r="B24" s="2876" t="s">
        <v>491</v>
      </c>
      <c r="C24" s="2876"/>
      <c r="D24" s="649">
        <f>'906-6B'!J22</f>
        <v>0</v>
      </c>
      <c r="F24" s="393">
        <f>HLOOKUP($C$5,PriorYr906!$J$9:$K$87,14,FALSE)</f>
        <v>0</v>
      </c>
      <c r="H24" s="413">
        <f t="shared" si="0"/>
        <v>0</v>
      </c>
      <c r="J24" s="414">
        <f t="shared" si="1"/>
        <v>0</v>
      </c>
    </row>
    <row r="25" spans="2:10" ht="13.5" x14ac:dyDescent="0.25">
      <c r="B25" s="2876" t="s">
        <v>495</v>
      </c>
      <c r="C25" s="2876"/>
      <c r="D25" s="649">
        <f>'906-6B'!J23</f>
        <v>0</v>
      </c>
      <c r="F25" s="393">
        <f>HLOOKUP($C$5,PriorYr906!$J$9:$K$87,15,FALSE)</f>
        <v>0</v>
      </c>
      <c r="H25" s="413">
        <f t="shared" si="0"/>
        <v>0</v>
      </c>
      <c r="J25" s="414">
        <f t="shared" si="1"/>
        <v>0</v>
      </c>
    </row>
    <row r="26" spans="2:10" ht="13.5" x14ac:dyDescent="0.25">
      <c r="B26" s="2876" t="s">
        <v>1845</v>
      </c>
      <c r="C26" s="2876"/>
      <c r="D26" s="649">
        <f>'906-6B'!J24</f>
        <v>0</v>
      </c>
      <c r="F26" s="393">
        <f>HLOOKUP($C$5,PriorYr906!$J$9:$K$87,16,FALSE)</f>
        <v>7988892.4299999997</v>
      </c>
      <c r="H26" s="413">
        <f t="shared" si="0"/>
        <v>-7988892.4299999997</v>
      </c>
      <c r="J26" s="414">
        <f t="shared" si="1"/>
        <v>-1</v>
      </c>
    </row>
    <row r="27" spans="2:10" ht="13.5" x14ac:dyDescent="0.25">
      <c r="B27" s="2876" t="s">
        <v>1681</v>
      </c>
      <c r="C27" s="2876"/>
      <c r="D27" s="649">
        <f>'906-6B'!J25</f>
        <v>0</v>
      </c>
      <c r="F27" s="393">
        <f>HLOOKUP($C$5,PriorYr906!$J$9:$K$87,17,FALSE)</f>
        <v>0</v>
      </c>
      <c r="H27" s="413">
        <f>D27-F27</f>
        <v>0</v>
      </c>
      <c r="J27" s="414">
        <f>IF(F27=0,0,H27/F27)</f>
        <v>0</v>
      </c>
    </row>
    <row r="28" spans="2:10" ht="13.5" x14ac:dyDescent="0.25">
      <c r="B28" s="2876" t="s">
        <v>1691</v>
      </c>
      <c r="C28" s="2876"/>
      <c r="D28" s="649">
        <f>'906-6B'!J26</f>
        <v>0</v>
      </c>
      <c r="F28" s="393">
        <f>HLOOKUP($C$5,PriorYr906!$J$9:$K$87,18,FALSE)</f>
        <v>40639376.659999996</v>
      </c>
      <c r="H28" s="413">
        <f>D28-F28</f>
        <v>-40639376.659999996</v>
      </c>
      <c r="J28" s="414">
        <f>IF(F28=0,0,H28/F28)</f>
        <v>-1</v>
      </c>
    </row>
    <row r="29" spans="2:10" ht="13.5" x14ac:dyDescent="0.25">
      <c r="B29" s="2876" t="s">
        <v>1692</v>
      </c>
      <c r="C29" s="2876"/>
      <c r="D29" s="649">
        <f>'906-6B'!J27</f>
        <v>0</v>
      </c>
      <c r="F29" s="393">
        <f>HLOOKUP($C$5,PriorYr906!$J$9:$K$87,19,FALSE)</f>
        <v>343463706.67000002</v>
      </c>
      <c r="H29" s="413">
        <f>D29-F29</f>
        <v>-343463706.67000002</v>
      </c>
      <c r="J29" s="414">
        <f>IF(F29=0,0,H29/F29)</f>
        <v>-1</v>
      </c>
    </row>
    <row r="30" spans="2:10" ht="13.5" x14ac:dyDescent="0.25">
      <c r="B30" s="2876" t="s">
        <v>1404</v>
      </c>
      <c r="C30" s="2876"/>
      <c r="D30" s="649">
        <f>'906-6B'!J28</f>
        <v>0</v>
      </c>
      <c r="F30" s="393">
        <f>HLOOKUP($C$5,PriorYr906!$J$9:$K$87,20,FALSE)</f>
        <v>1381533393.1400001</v>
      </c>
      <c r="H30" s="413">
        <f>D30-F30</f>
        <v>-1381533393.1400001</v>
      </c>
      <c r="J30" s="414">
        <f>IF(F30=0,0,H30/F30)</f>
        <v>-1</v>
      </c>
    </row>
    <row r="31" spans="2:10" ht="13.5" x14ac:dyDescent="0.25">
      <c r="B31" s="2876" t="s">
        <v>1403</v>
      </c>
      <c r="C31" s="2876"/>
      <c r="D31" s="649">
        <f>'906-6B'!J29</f>
        <v>0</v>
      </c>
      <c r="F31" s="393">
        <f>HLOOKUP($C$5,PriorYr906!$J$9:$K$87,21,FALSE)</f>
        <v>0</v>
      </c>
      <c r="H31" s="413">
        <f>D31-F31</f>
        <v>0</v>
      </c>
      <c r="J31" s="414">
        <f>IF(F31=0,0,H31/F31)</f>
        <v>0</v>
      </c>
    </row>
    <row r="32" spans="2:10" ht="13.5" x14ac:dyDescent="0.25">
      <c r="B32" s="567" t="s">
        <v>198</v>
      </c>
      <c r="C32" s="398"/>
      <c r="F32" s="393">
        <f>HLOOKUP($C$5,PriorYr906!$J$9:$K$87,22,FALSE)</f>
        <v>0</v>
      </c>
      <c r="H32" s="413"/>
      <c r="J32" s="414"/>
    </row>
    <row r="33" spans="2:10" ht="13.5" x14ac:dyDescent="0.25">
      <c r="B33" s="3014" t="s">
        <v>311</v>
      </c>
      <c r="C33" s="3014"/>
      <c r="D33" s="649">
        <f>'906-6B'!J31</f>
        <v>0</v>
      </c>
      <c r="F33" s="393">
        <f>HLOOKUP($C$5,PriorYr906!$J$9:$K$87,23,FALSE)</f>
        <v>86.19</v>
      </c>
      <c r="H33" s="413">
        <f t="shared" si="0"/>
        <v>-86.19</v>
      </c>
      <c r="J33" s="414">
        <f t="shared" si="1"/>
        <v>-1</v>
      </c>
    </row>
    <row r="34" spans="2:10" ht="13.5" x14ac:dyDescent="0.25">
      <c r="B34" s="3007" t="s">
        <v>200</v>
      </c>
      <c r="C34" s="3007"/>
      <c r="D34" s="649">
        <f>'906-6B'!J32</f>
        <v>0</v>
      </c>
      <c r="F34" s="393">
        <f>HLOOKUP($C$5,PriorYr906!$J$9:$K$87,24,FALSE)</f>
        <v>0</v>
      </c>
      <c r="H34" s="413">
        <f t="shared" si="0"/>
        <v>0</v>
      </c>
      <c r="J34" s="414">
        <f t="shared" si="1"/>
        <v>0</v>
      </c>
    </row>
    <row r="35" spans="2:10" ht="13.5" x14ac:dyDescent="0.25">
      <c r="B35" s="3007" t="s">
        <v>313</v>
      </c>
      <c r="C35" s="3007"/>
      <c r="D35" s="649">
        <f>'906-6B'!J33</f>
        <v>0</v>
      </c>
      <c r="F35" s="393">
        <f>HLOOKUP($C$5,PriorYr906!$J$9:$K$87,25,FALSE)</f>
        <v>1061351.3999999999</v>
      </c>
      <c r="H35" s="413">
        <f t="shared" si="0"/>
        <v>-1061351.3999999999</v>
      </c>
      <c r="J35" s="414">
        <f t="shared" si="1"/>
        <v>-1</v>
      </c>
    </row>
    <row r="36" spans="2:10" ht="13.5" x14ac:dyDescent="0.25">
      <c r="B36" s="2876" t="s">
        <v>549</v>
      </c>
      <c r="C36" s="2876"/>
      <c r="D36" s="649">
        <f>'906-6B'!J34</f>
        <v>0</v>
      </c>
      <c r="F36" s="393">
        <f>HLOOKUP($C$5,PriorYr906!$J$9:$K$87,26,FALSE)</f>
        <v>21588810.329999998</v>
      </c>
      <c r="H36" s="413">
        <f t="shared" si="0"/>
        <v>-21588810.329999998</v>
      </c>
      <c r="J36" s="414">
        <f t="shared" si="1"/>
        <v>-1</v>
      </c>
    </row>
    <row r="37" spans="2:10" ht="13.5" x14ac:dyDescent="0.25">
      <c r="B37" s="2876" t="s">
        <v>931</v>
      </c>
      <c r="C37" s="2876"/>
      <c r="D37" s="649">
        <f>'906-6B'!J35</f>
        <v>0</v>
      </c>
      <c r="F37" s="393">
        <f>HLOOKUP($C$5,PriorYr906!$J$9:$K$87,27,FALSE)</f>
        <v>0</v>
      </c>
      <c r="H37" s="413">
        <f t="shared" si="0"/>
        <v>0</v>
      </c>
      <c r="J37" s="414">
        <f t="shared" si="1"/>
        <v>0</v>
      </c>
    </row>
    <row r="38" spans="2:10" ht="13.5" x14ac:dyDescent="0.25">
      <c r="B38" s="2876" t="s">
        <v>1095</v>
      </c>
      <c r="C38" s="2876"/>
      <c r="D38" s="649">
        <f>'906-6B'!J36</f>
        <v>0</v>
      </c>
      <c r="F38" s="393">
        <f>HLOOKUP($C$5,PriorYr906!$J$9:$K$87,28,FALSE)</f>
        <v>0</v>
      </c>
      <c r="H38" s="413">
        <f t="shared" si="0"/>
        <v>0</v>
      </c>
      <c r="J38" s="414">
        <f t="shared" si="1"/>
        <v>0</v>
      </c>
    </row>
    <row r="39" spans="2:10" ht="13.5" x14ac:dyDescent="0.25">
      <c r="B39" s="2876" t="s">
        <v>590</v>
      </c>
      <c r="C39" s="2876"/>
      <c r="D39" s="649">
        <f>'906-6B'!J37</f>
        <v>0</v>
      </c>
      <c r="F39" s="393">
        <f>HLOOKUP($C$5,PriorYr906!$J$9:$K$87,29,FALSE)</f>
        <v>0</v>
      </c>
      <c r="H39" s="413">
        <f t="shared" si="0"/>
        <v>0</v>
      </c>
      <c r="J39" s="414">
        <f t="shared" si="1"/>
        <v>0</v>
      </c>
    </row>
    <row r="40" spans="2:10" ht="13.5" x14ac:dyDescent="0.25">
      <c r="B40" s="2876" t="s">
        <v>358</v>
      </c>
      <c r="C40" s="2876"/>
      <c r="D40" s="649">
        <f>'906-6B'!J38</f>
        <v>0</v>
      </c>
      <c r="F40" s="393">
        <f>HLOOKUP($C$5,PriorYr906!$J$9:$K$87,30,FALSE)</f>
        <v>0</v>
      </c>
      <c r="H40" s="413">
        <f t="shared" si="0"/>
        <v>0</v>
      </c>
      <c r="J40" s="414">
        <f t="shared" si="1"/>
        <v>0</v>
      </c>
    </row>
    <row r="41" spans="2:10" ht="13.5" x14ac:dyDescent="0.25">
      <c r="B41" s="2876" t="s">
        <v>272</v>
      </c>
      <c r="C41" s="2876"/>
      <c r="D41" s="652">
        <f>SUM(D13:D40)</f>
        <v>0</v>
      </c>
      <c r="F41" s="706">
        <f>SUM(F12:F40)</f>
        <v>1796275616.8199999</v>
      </c>
      <c r="H41" s="413"/>
      <c r="J41" s="414"/>
    </row>
    <row r="42" spans="2:10" x14ac:dyDescent="0.2">
      <c r="B42" s="394"/>
      <c r="C42" s="394"/>
      <c r="F42" s="643"/>
    </row>
    <row r="43" spans="2:10" x14ac:dyDescent="0.2">
      <c r="B43" s="394" t="s">
        <v>273</v>
      </c>
      <c r="C43" s="394"/>
      <c r="F43" s="643"/>
    </row>
    <row r="44" spans="2:10" x14ac:dyDescent="0.2">
      <c r="B44" s="335" t="s">
        <v>275</v>
      </c>
      <c r="C44" s="335"/>
      <c r="F44" s="643"/>
    </row>
    <row r="45" spans="2:10" ht="13.5" x14ac:dyDescent="0.25">
      <c r="B45" s="3007" t="s">
        <v>1060</v>
      </c>
      <c r="C45" s="3007"/>
      <c r="D45" s="649">
        <f>'906-6B'!J43</f>
        <v>0</v>
      </c>
      <c r="F45" s="393">
        <f>HLOOKUP($C$5,PriorYr906!$J$9:$K$87,35,FALSE)</f>
        <v>248343.51</v>
      </c>
      <c r="H45" s="413">
        <f t="shared" ref="H45:H53" si="2">D45-F45</f>
        <v>-248343.51</v>
      </c>
      <c r="J45" s="414">
        <f t="shared" ref="J45:J53" si="3">IF(F45=0,0,H45/F45)</f>
        <v>-1</v>
      </c>
    </row>
    <row r="46" spans="2:10" ht="13.5" x14ac:dyDescent="0.25">
      <c r="B46" s="3007" t="s">
        <v>816</v>
      </c>
      <c r="C46" s="3007"/>
      <c r="D46" s="649">
        <f>'906-6B'!J44</f>
        <v>0</v>
      </c>
      <c r="F46" s="393">
        <f>HLOOKUP($C$5,PriorYr906!$J$9:$K$87,36,FALSE)</f>
        <v>0</v>
      </c>
      <c r="H46" s="413">
        <f t="shared" si="2"/>
        <v>0</v>
      </c>
      <c r="J46" s="414">
        <f t="shared" si="3"/>
        <v>0</v>
      </c>
    </row>
    <row r="47" spans="2:10" ht="13.5" x14ac:dyDescent="0.25">
      <c r="B47" s="3007" t="s">
        <v>1078</v>
      </c>
      <c r="C47" s="3007"/>
      <c r="D47" s="649">
        <f>'906-6B'!J45</f>
        <v>0</v>
      </c>
      <c r="F47" s="393">
        <f>HLOOKUP($C$5,PriorYr906!$J$9:$K$87,37,FALSE)</f>
        <v>0</v>
      </c>
      <c r="H47" s="413">
        <f t="shared" si="2"/>
        <v>0</v>
      </c>
      <c r="J47" s="414">
        <f t="shared" si="3"/>
        <v>0</v>
      </c>
    </row>
    <row r="48" spans="2:10" ht="13.5" x14ac:dyDescent="0.25">
      <c r="B48" s="2876" t="s">
        <v>1402</v>
      </c>
      <c r="C48" s="2876"/>
      <c r="D48" s="649">
        <f>'906-6B'!J46</f>
        <v>0</v>
      </c>
      <c r="F48" s="393">
        <f>HLOOKUP($C$5,PriorYr906!$J$9:$K$87,38,FALSE)</f>
        <v>0</v>
      </c>
      <c r="H48" s="413">
        <f>D48-F48</f>
        <v>0</v>
      </c>
      <c r="J48" s="414">
        <f>IF(F48=0,0,H48/F48)</f>
        <v>0</v>
      </c>
    </row>
    <row r="49" spans="2:10" ht="13.5" x14ac:dyDescent="0.25">
      <c r="B49" s="2876" t="s">
        <v>569</v>
      </c>
      <c r="C49" s="2876"/>
      <c r="D49" s="649">
        <f>'906-6B'!J47</f>
        <v>0</v>
      </c>
      <c r="F49" s="393">
        <f>HLOOKUP($C$5,PriorYr906!$J$9:$K$87,39,FALSE)</f>
        <v>0</v>
      </c>
      <c r="H49" s="413">
        <f t="shared" si="2"/>
        <v>0</v>
      </c>
      <c r="J49" s="414">
        <f t="shared" si="3"/>
        <v>0</v>
      </c>
    </row>
    <row r="50" spans="2:10" ht="13.5" x14ac:dyDescent="0.25">
      <c r="B50" s="2876" t="s">
        <v>739</v>
      </c>
      <c r="C50" s="2876"/>
      <c r="D50" s="649">
        <f>'906-6B'!J48</f>
        <v>0</v>
      </c>
      <c r="F50" s="393">
        <f>HLOOKUP($C$5,PriorYr906!$J$9:$K$87,40,FALSE)</f>
        <v>0</v>
      </c>
      <c r="H50" s="413">
        <f t="shared" si="2"/>
        <v>0</v>
      </c>
      <c r="J50" s="414">
        <f t="shared" si="3"/>
        <v>0</v>
      </c>
    </row>
    <row r="51" spans="2:10" ht="13.5" x14ac:dyDescent="0.25">
      <c r="B51" s="2876" t="s">
        <v>701</v>
      </c>
      <c r="C51" s="2876"/>
      <c r="D51" s="649">
        <f>'906-6B'!J49</f>
        <v>0</v>
      </c>
      <c r="F51" s="393">
        <f>HLOOKUP($C$5,PriorYr906!$J$9:$K$87,41,FALSE)</f>
        <v>0</v>
      </c>
      <c r="H51" s="413">
        <f t="shared" si="2"/>
        <v>0</v>
      </c>
      <c r="J51" s="414">
        <f t="shared" si="3"/>
        <v>0</v>
      </c>
    </row>
    <row r="52" spans="2:10" ht="13.5" x14ac:dyDescent="0.25">
      <c r="B52" s="2876" t="s">
        <v>80</v>
      </c>
      <c r="C52" s="2876"/>
      <c r="D52" s="649">
        <f>'906-6B'!J50</f>
        <v>0</v>
      </c>
      <c r="F52" s="393">
        <f>HLOOKUP($C$5,PriorYr906!$J$9:$K$87,42,FALSE)</f>
        <v>0</v>
      </c>
      <c r="H52" s="413">
        <f t="shared" si="2"/>
        <v>0</v>
      </c>
      <c r="J52" s="414">
        <f t="shared" si="3"/>
        <v>0</v>
      </c>
    </row>
    <row r="53" spans="2:10" ht="13.5" x14ac:dyDescent="0.25">
      <c r="B53" s="2876" t="s">
        <v>791</v>
      </c>
      <c r="C53" s="2876"/>
      <c r="D53" s="402">
        <f>SUM(D45:D52)</f>
        <v>0</v>
      </c>
      <c r="F53" s="706">
        <f>SUM(F44:F52)</f>
        <v>248343.51</v>
      </c>
      <c r="H53" s="413">
        <f t="shared" si="2"/>
        <v>-248343.51</v>
      </c>
      <c r="J53" s="414">
        <f t="shared" si="3"/>
        <v>-1</v>
      </c>
    </row>
    <row r="54" spans="2:10" ht="13.5" x14ac:dyDescent="0.25">
      <c r="B54" s="398"/>
      <c r="C54" s="398"/>
      <c r="F54" s="399"/>
      <c r="H54" s="413"/>
      <c r="J54" s="414"/>
    </row>
    <row r="55" spans="2:10" ht="13.5" x14ac:dyDescent="0.25">
      <c r="B55" s="395" t="s">
        <v>1905</v>
      </c>
      <c r="C55" s="395"/>
      <c r="D55" s="645"/>
      <c r="E55" s="409"/>
      <c r="F55" s="399"/>
      <c r="G55" s="410"/>
      <c r="H55" s="645"/>
      <c r="I55" s="411"/>
      <c r="J55" s="646"/>
    </row>
    <row r="56" spans="2:10" ht="13.5" x14ac:dyDescent="0.25">
      <c r="B56" s="335" t="s">
        <v>1079</v>
      </c>
      <c r="C56" s="335"/>
      <c r="H56" s="413"/>
      <c r="J56" s="414"/>
    </row>
    <row r="57" spans="2:10" ht="13.5" x14ac:dyDescent="0.25">
      <c r="B57" s="3007" t="s">
        <v>709</v>
      </c>
      <c r="C57" s="3007"/>
      <c r="D57" s="649">
        <f>'906-6B'!J55</f>
        <v>0</v>
      </c>
      <c r="F57" s="393">
        <f>HLOOKUP($C$5,PriorYr906!$J$9:$K$87,47,FALSE)</f>
        <v>1796027273.3099999</v>
      </c>
      <c r="H57" s="413">
        <f>D57-F57</f>
        <v>-1796027273.3099999</v>
      </c>
      <c r="J57" s="414">
        <f>IF(F57=0,0,H57/F57)</f>
        <v>-1</v>
      </c>
    </row>
    <row r="58" spans="2:10" ht="14.25" thickBot="1" x14ac:dyDescent="0.3">
      <c r="B58" s="2876" t="s">
        <v>1889</v>
      </c>
      <c r="C58" s="2876"/>
      <c r="D58" s="405">
        <f>SUM(D56:D57)</f>
        <v>0</v>
      </c>
      <c r="F58" s="707">
        <f>SUM(F55:F57)</f>
        <v>1796027273.3099999</v>
      </c>
      <c r="H58" s="413"/>
      <c r="J58" s="414"/>
    </row>
    <row r="59" spans="2:10" ht="14.25" thickTop="1" x14ac:dyDescent="0.25">
      <c r="B59" s="398"/>
      <c r="C59" s="398"/>
      <c r="F59" s="398"/>
      <c r="H59" s="413"/>
      <c r="J59" s="414"/>
    </row>
    <row r="60" spans="2:10" x14ac:dyDescent="0.2">
      <c r="B60" s="335" t="s">
        <v>3480</v>
      </c>
      <c r="C60" s="44"/>
      <c r="D60" s="406" t="str">
        <f>IF(D41-D53=D58,"In Bal.","NOT BALANCED")</f>
        <v>In Bal.</v>
      </c>
      <c r="F60" s="406" t="str">
        <f>IF(F41-F53=F58,"In Bal.","NOT BALANCED")</f>
        <v>In Bal.</v>
      </c>
    </row>
    <row r="61" spans="2:10" x14ac:dyDescent="0.2">
      <c r="B61" s="653"/>
      <c r="C61" s="653"/>
      <c r="D61" s="654"/>
    </row>
    <row r="62" spans="2:10" x14ac:dyDescent="0.2">
      <c r="B62" s="407" t="s">
        <v>986</v>
      </c>
      <c r="C62" s="407"/>
      <c r="D62" s="1248" t="str">
        <f>CONCATENATE("FYE ",+TEXT(Data!$A$2,"mmmm d,yyyy"))</f>
        <v>FYE June 30,2022</v>
      </c>
      <c r="F62" s="792" t="str">
        <f>CONCATENATE("FYE ",+TEXT(Data!$A$4,"mmmm d,yyyy"))</f>
        <v>FYE June 30,2021</v>
      </c>
    </row>
    <row r="63" spans="2:10" x14ac:dyDescent="0.2">
      <c r="B63" s="647" t="s">
        <v>463</v>
      </c>
      <c r="C63" s="407"/>
      <c r="F63" s="398"/>
    </row>
    <row r="64" spans="2:10" ht="13.5" x14ac:dyDescent="0.25">
      <c r="B64" s="2876" t="s">
        <v>710</v>
      </c>
      <c r="C64" s="2876"/>
      <c r="D64" s="650">
        <f>'906-6B'!J62</f>
        <v>0</v>
      </c>
      <c r="F64" s="842">
        <f>HLOOKUP($C$5,PriorYr906!$J$9:$K$87,54,FALSE)</f>
        <v>4301073.83</v>
      </c>
      <c r="H64" s="413">
        <f>D64-F64</f>
        <v>-4301073.83</v>
      </c>
      <c r="J64" s="414">
        <f>IF(F64=0,0,H64/F64)</f>
        <v>-1</v>
      </c>
    </row>
    <row r="65" spans="2:10" ht="13.5" x14ac:dyDescent="0.25">
      <c r="B65" s="2876" t="s">
        <v>711</v>
      </c>
      <c r="C65" s="2876"/>
      <c r="D65" s="649">
        <f>'906-6B'!J63</f>
        <v>0</v>
      </c>
      <c r="F65" s="393">
        <f>HLOOKUP($C$5,PriorYr906!$J$9:$K$87,55,FALSE)</f>
        <v>79969153.569999993</v>
      </c>
      <c r="H65" s="413">
        <f>D65-F65</f>
        <v>-79969153.569999993</v>
      </c>
      <c r="J65" s="414">
        <f>IF(F65=0,0,H65/F65)</f>
        <v>-1</v>
      </c>
    </row>
    <row r="66" spans="2:10" ht="13.5" x14ac:dyDescent="0.25">
      <c r="B66" s="2876" t="s">
        <v>712</v>
      </c>
      <c r="C66" s="2876"/>
      <c r="D66" s="649">
        <f>'906-6B'!J64</f>
        <v>0</v>
      </c>
      <c r="F66" s="393">
        <f>HLOOKUP($C$5,PriorYr906!$J$9:$K$87,56,FALSE)</f>
        <v>0</v>
      </c>
      <c r="H66" s="413">
        <f>D66-F66</f>
        <v>0</v>
      </c>
      <c r="J66" s="414">
        <f>IF(F66=0,0,H66/F66)</f>
        <v>0</v>
      </c>
    </row>
    <row r="67" spans="2:10" ht="13.5" x14ac:dyDescent="0.25">
      <c r="B67" s="2876" t="s">
        <v>713</v>
      </c>
      <c r="C67" s="2876"/>
      <c r="D67" s="651">
        <f>'906-6B'!J65</f>
        <v>0</v>
      </c>
      <c r="F67" s="393">
        <f>HLOOKUP($C$5,PriorYr906!$J$9:$K$87,57,FALSE)</f>
        <v>0</v>
      </c>
      <c r="H67" s="413">
        <f>D67-F67</f>
        <v>0</v>
      </c>
      <c r="J67" s="414">
        <f>IF(F67=0,0,H67/F67)</f>
        <v>0</v>
      </c>
    </row>
    <row r="68" spans="2:10" ht="13.5" x14ac:dyDescent="0.25">
      <c r="B68" s="2876" t="s">
        <v>714</v>
      </c>
      <c r="C68" s="2876"/>
      <c r="D68" s="652">
        <f>SUM(D64:D67)</f>
        <v>0</v>
      </c>
      <c r="F68" s="706">
        <f>SUM(F64:F67)</f>
        <v>84270227.400000006</v>
      </c>
      <c r="H68" s="413">
        <f>D68-F68</f>
        <v>-84270227.400000006</v>
      </c>
      <c r="J68" s="414">
        <f>IF(F68=0,0,H68/F68)</f>
        <v>-1</v>
      </c>
    </row>
    <row r="69" spans="2:10" ht="13.5" x14ac:dyDescent="0.25">
      <c r="B69" s="647" t="s">
        <v>464</v>
      </c>
      <c r="C69" s="398"/>
      <c r="F69" s="643"/>
      <c r="H69" s="413"/>
      <c r="J69" s="414"/>
    </row>
    <row r="70" spans="2:10" ht="13.5" x14ac:dyDescent="0.25">
      <c r="B70" s="2876" t="s">
        <v>715</v>
      </c>
      <c r="C70" s="2876"/>
      <c r="D70" s="649">
        <f>'906-6B'!J68</f>
        <v>0</v>
      </c>
      <c r="F70" s="393">
        <f>HLOOKUP($C$5,PriorYr906!$J$9:$K$87,60,FALSE)</f>
        <v>207403402.94999999</v>
      </c>
      <c r="H70" s="413">
        <f>D70-F70</f>
        <v>-207403402.94999999</v>
      </c>
      <c r="J70" s="414">
        <f>IF(F70=0,0,H70/F70)</f>
        <v>-1</v>
      </c>
    </row>
    <row r="71" spans="2:10" ht="13.5" x14ac:dyDescent="0.25">
      <c r="B71" s="2876" t="s">
        <v>987</v>
      </c>
      <c r="C71" s="2876"/>
      <c r="D71" s="651">
        <f>'906-6B'!J69</f>
        <v>0</v>
      </c>
      <c r="F71" s="393">
        <f>HLOOKUP($C$5,PriorYr906!$J$9:$K$87,61,FALSE)</f>
        <v>0</v>
      </c>
      <c r="H71" s="413">
        <f>D71-F71</f>
        <v>0</v>
      </c>
      <c r="J71" s="414">
        <f>IF(F71=0,0,H71/F71)</f>
        <v>0</v>
      </c>
    </row>
    <row r="72" spans="2:10" ht="13.5" x14ac:dyDescent="0.25">
      <c r="B72" s="2876" t="s">
        <v>988</v>
      </c>
      <c r="C72" s="2876"/>
      <c r="D72" s="652">
        <f>SUM(D70:D71)</f>
        <v>0</v>
      </c>
      <c r="F72" s="706">
        <f>SUM(F70:F71)</f>
        <v>207403402.94999999</v>
      </c>
      <c r="H72" s="413">
        <f>D72-F72</f>
        <v>-207403402.94999999</v>
      </c>
      <c r="J72" s="414">
        <f>IF(F72=0,0,H72/F72)</f>
        <v>-1</v>
      </c>
    </row>
    <row r="73" spans="2:10" ht="13.5" x14ac:dyDescent="0.25">
      <c r="B73" s="647" t="s">
        <v>465</v>
      </c>
      <c r="C73" s="398"/>
      <c r="F73" s="399"/>
      <c r="H73" s="413"/>
      <c r="J73" s="414"/>
    </row>
    <row r="74" spans="2:10" ht="13.5" x14ac:dyDescent="0.25">
      <c r="B74" s="2876" t="s">
        <v>989</v>
      </c>
      <c r="C74" s="2876"/>
      <c r="D74" s="649">
        <f>'906-6B'!J72</f>
        <v>0</v>
      </c>
      <c r="F74" s="393">
        <f>HLOOKUP($C$5,PriorYr906!$J$9:$K$87,64,FALSE)</f>
        <v>0</v>
      </c>
      <c r="H74" s="413">
        <f>D74-F74</f>
        <v>0</v>
      </c>
      <c r="J74" s="414">
        <f>IF(F74=0,0,H74/F74)</f>
        <v>0</v>
      </c>
    </row>
    <row r="75" spans="2:10" ht="13.5" x14ac:dyDescent="0.25">
      <c r="B75" s="2876" t="s">
        <v>990</v>
      </c>
      <c r="C75" s="2876"/>
      <c r="D75" s="649">
        <f>'906-6B'!J73</f>
        <v>0</v>
      </c>
      <c r="F75" s="393">
        <f>HLOOKUP($C$5,PriorYr906!$J$9:$K$87,65,FALSE)</f>
        <v>1247575.3400000001</v>
      </c>
      <c r="H75" s="413">
        <f>D75-F75</f>
        <v>-1247575.3400000001</v>
      </c>
      <c r="J75" s="414">
        <f>IF(F75=0,0,H75/F75)</f>
        <v>-1</v>
      </c>
    </row>
    <row r="76" spans="2:10" ht="13.5" x14ac:dyDescent="0.25">
      <c r="B76" s="2876" t="s">
        <v>991</v>
      </c>
      <c r="C76" s="2876"/>
      <c r="D76" s="651">
        <f>'906-6B'!J74</f>
        <v>0</v>
      </c>
      <c r="F76" s="393">
        <f>HLOOKUP($C$5,PriorYr906!$J$9:$K$87,66,FALSE)</f>
        <v>24399.67</v>
      </c>
      <c r="H76" s="413">
        <f>D76-F76</f>
        <v>-24399.67</v>
      </c>
      <c r="J76" s="414">
        <f>IF(F76=0,0,H76/F76)</f>
        <v>-1</v>
      </c>
    </row>
    <row r="77" spans="2:10" ht="13.5" x14ac:dyDescent="0.25">
      <c r="B77" s="2876" t="s">
        <v>992</v>
      </c>
      <c r="C77" s="2876"/>
      <c r="D77" s="655">
        <f>SUM(D74:D76)</f>
        <v>0</v>
      </c>
      <c r="F77" s="706">
        <f>SUM(F74:F76)</f>
        <v>1271975.01</v>
      </c>
      <c r="H77" s="413"/>
      <c r="J77" s="414"/>
    </row>
    <row r="78" spans="2:10" ht="13.5" x14ac:dyDescent="0.25">
      <c r="B78" s="2876" t="s">
        <v>466</v>
      </c>
      <c r="C78" s="2876"/>
      <c r="D78" s="402">
        <f>D68+D72+D77</f>
        <v>0</v>
      </c>
      <c r="F78" s="706">
        <f>F68+F72+F77</f>
        <v>292945605.36000001</v>
      </c>
      <c r="H78" s="413">
        <f>D78-F78</f>
        <v>-292945605.36000001</v>
      </c>
      <c r="J78" s="414">
        <f>IF(F78=0,0,H78/F78)</f>
        <v>-1</v>
      </c>
    </row>
    <row r="79" spans="2:10" ht="13.5" x14ac:dyDescent="0.25">
      <c r="B79" s="398"/>
      <c r="C79" s="398"/>
      <c r="D79" s="656"/>
      <c r="F79" s="398"/>
      <c r="H79" s="413"/>
      <c r="J79" s="414"/>
    </row>
    <row r="80" spans="2:10" ht="13.5" x14ac:dyDescent="0.25">
      <c r="B80" s="407" t="s">
        <v>467</v>
      </c>
      <c r="C80" s="407"/>
      <c r="F80" s="398"/>
      <c r="H80" s="413"/>
      <c r="J80" s="414"/>
    </row>
    <row r="81" spans="2:10" ht="13.5" x14ac:dyDescent="0.25">
      <c r="B81" s="2876" t="s">
        <v>1171</v>
      </c>
      <c r="C81" s="2876"/>
      <c r="D81" s="649">
        <f>'906-6B'!J79</f>
        <v>0</v>
      </c>
      <c r="F81" s="393">
        <f>HLOOKUP($C$5,PriorYr906!$J$9:$K$87,71,FALSE)</f>
        <v>81117303.370000005</v>
      </c>
      <c r="H81" s="413">
        <f t="shared" ref="H81:H88" si="4">D81-F81</f>
        <v>-81117303.370000005</v>
      </c>
      <c r="J81" s="414">
        <f>IF(F81=0,0,H81/F81)</f>
        <v>-1</v>
      </c>
    </row>
    <row r="82" spans="2:10" ht="13.5" x14ac:dyDescent="0.25">
      <c r="B82" s="2876" t="s">
        <v>468</v>
      </c>
      <c r="C82" s="2876"/>
      <c r="D82" s="649">
        <f>'906-6B'!J80</f>
        <v>0</v>
      </c>
      <c r="F82" s="393">
        <f>HLOOKUP($C$5,PriorYr906!$J$9:$K$87,72,FALSE)</f>
        <v>0</v>
      </c>
      <c r="H82" s="413">
        <f t="shared" si="4"/>
        <v>0</v>
      </c>
      <c r="J82" s="414">
        <f t="shared" ref="J82:J88" si="5">IF(F82=0,0,H82/F82)</f>
        <v>0</v>
      </c>
    </row>
    <row r="83" spans="2:10" ht="13.5" x14ac:dyDescent="0.25">
      <c r="B83" s="2876" t="s">
        <v>469</v>
      </c>
      <c r="C83" s="2876"/>
      <c r="D83" s="649">
        <f>'906-6B'!J81</f>
        <v>0</v>
      </c>
      <c r="F83" s="393">
        <f>HLOOKUP($C$5,PriorYr906!$J$9:$K$87,73,FALSE)</f>
        <v>2119514.67</v>
      </c>
      <c r="H83" s="413">
        <f t="shared" si="4"/>
        <v>-2119514.67</v>
      </c>
      <c r="J83" s="414">
        <f t="shared" si="5"/>
        <v>-1</v>
      </c>
    </row>
    <row r="84" spans="2:10" ht="13.5" x14ac:dyDescent="0.25">
      <c r="B84" s="2876" t="s">
        <v>470</v>
      </c>
      <c r="C84" s="2876"/>
      <c r="D84" s="651">
        <f>'906-6B'!J82</f>
        <v>0</v>
      </c>
      <c r="F84" s="393">
        <f>HLOOKUP($C$5,PriorYr906!$J$9:$K$87,74,FALSE)</f>
        <v>0</v>
      </c>
      <c r="H84" s="413">
        <f t="shared" si="4"/>
        <v>0</v>
      </c>
      <c r="J84" s="414">
        <f t="shared" si="5"/>
        <v>0</v>
      </c>
    </row>
    <row r="85" spans="2:10" ht="13.5" x14ac:dyDescent="0.25">
      <c r="B85" s="2876" t="s">
        <v>504</v>
      </c>
      <c r="C85" s="2876"/>
      <c r="D85" s="404">
        <f>SUM(D81:D84)</f>
        <v>0</v>
      </c>
      <c r="F85" s="706">
        <f>SUM(F81:F84)</f>
        <v>83236818.040000007</v>
      </c>
      <c r="H85" s="413">
        <f t="shared" si="4"/>
        <v>-83236818.040000007</v>
      </c>
      <c r="J85" s="414">
        <f t="shared" si="5"/>
        <v>-1</v>
      </c>
    </row>
    <row r="86" spans="2:10" ht="13.5" x14ac:dyDescent="0.25">
      <c r="B86" s="2876" t="s">
        <v>993</v>
      </c>
      <c r="C86" s="2876"/>
      <c r="D86" s="1252">
        <f>D78-D85</f>
        <v>0</v>
      </c>
      <c r="F86" s="1252">
        <f>F78-F85</f>
        <v>209708787.31999999</v>
      </c>
      <c r="H86" s="413">
        <f t="shared" si="4"/>
        <v>-209708787.31999999</v>
      </c>
      <c r="J86" s="414">
        <f t="shared" si="5"/>
        <v>-1</v>
      </c>
    </row>
    <row r="87" spans="2:10" ht="13.5" x14ac:dyDescent="0.25">
      <c r="B87" s="2876" t="s">
        <v>3485</v>
      </c>
      <c r="C87" s="2876"/>
      <c r="D87" s="1065">
        <f>'906-6B'!J85</f>
        <v>1796027273.3099999</v>
      </c>
      <c r="F87" s="1065">
        <f>HLOOKUP($C$5,PriorYr906!$J$9:$K$87,77,FALSE)</f>
        <v>1586318485.99</v>
      </c>
      <c r="H87" s="413">
        <f t="shared" si="4"/>
        <v>209708787.31999999</v>
      </c>
      <c r="J87" s="414">
        <f t="shared" si="5"/>
        <v>0.13220000000000001</v>
      </c>
    </row>
    <row r="88" spans="2:10" ht="13.5" x14ac:dyDescent="0.25">
      <c r="B88" s="2876" t="s">
        <v>1054</v>
      </c>
      <c r="C88" s="2876"/>
      <c r="D88" s="649">
        <f>'906-6B'!J86</f>
        <v>0</v>
      </c>
      <c r="F88" s="393">
        <f>HLOOKUP($C$5,PriorYr906!$J$9:$K$87,78,FALSE)</f>
        <v>0</v>
      </c>
      <c r="H88" s="413">
        <f t="shared" si="4"/>
        <v>0</v>
      </c>
      <c r="J88" s="414">
        <f t="shared" si="5"/>
        <v>0</v>
      </c>
    </row>
    <row r="89" spans="2:10" ht="13.5" thickBot="1" x14ac:dyDescent="0.25">
      <c r="B89" s="2876" t="s">
        <v>3486</v>
      </c>
      <c r="C89" s="2876"/>
      <c r="D89" s="405">
        <f>SUM(D86:D88)</f>
        <v>1796027273.3099999</v>
      </c>
      <c r="F89" s="708">
        <f>SUM(F86:F88)</f>
        <v>1796027273.3099999</v>
      </c>
    </row>
    <row r="90" spans="2:10" ht="13.5" thickTop="1" x14ac:dyDescent="0.2">
      <c r="F90" s="403"/>
    </row>
    <row r="91" spans="2:10" x14ac:dyDescent="0.2">
      <c r="B91" s="349" t="s">
        <v>3487</v>
      </c>
      <c r="C91" s="657"/>
      <c r="D91" s="406" t="str">
        <f>IF(D58=D89,"In Bal.","NOT")</f>
        <v>NOT</v>
      </c>
      <c r="F91" s="406" t="str">
        <f>IF(F58=F89,"In Bal.","NOT")</f>
        <v>In Bal.</v>
      </c>
    </row>
    <row r="92" spans="2:10" x14ac:dyDescent="0.2">
      <c r="B92" s="398"/>
      <c r="C92" s="398"/>
    </row>
    <row r="93" spans="2:10" x14ac:dyDescent="0.2">
      <c r="B93" s="335" t="s">
        <v>4947</v>
      </c>
      <c r="C93" s="272"/>
      <c r="D93" s="272"/>
      <c r="E93" s="272"/>
      <c r="F93" s="272"/>
      <c r="G93" s="272"/>
      <c r="H93" s="272"/>
      <c r="I93" s="272"/>
      <c r="J93" s="272"/>
    </row>
    <row r="94" spans="2:10" x14ac:dyDescent="0.2">
      <c r="B94" s="339" t="s">
        <v>4948</v>
      </c>
    </row>
  </sheetData>
  <sheetProtection algorithmName="SHA-512" hashValue="JiAUrjH6ObGSRSpblxuuBORJ29QGJMSy27e1ua0ESI+NxSaHmP0YFKXSFPUAMEgEAWZx4PjE2s61vi8jJF2l0g==" saltValue="D1r6XiyJmb0OGKxcG1Pv+A==" spinCount="100000" sheet="1" objects="1" scenarios="1" autoFilter="0"/>
  <customSheetViews>
    <customSheetView guid="{B08879A4-635B-4C39-9937-AC7883D562FC}" showGridLines="0" fitToPage="1">
      <selection activeCell="F9" sqref="F9"/>
      <pageMargins left="0.75" right="0.5" top="0.5" bottom="0.5" header="0.5" footer="0.25"/>
      <pageSetup scale="86" fitToHeight="2" orientation="portrait" r:id="rId1"/>
      <headerFooter alignWithMargins="0">
        <oddFooter>&amp;R&amp;A (&amp;P of &amp;N)</oddFooter>
      </headerFooter>
    </customSheetView>
    <customSheetView guid="{9FCFC836-1CA5-48BF-958D-24D2EA94B219}" showGridLines="0" fitToPage="1">
      <selection activeCell="F9" sqref="F9"/>
      <pageMargins left="0.75" right="0.5" top="0.5" bottom="0.5" header="0.5" footer="0.25"/>
      <pageSetup scale="86" fitToHeight="2" orientation="portrait" r:id="rId2"/>
      <headerFooter alignWithMargins="0">
        <oddFooter>&amp;R&amp;A (&amp;P of &amp;N)</oddFooter>
      </headerFooter>
    </customSheetView>
  </customSheetViews>
  <mergeCells count="67">
    <mergeCell ref="B89:C89"/>
    <mergeCell ref="B65:C65"/>
    <mergeCell ref="B77:C77"/>
    <mergeCell ref="B74:C74"/>
    <mergeCell ref="B72:C72"/>
    <mergeCell ref="B75:C75"/>
    <mergeCell ref="B76:C76"/>
    <mergeCell ref="B67:C67"/>
    <mergeCell ref="B68:C68"/>
    <mergeCell ref="B70:C70"/>
    <mergeCell ref="B71:C71"/>
    <mergeCell ref="B88:C88"/>
    <mergeCell ref="B34:C34"/>
    <mergeCell ref="B31:C31"/>
    <mergeCell ref="B41:C41"/>
    <mergeCell ref="B45:C45"/>
    <mergeCell ref="B87:C87"/>
    <mergeCell ref="B78:C78"/>
    <mergeCell ref="B81:C81"/>
    <mergeCell ref="B82:C82"/>
    <mergeCell ref="B35:C35"/>
    <mergeCell ref="B86:C86"/>
    <mergeCell ref="B84:C84"/>
    <mergeCell ref="B85:C85"/>
    <mergeCell ref="B83:C83"/>
    <mergeCell ref="B40:C40"/>
    <mergeCell ref="B46:C46"/>
    <mergeCell ref="B66:C66"/>
    <mergeCell ref="B38:C38"/>
    <mergeCell ref="B36:C36"/>
    <mergeCell ref="B39:C39"/>
    <mergeCell ref="B37:C37"/>
    <mergeCell ref="B48:C48"/>
    <mergeCell ref="B47:C47"/>
    <mergeCell ref="B53:C53"/>
    <mergeCell ref="B57:C57"/>
    <mergeCell ref="B64:C64"/>
    <mergeCell ref="B49:C49"/>
    <mergeCell ref="B50:C50"/>
    <mergeCell ref="B51:C51"/>
    <mergeCell ref="B52:C52"/>
    <mergeCell ref="B58:C58"/>
    <mergeCell ref="B16:C16"/>
    <mergeCell ref="B17:C17"/>
    <mergeCell ref="B18:C18"/>
    <mergeCell ref="B33:C33"/>
    <mergeCell ref="B23:C23"/>
    <mergeCell ref="B24:C24"/>
    <mergeCell ref="B20:C20"/>
    <mergeCell ref="B27:C27"/>
    <mergeCell ref="B22:C22"/>
    <mergeCell ref="B28:C28"/>
    <mergeCell ref="B25:C25"/>
    <mergeCell ref="B19:C19"/>
    <mergeCell ref="B21:C21"/>
    <mergeCell ref="B30:C30"/>
    <mergeCell ref="B26:C26"/>
    <mergeCell ref="B29:C29"/>
    <mergeCell ref="B15:C15"/>
    <mergeCell ref="L1:L3"/>
    <mergeCell ref="B13:C13"/>
    <mergeCell ref="C6:D6"/>
    <mergeCell ref="G5:J5"/>
    <mergeCell ref="B1:K1"/>
    <mergeCell ref="B2:K2"/>
    <mergeCell ref="B3:K3"/>
    <mergeCell ref="H7:J7"/>
  </mergeCells>
  <phoneticPr fontId="15" type="noConversion"/>
  <conditionalFormatting sqref="L1:L3">
    <cfRule type="cellIs" dxfId="4" priority="1" stopIfTrue="1" operator="equal">
      <formula>"na"</formula>
    </cfRule>
  </conditionalFormatting>
  <dataValidations disablePrompts="1" count="1">
    <dataValidation type="textLength" operator="equal" allowBlank="1" showInputMessage="1" showErrorMessage="1" errorTitle="Invalid data!" error="GASB number must be 4 digits." sqref="E7" xr:uid="{00000000-0002-0000-5300-000000000000}">
      <formula1>4</formula1>
    </dataValidation>
  </dataValidations>
  <hyperlinks>
    <hyperlink ref="B1:J1" location="Index!A1" display="Index!A1" xr:uid="{00000000-0004-0000-5300-000000000000}"/>
  </hyperlinks>
  <pageMargins left="0.75" right="0.5" top="0.5" bottom="0.5" header="0.5" footer="0.25"/>
  <pageSetup scale="84" fitToHeight="2" orientation="portrait" r:id="rId3"/>
  <headerFooter alignWithMargins="0">
    <oddFooter>&amp;R&amp;A (&amp;P of &amp;N)</oddFooter>
  </headerFooter>
  <rowBreaks count="1" manualBreakCount="1">
    <brk id="61" max="1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1"/>
  <dimension ref="A1:W94"/>
  <sheetViews>
    <sheetView showGridLines="0" zoomScaleNormal="100" workbookViewId="0">
      <selection sqref="A1:K1"/>
    </sheetView>
  </sheetViews>
  <sheetFormatPr defaultColWidth="9.42578125" defaultRowHeight="12.75" x14ac:dyDescent="0.2"/>
  <cols>
    <col min="1" max="1" width="4.42578125" customWidth="1"/>
    <col min="2" max="2" width="15.42578125" customWidth="1"/>
    <col min="3" max="3" width="21.42578125" customWidth="1"/>
    <col min="4" max="4" width="19.42578125" style="649" customWidth="1"/>
    <col min="5" max="5" width="1.5703125" customWidth="1"/>
    <col min="6" max="6" width="17.5703125" style="649" customWidth="1"/>
    <col min="7" max="7" width="1.42578125" customWidth="1"/>
    <col min="8" max="8" width="15.5703125" customWidth="1"/>
    <col min="9" max="9" width="1.42578125" customWidth="1"/>
    <col min="10" max="10" width="7.5703125" customWidth="1"/>
    <col min="11" max="11" width="1.42578125" customWidth="1"/>
    <col min="12" max="12" width="4.5703125" customWidth="1"/>
  </cols>
  <sheetData>
    <row r="1" spans="1:23" ht="15.75" x14ac:dyDescent="0.25">
      <c r="B1" s="2449" t="str">
        <f>+Index!$A$1</f>
        <v xml:space="preserve">                                                               Office of the State Controller                                                                </v>
      </c>
      <c r="C1" s="2449"/>
      <c r="D1" s="2449"/>
      <c r="E1" s="2449"/>
      <c r="F1" s="2449"/>
      <c r="G1" s="2449"/>
      <c r="H1" s="2449"/>
      <c r="I1" s="2449"/>
      <c r="J1" s="2449"/>
      <c r="K1" s="2449"/>
      <c r="L1" s="2450" t="str">
        <f>IF(Index!$B$111="na","NA","")</f>
        <v/>
      </c>
      <c r="M1" s="622"/>
      <c r="O1" s="622"/>
      <c r="P1" s="622"/>
      <c r="Q1" s="622"/>
      <c r="R1" s="622"/>
      <c r="S1" s="622"/>
      <c r="T1" s="622"/>
      <c r="U1" s="622"/>
      <c r="V1" s="622"/>
    </row>
    <row r="2" spans="1:23" ht="16.5" x14ac:dyDescent="0.3">
      <c r="B2" s="2431" t="str">
        <f>+Index!$A$2</f>
        <v>2022 ACFR Worksheets</v>
      </c>
      <c r="C2" s="2431"/>
      <c r="D2" s="2431"/>
      <c r="E2" s="2431"/>
      <c r="F2" s="2431"/>
      <c r="G2" s="2431"/>
      <c r="H2" s="2431"/>
      <c r="I2" s="2431"/>
      <c r="J2" s="2431"/>
      <c r="K2" s="2431"/>
      <c r="L2" s="2450"/>
      <c r="M2" s="281"/>
      <c r="O2" s="632"/>
      <c r="P2" s="632"/>
      <c r="Q2" s="632"/>
      <c r="R2" s="632"/>
      <c r="S2" s="632"/>
      <c r="T2" s="632"/>
      <c r="U2" s="632"/>
      <c r="V2" s="632"/>
    </row>
    <row r="3" spans="1:23" ht="16.5" x14ac:dyDescent="0.3">
      <c r="B3" s="2993" t="s">
        <v>3815</v>
      </c>
      <c r="C3" s="2993"/>
      <c r="D3" s="2993"/>
      <c r="E3" s="2993"/>
      <c r="F3" s="2993"/>
      <c r="G3" s="2993"/>
      <c r="H3" s="2993"/>
      <c r="I3" s="2993"/>
      <c r="J3" s="2993"/>
      <c r="K3" s="2993"/>
      <c r="L3" s="2450"/>
      <c r="M3" s="637"/>
      <c r="O3" s="632"/>
      <c r="P3" s="632"/>
      <c r="Q3" s="632"/>
      <c r="R3" s="632"/>
      <c r="S3" s="632"/>
      <c r="T3" s="632"/>
      <c r="U3" s="632"/>
      <c r="V3" s="632"/>
    </row>
    <row r="4" spans="1:23" x14ac:dyDescent="0.2">
      <c r="A4" s="1367" t="s">
        <v>3492</v>
      </c>
      <c r="B4" s="1305"/>
      <c r="C4" s="1305"/>
      <c r="D4" s="1305"/>
      <c r="F4"/>
      <c r="J4" s="393"/>
    </row>
    <row r="5" spans="1:23" s="200" customFormat="1" ht="15" customHeight="1" x14ac:dyDescent="0.2">
      <c r="B5" s="200" t="s">
        <v>327</v>
      </c>
      <c r="C5" s="639" t="s">
        <v>149</v>
      </c>
      <c r="F5" s="806" t="s">
        <v>972</v>
      </c>
      <c r="G5" s="2986" t="str">
        <f>+CONCATENATE(Index!$E$12," ",Index!$E$14)</f>
        <v xml:space="preserve"> </v>
      </c>
      <c r="H5" s="2986"/>
      <c r="I5" s="2986"/>
      <c r="J5" s="2986"/>
      <c r="K5"/>
      <c r="L5"/>
      <c r="M5"/>
      <c r="O5" s="633"/>
      <c r="W5" s="199"/>
    </row>
    <row r="6" spans="1:23" s="200" customFormat="1" ht="15" customHeight="1" x14ac:dyDescent="0.2">
      <c r="B6" s="200" t="s">
        <v>1154</v>
      </c>
      <c r="C6" s="3010" t="s">
        <v>1020</v>
      </c>
      <c r="D6" s="3010"/>
      <c r="F6" s="633"/>
      <c r="G6" s="633"/>
      <c r="O6" s="634"/>
      <c r="P6" s="634"/>
      <c r="Q6" s="634"/>
      <c r="R6" s="634"/>
      <c r="S6" s="634"/>
      <c r="T6" s="634"/>
      <c r="U6" s="634"/>
      <c r="V6" s="201"/>
      <c r="W6" s="199"/>
    </row>
    <row r="7" spans="1:23" s="200" customFormat="1" ht="15" customHeight="1" x14ac:dyDescent="0.2">
      <c r="B7" s="200" t="s">
        <v>477</v>
      </c>
      <c r="C7" s="1066" t="s">
        <v>3489</v>
      </c>
      <c r="E7" s="633"/>
      <c r="F7" s="806" t="s">
        <v>348</v>
      </c>
      <c r="H7" s="2986">
        <f>+Index!$E$13</f>
        <v>0</v>
      </c>
      <c r="I7" s="2986"/>
      <c r="J7" s="2986"/>
      <c r="W7" s="199"/>
    </row>
    <row r="8" spans="1:23" s="38" customFormat="1" ht="12" customHeight="1" thickBot="1" x14ac:dyDescent="0.25">
      <c r="B8" s="129"/>
      <c r="C8" s="129"/>
      <c r="D8" s="129"/>
      <c r="E8" s="129"/>
      <c r="F8" s="129"/>
      <c r="G8" s="129"/>
      <c r="H8" s="129"/>
      <c r="I8" s="129"/>
      <c r="J8" s="129"/>
      <c r="K8" s="129"/>
      <c r="L8" s="122"/>
      <c r="M8" s="122"/>
    </row>
    <row r="9" spans="1:23" x14ac:dyDescent="0.2">
      <c r="D9" s="1231" t="s">
        <v>3488</v>
      </c>
      <c r="F9" s="1231" t="s">
        <v>1747</v>
      </c>
    </row>
    <row r="10" spans="1:23" ht="12.75" customHeight="1" x14ac:dyDescent="0.25">
      <c r="B10" s="392"/>
      <c r="C10" s="392"/>
      <c r="D10" s="408" t="str">
        <f>CONCATENATE("FY",YEAR(Data!$A$3),"-",YEAR(Data!$A$2))</f>
        <v>FY2021-2022</v>
      </c>
      <c r="E10" s="409"/>
      <c r="F10" s="408" t="str">
        <f>CONCATENATE("FY",YEAR(Data!$A$3)-1,"-",YEAR(Data!$A$2)-1)</f>
        <v>FY2020-2021</v>
      </c>
      <c r="G10" s="410"/>
      <c r="H10" s="408" t="s">
        <v>478</v>
      </c>
      <c r="I10" s="411"/>
      <c r="J10" s="412" t="s">
        <v>1012</v>
      </c>
      <c r="K10" s="411"/>
    </row>
    <row r="12" spans="1:23" x14ac:dyDescent="0.2">
      <c r="B12" s="648" t="s">
        <v>303</v>
      </c>
      <c r="C12" s="394"/>
    </row>
    <row r="13" spans="1:23" ht="13.5" x14ac:dyDescent="0.25">
      <c r="B13" s="3009" t="s">
        <v>630</v>
      </c>
      <c r="C13" s="3009"/>
      <c r="D13" s="650">
        <f>'906-6C'!J11</f>
        <v>0</v>
      </c>
      <c r="F13" s="842">
        <f>HLOOKUP($C$5,PriorYr906!$J$9:$K$87,3,FALSE)</f>
        <v>0</v>
      </c>
      <c r="H13" s="413">
        <f>D13-F13</f>
        <v>0</v>
      </c>
      <c r="J13" s="414">
        <f>IF(F13=0,0,H13/F13)</f>
        <v>0</v>
      </c>
    </row>
    <row r="14" spans="1:23" ht="13.5" x14ac:dyDescent="0.25">
      <c r="B14" s="567" t="s">
        <v>483</v>
      </c>
      <c r="C14" s="643"/>
      <c r="D14" s="650"/>
      <c r="F14" s="690"/>
      <c r="H14" s="413"/>
      <c r="J14" s="414"/>
    </row>
    <row r="15" spans="1:23" ht="13.5" x14ac:dyDescent="0.25">
      <c r="B15" s="2876" t="s">
        <v>1219</v>
      </c>
      <c r="C15" s="3009"/>
      <c r="D15" s="649">
        <f>'906-6C'!J13</f>
        <v>0</v>
      </c>
      <c r="F15" s="393">
        <f>HLOOKUP($C$5,PriorYr906!$J$9:$K$87,5,FALSE)</f>
        <v>0</v>
      </c>
      <c r="H15" s="413">
        <f>D15-F15</f>
        <v>0</v>
      </c>
      <c r="J15" s="414">
        <f>IF(F15=0,0,H15/F15)</f>
        <v>0</v>
      </c>
    </row>
    <row r="16" spans="1:23" ht="13.5" x14ac:dyDescent="0.25">
      <c r="B16" s="2876" t="s">
        <v>1221</v>
      </c>
      <c r="C16" s="3009"/>
      <c r="D16" s="649">
        <f>'906-6C'!J14</f>
        <v>0</v>
      </c>
      <c r="F16" s="393">
        <f>HLOOKUP($C$5,PriorYr906!$J$9:$K$87,6,FALSE)</f>
        <v>0</v>
      </c>
      <c r="H16" s="413">
        <f t="shared" ref="H16:H40" si="0">D16-F16</f>
        <v>0</v>
      </c>
      <c r="J16" s="414">
        <f t="shared" ref="J16:J40" si="1">IF(F16=0,0,H16/F16)</f>
        <v>0</v>
      </c>
    </row>
    <row r="17" spans="2:10" ht="13.5" x14ac:dyDescent="0.25">
      <c r="B17" s="2876" t="s">
        <v>1222</v>
      </c>
      <c r="C17" s="3009"/>
      <c r="D17" s="649">
        <f>'906-6C'!J15</f>
        <v>0</v>
      </c>
      <c r="F17" s="393">
        <f>HLOOKUP($C$5,PriorYr906!$J$9:$K$87,7,FALSE)</f>
        <v>0</v>
      </c>
      <c r="H17" s="413">
        <f t="shared" si="0"/>
        <v>0</v>
      </c>
      <c r="J17" s="414">
        <f t="shared" si="1"/>
        <v>0</v>
      </c>
    </row>
    <row r="18" spans="2:10" ht="13.5" x14ac:dyDescent="0.25">
      <c r="B18" s="2876" t="s">
        <v>1220</v>
      </c>
      <c r="C18" s="2876"/>
      <c r="D18" s="649">
        <f>'906-6C'!J16</f>
        <v>0</v>
      </c>
      <c r="F18" s="393">
        <f>HLOOKUP($C$5,PriorYr906!$J$9:$K$87,8,FALSE)</f>
        <v>0</v>
      </c>
      <c r="H18" s="413">
        <f t="shared" si="0"/>
        <v>0</v>
      </c>
      <c r="J18" s="414">
        <f t="shared" si="1"/>
        <v>0</v>
      </c>
    </row>
    <row r="19" spans="2:10" ht="13.5" x14ac:dyDescent="0.25">
      <c r="B19" s="2876" t="s">
        <v>1215</v>
      </c>
      <c r="C19" s="2876"/>
      <c r="D19" s="649">
        <f>'906-6C'!J17</f>
        <v>0</v>
      </c>
      <c r="F19" s="393">
        <f>HLOOKUP($C$5,PriorYr906!$J$9:$K$87,9,FALSE)</f>
        <v>0</v>
      </c>
      <c r="H19" s="413">
        <f t="shared" si="0"/>
        <v>0</v>
      </c>
      <c r="J19" s="414">
        <f t="shared" si="1"/>
        <v>0</v>
      </c>
    </row>
    <row r="20" spans="2:10" ht="13.5" x14ac:dyDescent="0.25">
      <c r="B20" s="2876" t="s">
        <v>1566</v>
      </c>
      <c r="C20" s="2876"/>
      <c r="D20" s="649">
        <f>'906-6C'!J18</f>
        <v>0</v>
      </c>
      <c r="F20" s="393">
        <f>HLOOKUP($C$5,PriorYr906!$J$9:$K$87,10,FALSE)</f>
        <v>0</v>
      </c>
      <c r="H20" s="413">
        <f>D20-F20</f>
        <v>0</v>
      </c>
      <c r="J20" s="414">
        <f>IF(F20=0,0,H20/F20)</f>
        <v>0</v>
      </c>
    </row>
    <row r="21" spans="2:10" ht="13.5" x14ac:dyDescent="0.25">
      <c r="B21" s="2876" t="s">
        <v>1216</v>
      </c>
      <c r="C21" s="2876"/>
      <c r="D21" s="649">
        <f>'906-6C'!J19</f>
        <v>0</v>
      </c>
      <c r="F21" s="393">
        <f>HLOOKUP($C$5,PriorYr906!$J$9:$K$87,11,FALSE)</f>
        <v>0</v>
      </c>
      <c r="H21" s="413">
        <f t="shared" si="0"/>
        <v>0</v>
      </c>
      <c r="J21" s="414">
        <f t="shared" si="1"/>
        <v>0</v>
      </c>
    </row>
    <row r="22" spans="2:10" ht="13.5" x14ac:dyDescent="0.25">
      <c r="B22" s="2876" t="s">
        <v>492</v>
      </c>
      <c r="C22" s="2876"/>
      <c r="D22" s="649">
        <f>'906-6C'!J20</f>
        <v>0</v>
      </c>
      <c r="F22" s="393">
        <f>HLOOKUP($C$5,PriorYr906!$J$9:$K$87,12,FALSE)</f>
        <v>0</v>
      </c>
      <c r="H22" s="413">
        <f t="shared" si="0"/>
        <v>0</v>
      </c>
      <c r="J22" s="414">
        <f t="shared" si="1"/>
        <v>0</v>
      </c>
    </row>
    <row r="23" spans="2:10" ht="13.5" x14ac:dyDescent="0.25">
      <c r="B23" s="2876" t="s">
        <v>487</v>
      </c>
      <c r="C23" s="2876"/>
      <c r="D23" s="649">
        <f>'906-6C'!J21</f>
        <v>0</v>
      </c>
      <c r="F23" s="393">
        <f>HLOOKUP($C$5,PriorYr906!$J$9:$K$87,13,FALSE)</f>
        <v>0</v>
      </c>
      <c r="H23" s="413">
        <f t="shared" si="0"/>
        <v>0</v>
      </c>
      <c r="J23" s="414">
        <f t="shared" si="1"/>
        <v>0</v>
      </c>
    </row>
    <row r="24" spans="2:10" ht="13.5" x14ac:dyDescent="0.25">
      <c r="B24" s="2876" t="s">
        <v>491</v>
      </c>
      <c r="C24" s="2876"/>
      <c r="D24" s="649">
        <f>'906-6C'!J22</f>
        <v>0</v>
      </c>
      <c r="F24" s="393">
        <f>HLOOKUP($C$5,PriorYr906!$J$9:$K$87,14,FALSE)</f>
        <v>0</v>
      </c>
      <c r="H24" s="413">
        <f t="shared" si="0"/>
        <v>0</v>
      </c>
      <c r="J24" s="414">
        <f t="shared" si="1"/>
        <v>0</v>
      </c>
    </row>
    <row r="25" spans="2:10" ht="13.5" x14ac:dyDescent="0.25">
      <c r="B25" s="2876" t="s">
        <v>495</v>
      </c>
      <c r="C25" s="2876"/>
      <c r="D25" s="649">
        <f>'906-6C'!J23</f>
        <v>0</v>
      </c>
      <c r="F25" s="393">
        <f>HLOOKUP($C$5,PriorYr906!$J$9:$K$87,15,FALSE)</f>
        <v>0</v>
      </c>
      <c r="H25" s="413">
        <f t="shared" si="0"/>
        <v>0</v>
      </c>
      <c r="J25" s="414">
        <f t="shared" si="1"/>
        <v>0</v>
      </c>
    </row>
    <row r="26" spans="2:10" ht="13.5" x14ac:dyDescent="0.25">
      <c r="B26" s="2876" t="s">
        <v>1845</v>
      </c>
      <c r="C26" s="2876"/>
      <c r="D26" s="649">
        <f>'906-6C'!J24</f>
        <v>0</v>
      </c>
      <c r="F26" s="393">
        <f>HLOOKUP($C$5,PriorYr906!$J$9:$K$87,16,FALSE)</f>
        <v>40136965.57</v>
      </c>
      <c r="H26" s="413">
        <f t="shared" si="0"/>
        <v>-40136965.57</v>
      </c>
      <c r="J26" s="414">
        <f t="shared" si="1"/>
        <v>-1</v>
      </c>
    </row>
    <row r="27" spans="2:10" ht="13.5" x14ac:dyDescent="0.25">
      <c r="B27" s="2876" t="s">
        <v>1681</v>
      </c>
      <c r="C27" s="2876"/>
      <c r="D27" s="649">
        <f>'906-6C'!J25</f>
        <v>0</v>
      </c>
      <c r="F27" s="393">
        <f>HLOOKUP($C$5,PriorYr906!$J$9:$K$87,17,FALSE)</f>
        <v>0</v>
      </c>
      <c r="H27" s="413">
        <f>D27-F27</f>
        <v>0</v>
      </c>
      <c r="J27" s="414">
        <f>IF(F27=0,0,H27/F27)</f>
        <v>0</v>
      </c>
    </row>
    <row r="28" spans="2:10" ht="13.5" x14ac:dyDescent="0.25">
      <c r="B28" s="2876" t="s">
        <v>1691</v>
      </c>
      <c r="C28" s="2876"/>
      <c r="D28" s="649">
        <f>'906-6C'!J26</f>
        <v>0</v>
      </c>
      <c r="F28" s="393">
        <f>HLOOKUP($C$5,PriorYr906!$J$9:$K$87,18,FALSE)</f>
        <v>204176145.34999999</v>
      </c>
      <c r="H28" s="413">
        <f>D28-F28</f>
        <v>-204176145.34999999</v>
      </c>
      <c r="J28" s="414">
        <f>IF(F28=0,0,H28/F28)</f>
        <v>-1</v>
      </c>
    </row>
    <row r="29" spans="2:10" ht="13.5" x14ac:dyDescent="0.25">
      <c r="B29" s="2876" t="s">
        <v>1692</v>
      </c>
      <c r="C29" s="2876"/>
      <c r="D29" s="649">
        <f>'906-6C'!J27</f>
        <v>0</v>
      </c>
      <c r="F29" s="393">
        <f>HLOOKUP($C$5,PriorYr906!$J$9:$K$87,19,FALSE)</f>
        <v>1725594767.3099999</v>
      </c>
      <c r="H29" s="413">
        <f>D29-F29</f>
        <v>-1725594767.3099999</v>
      </c>
      <c r="J29" s="414">
        <f>IF(F29=0,0,H29/F29)</f>
        <v>-1</v>
      </c>
    </row>
    <row r="30" spans="2:10" ht="13.5" x14ac:dyDescent="0.25">
      <c r="B30" s="2876" t="s">
        <v>1404</v>
      </c>
      <c r="C30" s="2876"/>
      <c r="D30" s="649">
        <f>'906-6C'!J28</f>
        <v>0</v>
      </c>
      <c r="F30" s="393">
        <f>HLOOKUP($C$5,PriorYr906!$J$9:$K$87,20,FALSE)</f>
        <v>10839205191.65</v>
      </c>
      <c r="H30" s="413">
        <f>D30-F30</f>
        <v>-10839205191.65</v>
      </c>
      <c r="J30" s="414">
        <f>IF(F30=0,0,H30/F30)</f>
        <v>-1</v>
      </c>
    </row>
    <row r="31" spans="2:10" ht="13.5" x14ac:dyDescent="0.25">
      <c r="B31" s="2876" t="s">
        <v>1403</v>
      </c>
      <c r="C31" s="2876"/>
      <c r="D31" s="649">
        <f>'906-6C'!J29</f>
        <v>0</v>
      </c>
      <c r="F31" s="393">
        <f>HLOOKUP($C$5,PriorYr906!$J$9:$K$87,21,FALSE)</f>
        <v>0</v>
      </c>
      <c r="H31" s="413">
        <f>D31-F31</f>
        <v>0</v>
      </c>
      <c r="J31" s="414">
        <f>IF(F31=0,0,H31/F31)</f>
        <v>0</v>
      </c>
    </row>
    <row r="32" spans="2:10" ht="13.5" x14ac:dyDescent="0.25">
      <c r="B32" s="567" t="s">
        <v>198</v>
      </c>
      <c r="C32" s="398"/>
      <c r="F32" s="393">
        <f>HLOOKUP($C$5,PriorYr906!$J$9:$K$87,22,FALSE)</f>
        <v>0</v>
      </c>
      <c r="H32" s="413"/>
      <c r="J32" s="414"/>
    </row>
    <row r="33" spans="2:10" ht="13.5" x14ac:dyDescent="0.25">
      <c r="B33" s="3014" t="s">
        <v>311</v>
      </c>
      <c r="C33" s="3014"/>
      <c r="D33" s="649">
        <f>'906-6C'!J31</f>
        <v>0</v>
      </c>
      <c r="F33" s="393">
        <f>HLOOKUP($C$5,PriorYr906!$J$9:$K$87,23,FALSE)</f>
        <v>3854.11</v>
      </c>
      <c r="H33" s="413">
        <f t="shared" si="0"/>
        <v>-3854.11</v>
      </c>
      <c r="J33" s="414">
        <f t="shared" si="1"/>
        <v>-1</v>
      </c>
    </row>
    <row r="34" spans="2:10" ht="13.5" x14ac:dyDescent="0.25">
      <c r="B34" s="3007" t="s">
        <v>200</v>
      </c>
      <c r="C34" s="3007"/>
      <c r="D34" s="649">
        <f>'906-6C'!J32</f>
        <v>0</v>
      </c>
      <c r="F34" s="393">
        <f>HLOOKUP($C$5,PriorYr906!$J$9:$K$87,24,FALSE)</f>
        <v>0</v>
      </c>
      <c r="H34" s="413">
        <f t="shared" si="0"/>
        <v>0</v>
      </c>
      <c r="J34" s="414">
        <f t="shared" si="1"/>
        <v>0</v>
      </c>
    </row>
    <row r="35" spans="2:10" ht="13.5" x14ac:dyDescent="0.25">
      <c r="B35" s="3007" t="s">
        <v>313</v>
      </c>
      <c r="C35" s="3007"/>
      <c r="D35" s="649">
        <f>'906-6C'!J33</f>
        <v>0</v>
      </c>
      <c r="F35" s="393">
        <f>HLOOKUP($C$5,PriorYr906!$J$9:$K$87,25,FALSE)</f>
        <v>9805776.3100000005</v>
      </c>
      <c r="H35" s="413">
        <f t="shared" si="0"/>
        <v>-9805776.3100000005</v>
      </c>
      <c r="J35" s="414">
        <f t="shared" si="1"/>
        <v>-1</v>
      </c>
    </row>
    <row r="36" spans="2:10" ht="13.5" x14ac:dyDescent="0.25">
      <c r="B36" s="2876" t="s">
        <v>549</v>
      </c>
      <c r="C36" s="2876"/>
      <c r="D36" s="649">
        <f>'906-6C'!J34</f>
        <v>0</v>
      </c>
      <c r="F36" s="393">
        <f>HLOOKUP($C$5,PriorYr906!$J$9:$K$87,26,FALSE)</f>
        <v>277902600.38999999</v>
      </c>
      <c r="H36" s="413">
        <f t="shared" si="0"/>
        <v>-277902600.38999999</v>
      </c>
      <c r="J36" s="414">
        <f t="shared" si="1"/>
        <v>-1</v>
      </c>
    </row>
    <row r="37" spans="2:10" ht="13.5" x14ac:dyDescent="0.25">
      <c r="B37" s="2876" t="s">
        <v>931</v>
      </c>
      <c r="C37" s="2876"/>
      <c r="D37" s="649">
        <f>'906-6C'!J35</f>
        <v>0</v>
      </c>
      <c r="F37" s="393">
        <f>HLOOKUP($C$5,PriorYr906!$J$9:$K$87,27,FALSE)</f>
        <v>0</v>
      </c>
      <c r="H37" s="413">
        <f t="shared" si="0"/>
        <v>0</v>
      </c>
      <c r="J37" s="414">
        <f t="shared" si="1"/>
        <v>0</v>
      </c>
    </row>
    <row r="38" spans="2:10" ht="13.5" x14ac:dyDescent="0.25">
      <c r="B38" s="2876" t="s">
        <v>1095</v>
      </c>
      <c r="C38" s="2876"/>
      <c r="D38" s="649">
        <f>'906-6C'!J36</f>
        <v>0</v>
      </c>
      <c r="F38" s="393">
        <f>HLOOKUP($C$5,PriorYr906!$J$9:$K$87,28,FALSE)</f>
        <v>0</v>
      </c>
      <c r="H38" s="413">
        <f t="shared" si="0"/>
        <v>0</v>
      </c>
      <c r="J38" s="414">
        <f t="shared" si="1"/>
        <v>0</v>
      </c>
    </row>
    <row r="39" spans="2:10" ht="13.5" x14ac:dyDescent="0.25">
      <c r="B39" s="2876" t="s">
        <v>590</v>
      </c>
      <c r="C39" s="2876"/>
      <c r="D39" s="649">
        <f>'906-6C'!J37</f>
        <v>0</v>
      </c>
      <c r="F39" s="393">
        <f>HLOOKUP($C$5,PriorYr906!$J$9:$K$87,29,FALSE)</f>
        <v>0</v>
      </c>
      <c r="H39" s="413">
        <f t="shared" si="0"/>
        <v>0</v>
      </c>
      <c r="J39" s="414">
        <f t="shared" si="1"/>
        <v>0</v>
      </c>
    </row>
    <row r="40" spans="2:10" ht="13.5" x14ac:dyDescent="0.25">
      <c r="B40" s="2876" t="s">
        <v>358</v>
      </c>
      <c r="C40" s="2876"/>
      <c r="D40" s="649">
        <f>'906-6C'!J38</f>
        <v>0</v>
      </c>
      <c r="F40" s="393">
        <f>HLOOKUP($C$5,PriorYr906!$J$9:$K$87,30,FALSE)</f>
        <v>0</v>
      </c>
      <c r="H40" s="413">
        <f t="shared" si="0"/>
        <v>0</v>
      </c>
      <c r="J40" s="414">
        <f t="shared" si="1"/>
        <v>0</v>
      </c>
    </row>
    <row r="41" spans="2:10" ht="13.5" x14ac:dyDescent="0.25">
      <c r="B41" s="2876" t="s">
        <v>272</v>
      </c>
      <c r="C41" s="2876"/>
      <c r="D41" s="652">
        <f>SUM(D13:D40)</f>
        <v>0</v>
      </c>
      <c r="F41" s="706">
        <f>SUM(F12:F40)</f>
        <v>13096825300.690001</v>
      </c>
      <c r="H41" s="413"/>
      <c r="J41" s="414"/>
    </row>
    <row r="42" spans="2:10" x14ac:dyDescent="0.2">
      <c r="B42" s="394"/>
      <c r="C42" s="394"/>
      <c r="F42" s="643"/>
    </row>
    <row r="43" spans="2:10" x14ac:dyDescent="0.2">
      <c r="B43" s="394" t="s">
        <v>273</v>
      </c>
      <c r="C43" s="394"/>
      <c r="F43" s="643"/>
    </row>
    <row r="44" spans="2:10" x14ac:dyDescent="0.2">
      <c r="B44" s="335" t="s">
        <v>275</v>
      </c>
      <c r="C44" s="335"/>
      <c r="F44" s="643"/>
    </row>
    <row r="45" spans="2:10" ht="13.5" x14ac:dyDescent="0.25">
      <c r="B45" s="3007" t="s">
        <v>1060</v>
      </c>
      <c r="C45" s="3007"/>
      <c r="D45" s="649">
        <f>'906-6C'!J43</f>
        <v>0</v>
      </c>
      <c r="F45" s="393">
        <f>HLOOKUP($C$5,PriorYr906!$J$9:$K$87,35,FALSE)</f>
        <v>1247701.68</v>
      </c>
      <c r="H45" s="413">
        <f t="shared" ref="H45:H53" si="2">D45-F45</f>
        <v>-1247701.68</v>
      </c>
      <c r="J45" s="414">
        <f t="shared" ref="J45:J53" si="3">IF(F45=0,0,H45/F45)</f>
        <v>-1</v>
      </c>
    </row>
    <row r="46" spans="2:10" ht="13.5" x14ac:dyDescent="0.25">
      <c r="B46" s="3007" t="s">
        <v>816</v>
      </c>
      <c r="C46" s="3007"/>
      <c r="D46" s="649">
        <f>'906-6C'!J44</f>
        <v>0</v>
      </c>
      <c r="F46" s="393">
        <f>HLOOKUP($C$5,PriorYr906!$J$9:$K$87,36,FALSE)</f>
        <v>0</v>
      </c>
      <c r="H46" s="413">
        <f t="shared" si="2"/>
        <v>0</v>
      </c>
      <c r="J46" s="414">
        <f t="shared" si="3"/>
        <v>0</v>
      </c>
    </row>
    <row r="47" spans="2:10" ht="13.5" x14ac:dyDescent="0.25">
      <c r="B47" s="3007" t="s">
        <v>1078</v>
      </c>
      <c r="C47" s="3007"/>
      <c r="D47" s="649">
        <f>'906-6C'!J45</f>
        <v>0</v>
      </c>
      <c r="F47" s="393">
        <f>HLOOKUP($C$5,PriorYr906!$J$9:$K$87,37,FALSE)</f>
        <v>0</v>
      </c>
      <c r="H47" s="413">
        <f t="shared" si="2"/>
        <v>0</v>
      </c>
      <c r="J47" s="414">
        <f t="shared" si="3"/>
        <v>0</v>
      </c>
    </row>
    <row r="48" spans="2:10" ht="13.5" x14ac:dyDescent="0.25">
      <c r="B48" s="2876" t="s">
        <v>1402</v>
      </c>
      <c r="C48" s="2876"/>
      <c r="D48" s="649">
        <f>'906-6C'!J46</f>
        <v>0</v>
      </c>
      <c r="F48" s="393">
        <f>HLOOKUP($C$5,PriorYr906!$J$9:$K$87,38,FALSE)</f>
        <v>0</v>
      </c>
      <c r="H48" s="413">
        <f>D48-F48</f>
        <v>0</v>
      </c>
      <c r="J48" s="414">
        <f>IF(F48=0,0,H48/F48)</f>
        <v>0</v>
      </c>
    </row>
    <row r="49" spans="2:10" ht="13.5" x14ac:dyDescent="0.25">
      <c r="B49" s="2876" t="s">
        <v>569</v>
      </c>
      <c r="C49" s="2876"/>
      <c r="D49" s="649">
        <f>'906-6C'!J47</f>
        <v>0</v>
      </c>
      <c r="F49" s="393">
        <f>HLOOKUP($C$5,PriorYr906!$J$9:$K$87,39,FALSE)</f>
        <v>0</v>
      </c>
      <c r="H49" s="413">
        <f t="shared" si="2"/>
        <v>0</v>
      </c>
      <c r="J49" s="414">
        <f t="shared" si="3"/>
        <v>0</v>
      </c>
    </row>
    <row r="50" spans="2:10" ht="13.5" x14ac:dyDescent="0.25">
      <c r="B50" s="2876" t="s">
        <v>739</v>
      </c>
      <c r="C50" s="2876"/>
      <c r="D50" s="649">
        <f>'906-6C'!J48</f>
        <v>0</v>
      </c>
      <c r="F50" s="393">
        <f>HLOOKUP($C$5,PriorYr906!$J$9:$K$87,40,FALSE)</f>
        <v>0</v>
      </c>
      <c r="H50" s="413">
        <f t="shared" si="2"/>
        <v>0</v>
      </c>
      <c r="J50" s="414">
        <f t="shared" si="3"/>
        <v>0</v>
      </c>
    </row>
    <row r="51" spans="2:10" ht="13.5" x14ac:dyDescent="0.25">
      <c r="B51" s="2876" t="s">
        <v>701</v>
      </c>
      <c r="C51" s="2876"/>
      <c r="D51" s="649">
        <f>'906-6C'!J49</f>
        <v>0</v>
      </c>
      <c r="F51" s="393">
        <f>HLOOKUP($C$5,PriorYr906!$J$9:$K$87,41,FALSE)</f>
        <v>0</v>
      </c>
      <c r="H51" s="413">
        <f t="shared" si="2"/>
        <v>0</v>
      </c>
      <c r="J51" s="414">
        <f t="shared" si="3"/>
        <v>0</v>
      </c>
    </row>
    <row r="52" spans="2:10" ht="13.5" x14ac:dyDescent="0.25">
      <c r="B52" s="2876" t="s">
        <v>80</v>
      </c>
      <c r="C52" s="2876"/>
      <c r="D52" s="649">
        <f>'906-6C'!J50</f>
        <v>0</v>
      </c>
      <c r="F52" s="393">
        <f>HLOOKUP($C$5,PriorYr906!$J$9:$K$87,42,FALSE)</f>
        <v>0</v>
      </c>
      <c r="H52" s="413">
        <f t="shared" si="2"/>
        <v>0</v>
      </c>
      <c r="J52" s="414">
        <f t="shared" si="3"/>
        <v>0</v>
      </c>
    </row>
    <row r="53" spans="2:10" ht="13.5" x14ac:dyDescent="0.25">
      <c r="B53" s="2876" t="s">
        <v>791</v>
      </c>
      <c r="C53" s="2876"/>
      <c r="D53" s="402">
        <f>SUM(D45:D52)</f>
        <v>0</v>
      </c>
      <c r="F53" s="706">
        <f>SUM(F44:F52)</f>
        <v>1247701.68</v>
      </c>
      <c r="H53" s="413">
        <f t="shared" si="2"/>
        <v>-1247701.68</v>
      </c>
      <c r="J53" s="414">
        <f t="shared" si="3"/>
        <v>-1</v>
      </c>
    </row>
    <row r="54" spans="2:10" ht="13.5" x14ac:dyDescent="0.25">
      <c r="B54" s="398"/>
      <c r="C54" s="398"/>
      <c r="F54" s="399"/>
      <c r="H54" s="413"/>
      <c r="J54" s="414"/>
    </row>
    <row r="55" spans="2:10" ht="13.5" x14ac:dyDescent="0.25">
      <c r="B55" s="395" t="s">
        <v>1905</v>
      </c>
      <c r="C55" s="395"/>
      <c r="D55" s="645"/>
      <c r="E55" s="409"/>
      <c r="F55" s="399"/>
      <c r="G55" s="410"/>
      <c r="H55" s="645"/>
      <c r="I55" s="411"/>
      <c r="J55" s="646"/>
    </row>
    <row r="56" spans="2:10" ht="13.5" x14ac:dyDescent="0.25">
      <c r="B56" s="335" t="s">
        <v>1079</v>
      </c>
      <c r="C56" s="335"/>
      <c r="H56" s="413"/>
      <c r="J56" s="414"/>
    </row>
    <row r="57" spans="2:10" ht="13.5" x14ac:dyDescent="0.25">
      <c r="B57" s="3007" t="s">
        <v>709</v>
      </c>
      <c r="C57" s="3007"/>
      <c r="D57" s="649">
        <f>'906-6C'!J55</f>
        <v>0</v>
      </c>
      <c r="F57" s="393">
        <f>HLOOKUP($C$5,PriorYr906!$J$9:$K$87,47,FALSE)</f>
        <v>13095577599.01</v>
      </c>
      <c r="H57" s="413">
        <f>D57-F57</f>
        <v>-13095577599.01</v>
      </c>
      <c r="J57" s="414">
        <f>IF(F57=0,0,H57/F57)</f>
        <v>-1</v>
      </c>
    </row>
    <row r="58" spans="2:10" ht="14.25" thickBot="1" x14ac:dyDescent="0.3">
      <c r="B58" s="2876" t="s">
        <v>1889</v>
      </c>
      <c r="C58" s="2876"/>
      <c r="D58" s="405">
        <f>SUM(D56:D57)</f>
        <v>0</v>
      </c>
      <c r="F58" s="707">
        <f>SUM(F55:F57)</f>
        <v>13095577599.01</v>
      </c>
      <c r="H58" s="413"/>
      <c r="J58" s="414"/>
    </row>
    <row r="59" spans="2:10" ht="14.25" thickTop="1" x14ac:dyDescent="0.25">
      <c r="B59" s="398"/>
      <c r="C59" s="398"/>
      <c r="F59" s="398"/>
      <c r="H59" s="413"/>
      <c r="J59" s="414"/>
    </row>
    <row r="60" spans="2:10" x14ac:dyDescent="0.2">
      <c r="B60" s="335" t="s">
        <v>3480</v>
      </c>
      <c r="C60" s="44"/>
      <c r="D60" s="406" t="str">
        <f>IF(D41-D53=D58,"In Bal.","NOT BALANCED")</f>
        <v>In Bal.</v>
      </c>
      <c r="F60" s="406" t="str">
        <f>IF(F41-F53=F58,"In Bal.","NOT BALANCED")</f>
        <v>In Bal.</v>
      </c>
    </row>
    <row r="61" spans="2:10" x14ac:dyDescent="0.2">
      <c r="B61" s="653"/>
      <c r="C61" s="653"/>
      <c r="D61" s="654"/>
    </row>
    <row r="62" spans="2:10" x14ac:dyDescent="0.2">
      <c r="B62" s="407" t="s">
        <v>986</v>
      </c>
      <c r="C62" s="407"/>
      <c r="D62" s="1248" t="str">
        <f>CONCATENATE("FYE ",+TEXT(Data!$A$2,"mmmm d,yyyy"))</f>
        <v>FYE June 30,2022</v>
      </c>
      <c r="F62" s="792" t="str">
        <f>CONCATENATE("FYE ",+TEXT(Data!$A$4,"mmmm d,yyyy"))</f>
        <v>FYE June 30,2021</v>
      </c>
    </row>
    <row r="63" spans="2:10" x14ac:dyDescent="0.2">
      <c r="B63" s="647" t="s">
        <v>463</v>
      </c>
      <c r="C63" s="407"/>
      <c r="F63" s="398"/>
    </row>
    <row r="64" spans="2:10" ht="13.5" x14ac:dyDescent="0.25">
      <c r="B64" s="2876" t="s">
        <v>710</v>
      </c>
      <c r="C64" s="2876"/>
      <c r="D64" s="650">
        <f>'906-6C'!J62</f>
        <v>0</v>
      </c>
      <c r="F64" s="842">
        <f>HLOOKUP($C$5,PriorYr906!$J$9:$K$87,54,FALSE)</f>
        <v>238387145.72999999</v>
      </c>
      <c r="H64" s="413">
        <f>D64-F64</f>
        <v>-238387145.72999999</v>
      </c>
      <c r="J64" s="414">
        <f>IF(F64=0,0,H64/F64)</f>
        <v>-1</v>
      </c>
    </row>
    <row r="65" spans="2:10" ht="13.5" x14ac:dyDescent="0.25">
      <c r="B65" s="2876" t="s">
        <v>711</v>
      </c>
      <c r="C65" s="2876"/>
      <c r="D65" s="649">
        <f>'906-6C'!J63</f>
        <v>0</v>
      </c>
      <c r="F65" s="393">
        <f>HLOOKUP($C$5,PriorYr906!$J$9:$K$87,55,FALSE)</f>
        <v>393663845.70999998</v>
      </c>
      <c r="H65" s="413">
        <f>D65-F65</f>
        <v>-393663845.70999998</v>
      </c>
      <c r="J65" s="414">
        <f>IF(F65=0,0,H65/F65)</f>
        <v>-1</v>
      </c>
    </row>
    <row r="66" spans="2:10" ht="13.5" x14ac:dyDescent="0.25">
      <c r="B66" s="2876" t="s">
        <v>712</v>
      </c>
      <c r="C66" s="2876"/>
      <c r="D66" s="649">
        <f>'906-6C'!J64</f>
        <v>0</v>
      </c>
      <c r="F66" s="393">
        <f>HLOOKUP($C$5,PriorYr906!$J$9:$K$87,56,FALSE)</f>
        <v>0</v>
      </c>
      <c r="H66" s="413">
        <f>D66-F66</f>
        <v>0</v>
      </c>
      <c r="J66" s="414">
        <f>IF(F66=0,0,H66/F66)</f>
        <v>0</v>
      </c>
    </row>
    <row r="67" spans="2:10" ht="13.5" x14ac:dyDescent="0.25">
      <c r="B67" s="2876" t="s">
        <v>713</v>
      </c>
      <c r="C67" s="2876"/>
      <c r="D67" s="651">
        <f>'906-6C'!J65</f>
        <v>0</v>
      </c>
      <c r="F67" s="393">
        <f>HLOOKUP($C$5,PriorYr906!$J$9:$K$87,57,FALSE)</f>
        <v>0</v>
      </c>
      <c r="H67" s="413">
        <f>D67-F67</f>
        <v>0</v>
      </c>
      <c r="J67" s="414">
        <f>IF(F67=0,0,H67/F67)</f>
        <v>0</v>
      </c>
    </row>
    <row r="68" spans="2:10" ht="13.5" x14ac:dyDescent="0.25">
      <c r="B68" s="2876" t="s">
        <v>714</v>
      </c>
      <c r="C68" s="2876"/>
      <c r="D68" s="652">
        <f>SUM(D64:D67)</f>
        <v>0</v>
      </c>
      <c r="F68" s="706">
        <f>SUM(F64:F67)</f>
        <v>632050991.44000006</v>
      </c>
      <c r="H68" s="413">
        <f>D68-F68</f>
        <v>-632050991.44000006</v>
      </c>
      <c r="J68" s="414">
        <f>IF(F68=0,0,H68/F68)</f>
        <v>-1</v>
      </c>
    </row>
    <row r="69" spans="2:10" ht="13.5" x14ac:dyDescent="0.25">
      <c r="B69" s="647" t="s">
        <v>464</v>
      </c>
      <c r="C69" s="398"/>
      <c r="F69" s="643"/>
      <c r="H69" s="413"/>
      <c r="J69" s="414"/>
    </row>
    <row r="70" spans="2:10" ht="13.5" x14ac:dyDescent="0.25">
      <c r="B70" s="2876" t="s">
        <v>715</v>
      </c>
      <c r="C70" s="2876"/>
      <c r="D70" s="649">
        <f>'906-6C'!J68</f>
        <v>0</v>
      </c>
      <c r="F70" s="393">
        <f>HLOOKUP($C$5,PriorYr906!$J$9:$K$87,60,FALSE)</f>
        <v>1557850091.25</v>
      </c>
      <c r="H70" s="413">
        <f>D70-F70</f>
        <v>-1557850091.25</v>
      </c>
      <c r="J70" s="414">
        <f>IF(F70=0,0,H70/F70)</f>
        <v>-1</v>
      </c>
    </row>
    <row r="71" spans="2:10" ht="13.5" x14ac:dyDescent="0.25">
      <c r="B71" s="2876" t="s">
        <v>987</v>
      </c>
      <c r="C71" s="2876"/>
      <c r="D71" s="651">
        <f>'906-6C'!J69</f>
        <v>0</v>
      </c>
      <c r="F71" s="393">
        <f>HLOOKUP($C$5,PriorYr906!$J$9:$K$87,61,FALSE)</f>
        <v>0</v>
      </c>
      <c r="H71" s="413">
        <f>D71-F71</f>
        <v>0</v>
      </c>
      <c r="J71" s="414">
        <f>IF(F71=0,0,H71/F71)</f>
        <v>0</v>
      </c>
    </row>
    <row r="72" spans="2:10" ht="13.5" x14ac:dyDescent="0.25">
      <c r="B72" s="2876" t="s">
        <v>988</v>
      </c>
      <c r="C72" s="2876"/>
      <c r="D72" s="652">
        <f>SUM(D70:D71)</f>
        <v>0</v>
      </c>
      <c r="F72" s="706">
        <f>SUM(F70:F71)</f>
        <v>1557850091.25</v>
      </c>
      <c r="H72" s="413">
        <f>D72-F72</f>
        <v>-1557850091.25</v>
      </c>
      <c r="J72" s="414">
        <f>IF(F72=0,0,H72/F72)</f>
        <v>-1</v>
      </c>
    </row>
    <row r="73" spans="2:10" ht="13.5" x14ac:dyDescent="0.25">
      <c r="B73" s="647" t="s">
        <v>465</v>
      </c>
      <c r="C73" s="398"/>
      <c r="F73" s="399"/>
      <c r="H73" s="413"/>
      <c r="J73" s="414"/>
    </row>
    <row r="74" spans="2:10" ht="13.5" x14ac:dyDescent="0.25">
      <c r="B74" s="2876" t="s">
        <v>989</v>
      </c>
      <c r="C74" s="2876"/>
      <c r="D74" s="649">
        <f>'906-6C'!J72</f>
        <v>0</v>
      </c>
      <c r="F74" s="393">
        <f>HLOOKUP($C$5,PriorYr906!$J$9:$K$87,64,FALSE)</f>
        <v>0</v>
      </c>
      <c r="H74" s="413">
        <f>D74-F74</f>
        <v>0</v>
      </c>
      <c r="J74" s="414">
        <f>IF(F74=0,0,H74/F74)</f>
        <v>0</v>
      </c>
    </row>
    <row r="75" spans="2:10" ht="13.5" x14ac:dyDescent="0.25">
      <c r="B75" s="2876" t="s">
        <v>990</v>
      </c>
      <c r="C75" s="2876"/>
      <c r="D75" s="649">
        <f>'906-6C'!J73</f>
        <v>0</v>
      </c>
      <c r="F75" s="393">
        <f>HLOOKUP($C$5,PriorYr906!$J$9:$K$87,65,FALSE)</f>
        <v>16099508.27</v>
      </c>
      <c r="H75" s="413">
        <f>D75-F75</f>
        <v>-16099508.27</v>
      </c>
      <c r="J75" s="414">
        <f>IF(F75=0,0,H75/F75)</f>
        <v>-1</v>
      </c>
    </row>
    <row r="76" spans="2:10" ht="13.5" x14ac:dyDescent="0.25">
      <c r="B76" s="2876" t="s">
        <v>991</v>
      </c>
      <c r="C76" s="2876"/>
      <c r="D76" s="651">
        <f>'906-6C'!J74</f>
        <v>0</v>
      </c>
      <c r="F76" s="393">
        <f>HLOOKUP($C$5,PriorYr906!$J$9:$K$87,66,FALSE)</f>
        <v>159235.10999999999</v>
      </c>
      <c r="H76" s="413">
        <f>D76-F76</f>
        <v>-159235.10999999999</v>
      </c>
      <c r="J76" s="414">
        <f>IF(F76=0,0,H76/F76)</f>
        <v>-1</v>
      </c>
    </row>
    <row r="77" spans="2:10" ht="13.5" x14ac:dyDescent="0.25">
      <c r="B77" s="2876" t="s">
        <v>992</v>
      </c>
      <c r="C77" s="2876"/>
      <c r="D77" s="655">
        <f>SUM(D74:D76)</f>
        <v>0</v>
      </c>
      <c r="F77" s="706">
        <f>SUM(F74:F76)</f>
        <v>16258743.380000001</v>
      </c>
      <c r="H77" s="413"/>
      <c r="J77" s="414"/>
    </row>
    <row r="78" spans="2:10" ht="13.5" x14ac:dyDescent="0.25">
      <c r="B78" s="2876" t="s">
        <v>466</v>
      </c>
      <c r="C78" s="2876"/>
      <c r="D78" s="402">
        <f>D68+D72+D77</f>
        <v>0</v>
      </c>
      <c r="F78" s="706">
        <f>F68+F72+F77</f>
        <v>2206159826.0700002</v>
      </c>
      <c r="H78" s="413">
        <f>D78-F78</f>
        <v>-2206159826.0700002</v>
      </c>
      <c r="J78" s="414">
        <f>IF(F78=0,0,H78/F78)</f>
        <v>-1</v>
      </c>
    </row>
    <row r="79" spans="2:10" ht="13.5" x14ac:dyDescent="0.25">
      <c r="B79" s="398"/>
      <c r="C79" s="398"/>
      <c r="D79" s="656"/>
      <c r="F79" s="398"/>
      <c r="H79" s="413"/>
      <c r="J79" s="414"/>
    </row>
    <row r="80" spans="2:10" ht="13.5" x14ac:dyDescent="0.25">
      <c r="B80" s="407" t="s">
        <v>467</v>
      </c>
      <c r="C80" s="407"/>
      <c r="F80" s="398"/>
      <c r="H80" s="413"/>
      <c r="J80" s="414"/>
    </row>
    <row r="81" spans="2:10" ht="13.5" x14ac:dyDescent="0.25">
      <c r="B81" s="2876" t="s">
        <v>1171</v>
      </c>
      <c r="C81" s="2876"/>
      <c r="D81" s="649">
        <f>'906-6C'!J79</f>
        <v>0</v>
      </c>
      <c r="F81" s="393">
        <f>HLOOKUP($C$5,PriorYr906!$J$9:$K$87,71,FALSE)</f>
        <v>803787462.57000005</v>
      </c>
      <c r="H81" s="413">
        <f t="shared" ref="H81:H88" si="4">D81-F81</f>
        <v>-803787462.57000005</v>
      </c>
      <c r="J81" s="414">
        <f>IF(F81=0,0,H81/F81)</f>
        <v>-1</v>
      </c>
    </row>
    <row r="82" spans="2:10" ht="13.5" x14ac:dyDescent="0.25">
      <c r="B82" s="2876" t="s">
        <v>468</v>
      </c>
      <c r="C82" s="2876"/>
      <c r="D82" s="649">
        <f>'906-6C'!J80</f>
        <v>0</v>
      </c>
      <c r="F82" s="393">
        <f>HLOOKUP($C$5,PriorYr906!$J$9:$K$87,72,FALSE)</f>
        <v>0</v>
      </c>
      <c r="H82" s="413">
        <f t="shared" si="4"/>
        <v>0</v>
      </c>
      <c r="J82" s="414">
        <f t="shared" ref="J82:J88" si="5">IF(F82=0,0,H82/F82)</f>
        <v>0</v>
      </c>
    </row>
    <row r="83" spans="2:10" ht="13.5" x14ac:dyDescent="0.25">
      <c r="B83" s="2876" t="s">
        <v>469</v>
      </c>
      <c r="C83" s="2876"/>
      <c r="D83" s="649">
        <f>'906-6C'!J81</f>
        <v>0</v>
      </c>
      <c r="F83" s="393">
        <f>HLOOKUP($C$5,PriorYr906!$J$9:$K$87,73,FALSE)</f>
        <v>10336964.42</v>
      </c>
      <c r="H83" s="413">
        <f t="shared" si="4"/>
        <v>-10336964.42</v>
      </c>
      <c r="J83" s="414">
        <f t="shared" si="5"/>
        <v>-1</v>
      </c>
    </row>
    <row r="84" spans="2:10" ht="13.5" x14ac:dyDescent="0.25">
      <c r="B84" s="2876" t="s">
        <v>470</v>
      </c>
      <c r="C84" s="2876"/>
      <c r="D84" s="651">
        <f>'906-6C'!J82</f>
        <v>0</v>
      </c>
      <c r="F84" s="393">
        <f>HLOOKUP($C$5,PriorYr906!$J$9:$K$87,74,FALSE)</f>
        <v>0</v>
      </c>
      <c r="H84" s="413">
        <f t="shared" si="4"/>
        <v>0</v>
      </c>
      <c r="J84" s="414">
        <f t="shared" si="5"/>
        <v>0</v>
      </c>
    </row>
    <row r="85" spans="2:10" ht="13.5" x14ac:dyDescent="0.25">
      <c r="B85" s="2876" t="s">
        <v>504</v>
      </c>
      <c r="C85" s="2876"/>
      <c r="D85" s="404">
        <f>SUM(D81:D84)</f>
        <v>0</v>
      </c>
      <c r="F85" s="706">
        <f>SUM(F81:F84)</f>
        <v>814124426.99000001</v>
      </c>
      <c r="H85" s="413">
        <f t="shared" si="4"/>
        <v>-814124426.99000001</v>
      </c>
      <c r="J85" s="414">
        <f t="shared" si="5"/>
        <v>-1</v>
      </c>
    </row>
    <row r="86" spans="2:10" ht="13.5" x14ac:dyDescent="0.25">
      <c r="B86" s="2876" t="s">
        <v>3690</v>
      </c>
      <c r="C86" s="2876"/>
      <c r="D86" s="1252">
        <f>D78-D85</f>
        <v>0</v>
      </c>
      <c r="F86" s="1252">
        <f>F78-F85</f>
        <v>1392035399.0799999</v>
      </c>
      <c r="H86" s="413">
        <f t="shared" si="4"/>
        <v>-1392035399.0799999</v>
      </c>
      <c r="J86" s="414">
        <f t="shared" si="5"/>
        <v>-1</v>
      </c>
    </row>
    <row r="87" spans="2:10" ht="13.5" x14ac:dyDescent="0.25">
      <c r="B87" s="2876" t="s">
        <v>3485</v>
      </c>
      <c r="C87" s="2876"/>
      <c r="D87" s="1065">
        <f>'906-6C'!J85</f>
        <v>13095577599.01</v>
      </c>
      <c r="F87" s="1065">
        <f>HLOOKUP($C$5,PriorYr906!$J$9:$K$87,77,FALSE)</f>
        <v>11703542199.93</v>
      </c>
      <c r="H87" s="413">
        <f t="shared" si="4"/>
        <v>1392035399.0799999</v>
      </c>
      <c r="J87" s="414">
        <f t="shared" si="5"/>
        <v>0.11890000000000001</v>
      </c>
    </row>
    <row r="88" spans="2:10" ht="13.5" x14ac:dyDescent="0.25">
      <c r="B88" s="2876" t="s">
        <v>1054</v>
      </c>
      <c r="C88" s="2876"/>
      <c r="D88" s="649">
        <f>'906-6C'!J86</f>
        <v>0</v>
      </c>
      <c r="F88" s="393">
        <f>HLOOKUP($C$5,PriorYr906!$J$9:$K$87,78,FALSE)</f>
        <v>0</v>
      </c>
      <c r="H88" s="413">
        <f t="shared" si="4"/>
        <v>0</v>
      </c>
      <c r="J88" s="414">
        <f t="shared" si="5"/>
        <v>0</v>
      </c>
    </row>
    <row r="89" spans="2:10" ht="13.5" thickBot="1" x14ac:dyDescent="0.25">
      <c r="B89" s="2876" t="s">
        <v>3486</v>
      </c>
      <c r="C89" s="2876"/>
      <c r="D89" s="405">
        <f>SUM(D86:D88)</f>
        <v>13095577599.01</v>
      </c>
      <c r="F89" s="708">
        <f>SUM(F86:F88)</f>
        <v>13095577599.01</v>
      </c>
    </row>
    <row r="90" spans="2:10" ht="13.5" thickTop="1" x14ac:dyDescent="0.2">
      <c r="F90" s="403"/>
    </row>
    <row r="91" spans="2:10" x14ac:dyDescent="0.2">
      <c r="B91" s="349" t="s">
        <v>3487</v>
      </c>
      <c r="C91" s="657"/>
      <c r="D91" s="406" t="str">
        <f>IF(D58=D89,"In Bal.","NOT")</f>
        <v>NOT</v>
      </c>
      <c r="F91" s="406" t="str">
        <f>IF(F58=F89,"In Bal.","NOT")</f>
        <v>In Bal.</v>
      </c>
    </row>
    <row r="92" spans="2:10" x14ac:dyDescent="0.2">
      <c r="B92" s="398"/>
      <c r="C92" s="398"/>
    </row>
    <row r="93" spans="2:10" x14ac:dyDescent="0.2">
      <c r="B93" s="335" t="s">
        <v>4947</v>
      </c>
      <c r="C93" s="335"/>
      <c r="D93" s="335"/>
      <c r="E93" s="335"/>
      <c r="F93" s="335"/>
      <c r="G93" s="335"/>
      <c r="H93" s="335"/>
      <c r="I93" s="335"/>
      <c r="J93" s="335"/>
    </row>
    <row r="94" spans="2:10" x14ac:dyDescent="0.2">
      <c r="B94" s="339" t="s">
        <v>4948</v>
      </c>
      <c r="C94" s="339"/>
      <c r="D94" s="339"/>
      <c r="E94" s="339"/>
      <c r="F94" s="339"/>
      <c r="G94" s="339"/>
      <c r="H94" s="339"/>
      <c r="I94" s="339"/>
      <c r="J94" s="339"/>
    </row>
  </sheetData>
  <sheetProtection algorithmName="SHA-512" hashValue="kcXKQ/jAZFGhc2oqxes6P9fn6sL/CDQyeIKFSG9iBCDeFAT4V/VnNamEpMc9yfMFG5rEeHWNmmcz1b3DCfh5CA==" saltValue="zOi0DoVFx0f3YXY/C9h2cg==" spinCount="100000" sheet="1" objects="1" scenarios="1" autoFilter="0"/>
  <mergeCells count="67">
    <mergeCell ref="B1:K1"/>
    <mergeCell ref="L1:L3"/>
    <mergeCell ref="B2:K2"/>
    <mergeCell ref="B3:K3"/>
    <mergeCell ref="G5:J5"/>
    <mergeCell ref="C6:D6"/>
    <mergeCell ref="H7:J7"/>
    <mergeCell ref="B13:C13"/>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 ref="B38:C38"/>
    <mergeCell ref="B39:C39"/>
    <mergeCell ref="B40:C40"/>
    <mergeCell ref="B41:C41"/>
    <mergeCell ref="B45:C45"/>
    <mergeCell ref="B46:C46"/>
    <mergeCell ref="B47:C47"/>
    <mergeCell ref="B48:C48"/>
    <mergeCell ref="B49:C49"/>
    <mergeCell ref="B50:C50"/>
    <mergeCell ref="B51:C51"/>
    <mergeCell ref="B52:C52"/>
    <mergeCell ref="B53:C53"/>
    <mergeCell ref="B57:C57"/>
    <mergeCell ref="B58:C58"/>
    <mergeCell ref="B64:C64"/>
    <mergeCell ref="B65:C65"/>
    <mergeCell ref="B66:C66"/>
    <mergeCell ref="B67:C67"/>
    <mergeCell ref="B68:C68"/>
    <mergeCell ref="B70:C70"/>
    <mergeCell ref="B71:C71"/>
    <mergeCell ref="B72:C72"/>
    <mergeCell ref="B74:C74"/>
    <mergeCell ref="B75:C75"/>
    <mergeCell ref="B76:C76"/>
    <mergeCell ref="B77:C77"/>
    <mergeCell ref="B78:C78"/>
    <mergeCell ref="B81:C81"/>
    <mergeCell ref="B82:C82"/>
    <mergeCell ref="B89:C89"/>
    <mergeCell ref="B83:C83"/>
    <mergeCell ref="B84:C84"/>
    <mergeCell ref="B85:C85"/>
    <mergeCell ref="B86:C86"/>
    <mergeCell ref="B87:C87"/>
    <mergeCell ref="B88:C88"/>
  </mergeCells>
  <conditionalFormatting sqref="L1:L3">
    <cfRule type="cellIs" dxfId="3" priority="1" stopIfTrue="1" operator="equal">
      <formula>"na"</formula>
    </cfRule>
  </conditionalFormatting>
  <dataValidations disablePrompts="1" count="1">
    <dataValidation type="textLength" operator="equal" allowBlank="1" showInputMessage="1" showErrorMessage="1" errorTitle="Invalid data!" error="GASB number must be 4 digits." sqref="E7" xr:uid="{00000000-0002-0000-5400-000000000000}">
      <formula1>4</formula1>
    </dataValidation>
  </dataValidations>
  <hyperlinks>
    <hyperlink ref="B1:J1" location="Index!A1" display="Index!A1" xr:uid="{00000000-0004-0000-5400-000000000000}"/>
  </hyperlinks>
  <pageMargins left="0.75" right="0.5" top="0.5" bottom="0.5" header="0.5" footer="0.25"/>
  <pageSetup scale="83" fitToHeight="2" orientation="portrait" r:id="rId1"/>
  <headerFooter alignWithMargins="0">
    <oddFooter>&amp;R&amp;A (&amp;P of &amp;N)</oddFooter>
  </headerFooter>
  <rowBreaks count="1" manualBreakCount="1">
    <brk id="61" max="11"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7"/>
  <dimension ref="A1:AA166"/>
  <sheetViews>
    <sheetView showGridLines="0" zoomScaleNormal="100" workbookViewId="0">
      <selection sqref="A1:M1"/>
    </sheetView>
  </sheetViews>
  <sheetFormatPr defaultColWidth="9.42578125" defaultRowHeight="11.25" x14ac:dyDescent="0.2"/>
  <cols>
    <col min="1" max="1" width="8" style="40" customWidth="1"/>
    <col min="2" max="2" width="0.5703125" style="40" customWidth="1"/>
    <col min="3" max="3" width="2.5703125" style="40" customWidth="1"/>
    <col min="4" max="4" width="10.5703125" style="40" customWidth="1"/>
    <col min="5" max="5" width="2.5703125" style="40" customWidth="1"/>
    <col min="6" max="6" width="4.5703125" style="40" customWidth="1"/>
    <col min="7" max="7" width="2.5703125" style="40" customWidth="1"/>
    <col min="8" max="8" width="4.42578125" style="40" customWidth="1"/>
    <col min="9" max="9" width="14.5703125" style="40" customWidth="1"/>
    <col min="10" max="10" width="1.42578125" style="40" customWidth="1"/>
    <col min="11" max="11" width="13.42578125" style="40" customWidth="1"/>
    <col min="12" max="12" width="2.42578125" style="40" customWidth="1"/>
    <col min="13" max="13" width="14.5703125" style="40" customWidth="1"/>
    <col min="14" max="14" width="4.5703125" style="40" customWidth="1"/>
    <col min="15" max="16384" width="9.42578125" style="40"/>
  </cols>
  <sheetData>
    <row r="1" spans="1:27" s="41" customFormat="1" ht="15" customHeight="1" x14ac:dyDescent="0.25">
      <c r="A1" s="2449" t="str">
        <f>+Index!$A$1</f>
        <v xml:space="preserve">                                                               Office of the State Controller                                                                </v>
      </c>
      <c r="B1" s="2449"/>
      <c r="C1" s="2449"/>
      <c r="D1" s="2449"/>
      <c r="E1" s="2449"/>
      <c r="F1" s="2449"/>
      <c r="G1" s="2449"/>
      <c r="H1" s="2449"/>
      <c r="I1" s="2449"/>
      <c r="J1" s="2449"/>
      <c r="K1" s="2449"/>
      <c r="L1" s="2449"/>
      <c r="M1" s="2449"/>
      <c r="N1" s="2450" t="str">
        <f>IF(Index!$B$112="na","NA","")</f>
        <v/>
      </c>
      <c r="AA1" s="42"/>
    </row>
    <row r="2" spans="1:27" s="41" customFormat="1" ht="15" customHeight="1" x14ac:dyDescent="0.25">
      <c r="A2" s="2489" t="str">
        <f>Index!A2</f>
        <v>2022 ACFR Worksheets</v>
      </c>
      <c r="B2" s="2489"/>
      <c r="C2" s="2489"/>
      <c r="D2" s="2489"/>
      <c r="E2" s="2489"/>
      <c r="F2" s="2489"/>
      <c r="G2" s="2489"/>
      <c r="H2" s="2489"/>
      <c r="I2" s="2489"/>
      <c r="J2" s="2489"/>
      <c r="K2" s="2489"/>
      <c r="L2" s="2489"/>
      <c r="M2" s="2489"/>
      <c r="N2" s="2450"/>
    </row>
    <row r="3" spans="1:27" s="41" customFormat="1" ht="15" customHeight="1" x14ac:dyDescent="0.25">
      <c r="A3" s="2489" t="s">
        <v>438</v>
      </c>
      <c r="B3" s="2489"/>
      <c r="C3" s="2489"/>
      <c r="D3" s="2489"/>
      <c r="E3" s="2489"/>
      <c r="F3" s="2489"/>
      <c r="G3" s="2489"/>
      <c r="H3" s="2489"/>
      <c r="I3" s="2489"/>
      <c r="J3" s="2489"/>
      <c r="K3" s="2489"/>
      <c r="L3" s="2489"/>
      <c r="M3" s="2489"/>
      <c r="N3" s="2450"/>
    </row>
    <row r="4" spans="1:27" s="132" customFormat="1" ht="15" customHeight="1" x14ac:dyDescent="0.2">
      <c r="H4" s="137"/>
    </row>
    <row r="5" spans="1:27" s="132" customFormat="1" ht="15" customHeight="1" x14ac:dyDescent="0.2">
      <c r="D5" s="137"/>
      <c r="I5" s="134" t="s">
        <v>327</v>
      </c>
      <c r="J5" s="3016" t="str">
        <f>+Index!$E$10</f>
        <v>01</v>
      </c>
      <c r="K5" s="3016"/>
      <c r="L5" s="3016"/>
      <c r="M5" s="3016"/>
    </row>
    <row r="6" spans="1:27" s="132" customFormat="1" ht="15" customHeight="1" x14ac:dyDescent="0.2">
      <c r="I6" s="134" t="s">
        <v>1154</v>
      </c>
      <c r="J6" s="3017" t="str">
        <f>+Index!$E$11</f>
        <v>North Carolina General Assembly</v>
      </c>
      <c r="K6" s="3017"/>
      <c r="L6" s="3017"/>
      <c r="M6" s="3017"/>
    </row>
    <row r="7" spans="1:27" s="132" customFormat="1" ht="15" customHeight="1" x14ac:dyDescent="0.2">
      <c r="A7" s="737" t="s">
        <v>440</v>
      </c>
      <c r="E7" s="137"/>
      <c r="I7" s="134" t="s">
        <v>972</v>
      </c>
      <c r="J7" s="3018" t="str">
        <f>CONCATENATE(Index!$E$12," ",Index!$E$14)</f>
        <v xml:space="preserve"> </v>
      </c>
      <c r="K7" s="3018"/>
      <c r="L7" s="3018"/>
      <c r="M7" s="3018"/>
    </row>
    <row r="8" spans="1:27" s="132" customFormat="1" ht="15" customHeight="1" thickBot="1" x14ac:dyDescent="0.25">
      <c r="A8" s="136"/>
      <c r="B8" s="136"/>
      <c r="C8" s="136"/>
      <c r="D8" s="136"/>
      <c r="E8" s="136"/>
      <c r="F8" s="136"/>
      <c r="G8" s="136"/>
      <c r="H8" s="136"/>
      <c r="I8" s="136"/>
      <c r="J8" s="136"/>
      <c r="K8" s="136"/>
      <c r="L8" s="136"/>
      <c r="M8" s="136"/>
    </row>
    <row r="9" spans="1:27" s="132" customFormat="1" ht="12.75" customHeight="1" x14ac:dyDescent="0.2">
      <c r="A9" s="738"/>
      <c r="B9" s="738"/>
      <c r="C9" s="738"/>
      <c r="D9" s="738"/>
      <c r="E9" s="738"/>
      <c r="F9" s="738"/>
      <c r="G9" s="738"/>
      <c r="H9" s="738"/>
      <c r="I9" s="738"/>
      <c r="J9" s="738"/>
      <c r="K9" s="738"/>
      <c r="L9" s="738"/>
      <c r="M9" s="738"/>
    </row>
    <row r="10" spans="1:27" ht="15" customHeight="1" x14ac:dyDescent="0.25">
      <c r="A10" s="739" t="s">
        <v>439</v>
      </c>
      <c r="B10" s="738"/>
      <c r="C10" s="3019" t="s">
        <v>810</v>
      </c>
      <c r="D10" s="3019"/>
      <c r="E10" s="3019"/>
      <c r="F10" s="3019"/>
      <c r="G10" s="3019"/>
      <c r="H10" s="3019"/>
      <c r="I10" s="3019"/>
      <c r="J10" s="3019"/>
      <c r="K10" s="3019"/>
      <c r="L10" s="3019"/>
      <c r="M10" s="3019"/>
    </row>
    <row r="11" spans="1:27" ht="15" customHeight="1" x14ac:dyDescent="0.2">
      <c r="A11" s="727"/>
      <c r="B11" s="738"/>
      <c r="C11" s="3015"/>
      <c r="D11" s="3015"/>
      <c r="E11" s="3015"/>
      <c r="F11" s="3015"/>
      <c r="G11" s="3015"/>
      <c r="H11" s="3015"/>
      <c r="I11" s="3015"/>
      <c r="J11" s="3015"/>
      <c r="K11" s="3015"/>
      <c r="L11" s="3015"/>
      <c r="M11" s="3015"/>
    </row>
    <row r="12" spans="1:27" ht="15" customHeight="1" x14ac:dyDescent="0.2">
      <c r="A12" s="727"/>
      <c r="B12" s="738"/>
      <c r="C12" s="3015"/>
      <c r="D12" s="3015"/>
      <c r="E12" s="3015"/>
      <c r="F12" s="3015"/>
      <c r="G12" s="3015"/>
      <c r="H12" s="3015"/>
      <c r="I12" s="3015"/>
      <c r="J12" s="3015"/>
      <c r="K12" s="3015"/>
      <c r="L12" s="3015"/>
      <c r="M12" s="3015"/>
    </row>
    <row r="13" spans="1:27" ht="15" customHeight="1" x14ac:dyDescent="0.2">
      <c r="A13" s="727"/>
      <c r="B13" s="738"/>
      <c r="C13" s="3015"/>
      <c r="D13" s="3015"/>
      <c r="E13" s="3015"/>
      <c r="F13" s="3015"/>
      <c r="G13" s="3015"/>
      <c r="H13" s="3015"/>
      <c r="I13" s="3015"/>
      <c r="J13" s="3015"/>
      <c r="K13" s="3015"/>
      <c r="L13" s="3015"/>
      <c r="M13" s="3015"/>
    </row>
    <row r="14" spans="1:27" ht="15" customHeight="1" x14ac:dyDescent="0.2">
      <c r="A14" s="727"/>
      <c r="B14" s="738"/>
      <c r="C14" s="3015"/>
      <c r="D14" s="3015"/>
      <c r="E14" s="3015"/>
      <c r="F14" s="3015"/>
      <c r="G14" s="3015"/>
      <c r="H14" s="3015"/>
      <c r="I14" s="3015"/>
      <c r="J14" s="3015"/>
      <c r="K14" s="3015"/>
      <c r="L14" s="3015"/>
      <c r="M14" s="3015"/>
    </row>
    <row r="15" spans="1:27" ht="15" customHeight="1" x14ac:dyDescent="0.2">
      <c r="A15" s="727"/>
      <c r="B15" s="738"/>
      <c r="C15" s="3015"/>
      <c r="D15" s="3015"/>
      <c r="E15" s="3015"/>
      <c r="F15" s="3015"/>
      <c r="G15" s="3015"/>
      <c r="H15" s="3015"/>
      <c r="I15" s="3015"/>
      <c r="J15" s="3015"/>
      <c r="K15" s="3015"/>
      <c r="L15" s="3015"/>
      <c r="M15" s="3015"/>
    </row>
    <row r="16" spans="1:27" ht="15" customHeight="1" x14ac:dyDescent="0.2">
      <c r="A16" s="727"/>
      <c r="B16" s="738"/>
      <c r="C16" s="3015"/>
      <c r="D16" s="3015"/>
      <c r="E16" s="3015"/>
      <c r="F16" s="3015"/>
      <c r="G16" s="3015"/>
      <c r="H16" s="3015"/>
      <c r="I16" s="3015"/>
      <c r="J16" s="3015"/>
      <c r="K16" s="3015"/>
      <c r="L16" s="3015"/>
      <c r="M16" s="3015"/>
    </row>
    <row r="17" spans="1:13" ht="15" customHeight="1" x14ac:dyDescent="0.2">
      <c r="A17" s="727"/>
      <c r="B17" s="738"/>
      <c r="C17" s="3015"/>
      <c r="D17" s="3015"/>
      <c r="E17" s="3015"/>
      <c r="F17" s="3015"/>
      <c r="G17" s="3015"/>
      <c r="H17" s="3015"/>
      <c r="I17" s="3015"/>
      <c r="J17" s="3015"/>
      <c r="K17" s="3015"/>
      <c r="L17" s="3015"/>
      <c r="M17" s="3015"/>
    </row>
    <row r="18" spans="1:13" ht="15" customHeight="1" x14ac:dyDescent="0.2">
      <c r="A18" s="727"/>
      <c r="B18" s="738"/>
      <c r="C18" s="3015"/>
      <c r="D18" s="3015"/>
      <c r="E18" s="3015"/>
      <c r="F18" s="3015"/>
      <c r="G18" s="3015"/>
      <c r="H18" s="3015"/>
      <c r="I18" s="3015"/>
      <c r="J18" s="3015"/>
      <c r="K18" s="3015"/>
      <c r="L18" s="3015"/>
      <c r="M18" s="3015"/>
    </row>
    <row r="19" spans="1:13" ht="15" customHeight="1" x14ac:dyDescent="0.2">
      <c r="A19" s="727"/>
      <c r="B19" s="738"/>
      <c r="C19" s="3015"/>
      <c r="D19" s="3015"/>
      <c r="E19" s="3015"/>
      <c r="F19" s="3015"/>
      <c r="G19" s="3015"/>
      <c r="H19" s="3015"/>
      <c r="I19" s="3015"/>
      <c r="J19" s="3015"/>
      <c r="K19" s="3015"/>
      <c r="L19" s="3015"/>
      <c r="M19" s="3015"/>
    </row>
    <row r="20" spans="1:13" ht="15" customHeight="1" x14ac:dyDescent="0.2">
      <c r="A20" s="727"/>
      <c r="B20" s="738"/>
      <c r="C20" s="3015"/>
      <c r="D20" s="3015"/>
      <c r="E20" s="3015"/>
      <c r="F20" s="3015"/>
      <c r="G20" s="3015"/>
      <c r="H20" s="3015"/>
      <c r="I20" s="3015"/>
      <c r="J20" s="3015"/>
      <c r="K20" s="3015"/>
      <c r="L20" s="3015"/>
      <c r="M20" s="3015"/>
    </row>
    <row r="21" spans="1:13" ht="15" customHeight="1" x14ac:dyDescent="0.2">
      <c r="A21" s="727"/>
      <c r="B21" s="738"/>
      <c r="C21" s="3015"/>
      <c r="D21" s="3015"/>
      <c r="E21" s="3015"/>
      <c r="F21" s="3015"/>
      <c r="G21" s="3015"/>
      <c r="H21" s="3015"/>
      <c r="I21" s="3015"/>
      <c r="J21" s="3015"/>
      <c r="K21" s="3015"/>
      <c r="L21" s="3015"/>
      <c r="M21" s="3015"/>
    </row>
    <row r="22" spans="1:13" ht="15" customHeight="1" x14ac:dyDescent="0.2">
      <c r="A22" s="727"/>
      <c r="B22" s="738"/>
      <c r="C22" s="3015"/>
      <c r="D22" s="3015"/>
      <c r="E22" s="3015"/>
      <c r="F22" s="3015"/>
      <c r="G22" s="3015"/>
      <c r="H22" s="3015"/>
      <c r="I22" s="3015"/>
      <c r="J22" s="3015"/>
      <c r="K22" s="3015"/>
      <c r="L22" s="3015"/>
      <c r="M22" s="3015"/>
    </row>
    <row r="23" spans="1:13" ht="15" customHeight="1" x14ac:dyDescent="0.2">
      <c r="A23" s="727"/>
      <c r="B23" s="738"/>
      <c r="C23" s="3015"/>
      <c r="D23" s="3015"/>
      <c r="E23" s="3015"/>
      <c r="F23" s="3015"/>
      <c r="G23" s="3015"/>
      <c r="H23" s="3015"/>
      <c r="I23" s="3015"/>
      <c r="J23" s="3015"/>
      <c r="K23" s="3015"/>
      <c r="L23" s="3015"/>
      <c r="M23" s="3015"/>
    </row>
    <row r="24" spans="1:13" ht="15" customHeight="1" x14ac:dyDescent="0.2">
      <c r="A24" s="727"/>
      <c r="B24" s="738"/>
      <c r="C24" s="3015"/>
      <c r="D24" s="3015"/>
      <c r="E24" s="3015"/>
      <c r="F24" s="3015"/>
      <c r="G24" s="3015"/>
      <c r="H24" s="3015"/>
      <c r="I24" s="3015"/>
      <c r="J24" s="3015"/>
      <c r="K24" s="3015"/>
      <c r="L24" s="3015"/>
      <c r="M24" s="3015"/>
    </row>
    <row r="25" spans="1:13" ht="15" customHeight="1" x14ac:dyDescent="0.2">
      <c r="A25" s="727"/>
      <c r="B25" s="738"/>
      <c r="C25" s="3015"/>
      <c r="D25" s="3015"/>
      <c r="E25" s="3015"/>
      <c r="F25" s="3015"/>
      <c r="G25" s="3015"/>
      <c r="H25" s="3015"/>
      <c r="I25" s="3015"/>
      <c r="J25" s="3015"/>
      <c r="K25" s="3015"/>
      <c r="L25" s="3015"/>
      <c r="M25" s="3015"/>
    </row>
    <row r="26" spans="1:13" ht="15" customHeight="1" x14ac:dyDescent="0.2">
      <c r="A26" s="727"/>
      <c r="B26" s="738"/>
      <c r="C26" s="3015"/>
      <c r="D26" s="3015"/>
      <c r="E26" s="3015"/>
      <c r="F26" s="3015"/>
      <c r="G26" s="3015"/>
      <c r="H26" s="3015"/>
      <c r="I26" s="3015"/>
      <c r="J26" s="3015"/>
      <c r="K26" s="3015"/>
      <c r="L26" s="3015"/>
      <c r="M26" s="3015"/>
    </row>
    <row r="27" spans="1:13" ht="15" customHeight="1" x14ac:dyDescent="0.2">
      <c r="A27" s="727"/>
      <c r="B27" s="738"/>
      <c r="C27" s="3015"/>
      <c r="D27" s="3015"/>
      <c r="E27" s="3015"/>
      <c r="F27" s="3015"/>
      <c r="G27" s="3015"/>
      <c r="H27" s="3015"/>
      <c r="I27" s="3015"/>
      <c r="J27" s="3015"/>
      <c r="K27" s="3015"/>
      <c r="L27" s="3015"/>
      <c r="M27" s="3015"/>
    </row>
    <row r="28" spans="1:13" ht="15" customHeight="1" x14ac:dyDescent="0.2">
      <c r="A28" s="727"/>
      <c r="B28" s="738"/>
      <c r="C28" s="3015"/>
      <c r="D28" s="3015"/>
      <c r="E28" s="3015"/>
      <c r="F28" s="3015"/>
      <c r="G28" s="3015"/>
      <c r="H28" s="3015"/>
      <c r="I28" s="3015"/>
      <c r="J28" s="3015"/>
      <c r="K28" s="3015"/>
      <c r="L28" s="3015"/>
      <c r="M28" s="3015"/>
    </row>
    <row r="29" spans="1:13" ht="15" customHeight="1" x14ac:dyDescent="0.2">
      <c r="A29" s="727"/>
      <c r="B29" s="738"/>
      <c r="C29" s="3015"/>
      <c r="D29" s="3015"/>
      <c r="E29" s="3015"/>
      <c r="F29" s="3015"/>
      <c r="G29" s="3015"/>
      <c r="H29" s="3015"/>
      <c r="I29" s="3015"/>
      <c r="J29" s="3015"/>
      <c r="K29" s="3015"/>
      <c r="L29" s="3015"/>
      <c r="M29" s="3015"/>
    </row>
    <row r="30" spans="1:13" ht="15" customHeight="1" x14ac:dyDescent="0.2">
      <c r="A30" s="727"/>
      <c r="B30" s="738"/>
      <c r="C30" s="3015"/>
      <c r="D30" s="3015"/>
      <c r="E30" s="3015"/>
      <c r="F30" s="3015"/>
      <c r="G30" s="3015"/>
      <c r="H30" s="3015"/>
      <c r="I30" s="3015"/>
      <c r="J30" s="3015"/>
      <c r="K30" s="3015"/>
      <c r="L30" s="3015"/>
      <c r="M30" s="3015"/>
    </row>
    <row r="31" spans="1:13" ht="15" customHeight="1" x14ac:dyDescent="0.2">
      <c r="A31" s="727"/>
      <c r="B31" s="738"/>
      <c r="C31" s="3015"/>
      <c r="D31" s="3015"/>
      <c r="E31" s="3015"/>
      <c r="F31" s="3015"/>
      <c r="G31" s="3015"/>
      <c r="H31" s="3015"/>
      <c r="I31" s="3015"/>
      <c r="J31" s="3015"/>
      <c r="K31" s="3015"/>
      <c r="L31" s="3015"/>
      <c r="M31" s="3015"/>
    </row>
    <row r="32" spans="1:13" ht="15" customHeight="1" x14ac:dyDescent="0.2">
      <c r="A32" s="727"/>
      <c r="B32" s="738"/>
      <c r="C32" s="3015"/>
      <c r="D32" s="3015"/>
      <c r="E32" s="3015"/>
      <c r="F32" s="3015"/>
      <c r="G32" s="3015"/>
      <c r="H32" s="3015"/>
      <c r="I32" s="3015"/>
      <c r="J32" s="3015"/>
      <c r="K32" s="3015"/>
      <c r="L32" s="3015"/>
      <c r="M32" s="3015"/>
    </row>
    <row r="33" spans="1:13" ht="15" customHeight="1" x14ac:dyDescent="0.2">
      <c r="A33" s="727"/>
      <c r="B33" s="738"/>
      <c r="C33" s="3015"/>
      <c r="D33" s="3015"/>
      <c r="E33" s="3015"/>
      <c r="F33" s="3015"/>
      <c r="G33" s="3015"/>
      <c r="H33" s="3015"/>
      <c r="I33" s="3015"/>
      <c r="J33" s="3015"/>
      <c r="K33" s="3015"/>
      <c r="L33" s="3015"/>
      <c r="M33" s="3015"/>
    </row>
    <row r="34" spans="1:13" ht="15" customHeight="1" x14ac:dyDescent="0.2">
      <c r="A34" s="727"/>
      <c r="B34" s="738"/>
      <c r="C34" s="3015"/>
      <c r="D34" s="3015"/>
      <c r="E34" s="3015"/>
      <c r="F34" s="3015"/>
      <c r="G34" s="3015"/>
      <c r="H34" s="3015"/>
      <c r="I34" s="3015"/>
      <c r="J34" s="3015"/>
      <c r="K34" s="3015"/>
      <c r="L34" s="3015"/>
      <c r="M34" s="3015"/>
    </row>
    <row r="35" spans="1:13" ht="15" customHeight="1" x14ac:dyDescent="0.2">
      <c r="A35" s="727"/>
      <c r="B35" s="738"/>
      <c r="C35" s="3015"/>
      <c r="D35" s="3015"/>
      <c r="E35" s="3015"/>
      <c r="F35" s="3015"/>
      <c r="G35" s="3015"/>
      <c r="H35" s="3015"/>
      <c r="I35" s="3015"/>
      <c r="J35" s="3015"/>
      <c r="K35" s="3015"/>
      <c r="L35" s="3015"/>
      <c r="M35" s="3015"/>
    </row>
    <row r="36" spans="1:13" ht="15" customHeight="1" x14ac:dyDescent="0.2">
      <c r="A36" s="727"/>
      <c r="B36" s="738"/>
      <c r="C36" s="3015"/>
      <c r="D36" s="3015"/>
      <c r="E36" s="3015"/>
      <c r="F36" s="3015"/>
      <c r="G36" s="3015"/>
      <c r="H36" s="3015"/>
      <c r="I36" s="3015"/>
      <c r="J36" s="3015"/>
      <c r="K36" s="3015"/>
      <c r="L36" s="3015"/>
      <c r="M36" s="3015"/>
    </row>
    <row r="37" spans="1:13" ht="15" customHeight="1" x14ac:dyDescent="0.2">
      <c r="A37" s="727"/>
      <c r="B37" s="738"/>
      <c r="C37" s="3015"/>
      <c r="D37" s="3015"/>
      <c r="E37" s="3015"/>
      <c r="F37" s="3015"/>
      <c r="G37" s="3015"/>
      <c r="H37" s="3015"/>
      <c r="I37" s="3015"/>
      <c r="J37" s="3015"/>
      <c r="K37" s="3015"/>
      <c r="L37" s="3015"/>
      <c r="M37" s="3015"/>
    </row>
    <row r="38" spans="1:13" ht="15" customHeight="1" x14ac:dyDescent="0.2">
      <c r="A38" s="727"/>
      <c r="B38" s="738"/>
      <c r="C38" s="3015"/>
      <c r="D38" s="3015"/>
      <c r="E38" s="3015"/>
      <c r="F38" s="3015"/>
      <c r="G38" s="3015"/>
      <c r="H38" s="3015"/>
      <c r="I38" s="3015"/>
      <c r="J38" s="3015"/>
      <c r="K38" s="3015"/>
      <c r="L38" s="3015"/>
      <c r="M38" s="3015"/>
    </row>
    <row r="39" spans="1:13" ht="15" customHeight="1" x14ac:dyDescent="0.2">
      <c r="A39" s="727"/>
      <c r="B39" s="738"/>
      <c r="C39" s="3015"/>
      <c r="D39" s="3015"/>
      <c r="E39" s="3015"/>
      <c r="F39" s="3015"/>
      <c r="G39" s="3015"/>
      <c r="H39" s="3015"/>
      <c r="I39" s="3015"/>
      <c r="J39" s="3015"/>
      <c r="K39" s="3015"/>
      <c r="L39" s="3015"/>
      <c r="M39" s="3015"/>
    </row>
    <row r="40" spans="1:13" ht="15" customHeight="1" x14ac:dyDescent="0.2">
      <c r="A40" s="727"/>
      <c r="B40" s="738"/>
      <c r="C40" s="3015"/>
      <c r="D40" s="3015"/>
      <c r="E40" s="3015"/>
      <c r="F40" s="3015"/>
      <c r="G40" s="3015"/>
      <c r="H40" s="3015"/>
      <c r="I40" s="3015"/>
      <c r="J40" s="3015"/>
      <c r="K40" s="3015"/>
      <c r="L40" s="3015"/>
      <c r="M40" s="3015"/>
    </row>
    <row r="41" spans="1:13" ht="15" customHeight="1" x14ac:dyDescent="0.2">
      <c r="A41" s="727"/>
      <c r="B41" s="738"/>
      <c r="C41" s="3015"/>
      <c r="D41" s="3015"/>
      <c r="E41" s="3015"/>
      <c r="F41" s="3015"/>
      <c r="G41" s="3015"/>
      <c r="H41" s="3015"/>
      <c r="I41" s="3015"/>
      <c r="J41" s="3015"/>
      <c r="K41" s="3015"/>
      <c r="L41" s="3015"/>
      <c r="M41" s="3015"/>
    </row>
    <row r="42" spans="1:13" ht="15" customHeight="1" x14ac:dyDescent="0.2">
      <c r="A42" s="727"/>
      <c r="B42" s="738"/>
      <c r="C42" s="3015"/>
      <c r="D42" s="3015"/>
      <c r="E42" s="3015"/>
      <c r="F42" s="3015"/>
      <c r="G42" s="3015"/>
      <c r="H42" s="3015"/>
      <c r="I42" s="3015"/>
      <c r="J42" s="3015"/>
      <c r="K42" s="3015"/>
      <c r="L42" s="3015"/>
      <c r="M42" s="3015"/>
    </row>
    <row r="43" spans="1:13" ht="15" customHeight="1" x14ac:dyDescent="0.2">
      <c r="A43" s="727"/>
      <c r="B43" s="738"/>
      <c r="C43" s="3015"/>
      <c r="D43" s="3015"/>
      <c r="E43" s="3015"/>
      <c r="F43" s="3015"/>
      <c r="G43" s="3015"/>
      <c r="H43" s="3015"/>
      <c r="I43" s="3015"/>
      <c r="J43" s="3015"/>
      <c r="K43" s="3015"/>
      <c r="L43" s="3015"/>
      <c r="M43" s="3015"/>
    </row>
    <row r="44" spans="1:13" ht="15" customHeight="1" x14ac:dyDescent="0.2">
      <c r="A44" s="727"/>
      <c r="B44" s="738"/>
      <c r="C44" s="3015"/>
      <c r="D44" s="3015"/>
      <c r="E44" s="3015"/>
      <c r="F44" s="3015"/>
      <c r="G44" s="3015"/>
      <c r="H44" s="3015"/>
      <c r="I44" s="3015"/>
      <c r="J44" s="3015"/>
      <c r="K44" s="3015"/>
      <c r="L44" s="3015"/>
      <c r="M44" s="3015"/>
    </row>
    <row r="45" spans="1:13" ht="15" customHeight="1" x14ac:dyDescent="0.2">
      <c r="A45" s="727"/>
      <c r="B45" s="738"/>
      <c r="C45" s="3015"/>
      <c r="D45" s="3015"/>
      <c r="E45" s="3015"/>
      <c r="F45" s="3015"/>
      <c r="G45" s="3015"/>
      <c r="H45" s="3015"/>
      <c r="I45" s="3015"/>
      <c r="J45" s="3015"/>
      <c r="K45" s="3015"/>
      <c r="L45" s="3015"/>
      <c r="M45" s="3015"/>
    </row>
    <row r="46" spans="1:13" ht="15" customHeight="1" x14ac:dyDescent="0.2">
      <c r="A46" s="727"/>
      <c r="B46" s="738"/>
      <c r="C46" s="3015"/>
      <c r="D46" s="3015"/>
      <c r="E46" s="3015"/>
      <c r="F46" s="3015"/>
      <c r="G46" s="3015"/>
      <c r="H46" s="3015"/>
      <c r="I46" s="3015"/>
      <c r="J46" s="3015"/>
      <c r="K46" s="3015"/>
      <c r="L46" s="3015"/>
      <c r="M46" s="3015"/>
    </row>
    <row r="47" spans="1:13" ht="15" customHeight="1" x14ac:dyDescent="0.2">
      <c r="A47" s="727"/>
      <c r="B47" s="738"/>
      <c r="C47" s="3015"/>
      <c r="D47" s="3015"/>
      <c r="E47" s="3015"/>
      <c r="F47" s="3015"/>
      <c r="G47" s="3015"/>
      <c r="H47" s="3015"/>
      <c r="I47" s="3015"/>
      <c r="J47" s="3015"/>
      <c r="K47" s="3015"/>
      <c r="L47" s="3015"/>
      <c r="M47" s="3015"/>
    </row>
    <row r="48" spans="1:13" ht="15" customHeight="1" x14ac:dyDescent="0.2">
      <c r="A48" s="727"/>
      <c r="B48" s="738"/>
      <c r="C48" s="3015"/>
      <c r="D48" s="3015"/>
      <c r="E48" s="3015"/>
      <c r="F48" s="3015"/>
      <c r="G48" s="3015"/>
      <c r="H48" s="3015"/>
      <c r="I48" s="3015"/>
      <c r="J48" s="3015"/>
      <c r="K48" s="3015"/>
      <c r="L48" s="3015"/>
      <c r="M48" s="3015"/>
    </row>
    <row r="49" spans="1:13" ht="15" customHeight="1" x14ac:dyDescent="0.2">
      <c r="A49" s="727"/>
      <c r="B49" s="738"/>
      <c r="C49" s="3015"/>
      <c r="D49" s="3015"/>
      <c r="E49" s="3015"/>
      <c r="F49" s="3015"/>
      <c r="G49" s="3015"/>
      <c r="H49" s="3015"/>
      <c r="I49" s="3015"/>
      <c r="J49" s="3015"/>
      <c r="K49" s="3015"/>
      <c r="L49" s="3015"/>
      <c r="M49" s="3015"/>
    </row>
    <row r="50" spans="1:13" ht="15" customHeight="1" x14ac:dyDescent="0.2">
      <c r="A50" s="738"/>
      <c r="B50" s="738"/>
      <c r="C50" s="738"/>
      <c r="D50" s="738"/>
      <c r="E50" s="738"/>
      <c r="F50" s="738"/>
      <c r="G50" s="738"/>
      <c r="H50" s="738"/>
      <c r="I50" s="738"/>
      <c r="J50" s="738"/>
      <c r="K50" s="738"/>
      <c r="L50" s="738"/>
      <c r="M50" s="738"/>
    </row>
    <row r="51" spans="1:13" ht="15" customHeight="1" x14ac:dyDescent="0.2">
      <c r="A51" s="738"/>
      <c r="B51" s="738"/>
      <c r="C51" s="738"/>
      <c r="D51" s="738"/>
      <c r="E51" s="738"/>
      <c r="F51" s="738"/>
      <c r="G51" s="738"/>
      <c r="H51" s="738"/>
      <c r="I51" s="738"/>
      <c r="J51" s="738"/>
      <c r="K51" s="738"/>
      <c r="L51" s="738"/>
      <c r="M51" s="738"/>
    </row>
    <row r="52" spans="1:13" ht="15" customHeight="1" x14ac:dyDescent="0.2">
      <c r="A52" s="738"/>
      <c r="B52" s="738"/>
      <c r="C52" s="738"/>
      <c r="D52" s="738"/>
      <c r="E52" s="738"/>
      <c r="F52" s="738"/>
      <c r="G52" s="738"/>
      <c r="H52" s="738"/>
      <c r="I52" s="738"/>
      <c r="J52" s="738"/>
      <c r="K52" s="738"/>
      <c r="L52" s="738"/>
      <c r="M52" s="738"/>
    </row>
    <row r="53" spans="1:13" ht="15" customHeight="1" x14ac:dyDescent="0.2">
      <c r="A53" s="738"/>
      <c r="B53" s="738"/>
      <c r="C53" s="738"/>
      <c r="D53" s="738"/>
      <c r="E53" s="738"/>
      <c r="F53" s="738"/>
      <c r="G53" s="738"/>
      <c r="H53" s="738"/>
      <c r="I53" s="738"/>
      <c r="J53" s="738"/>
      <c r="K53" s="738"/>
      <c r="L53" s="738"/>
      <c r="M53" s="738"/>
    </row>
    <row r="54" spans="1:13" ht="15" customHeight="1" x14ac:dyDescent="0.2">
      <c r="A54" s="738"/>
      <c r="B54" s="738"/>
      <c r="C54" s="738"/>
      <c r="D54" s="738"/>
      <c r="E54" s="738"/>
      <c r="F54" s="738"/>
      <c r="G54" s="738"/>
      <c r="H54" s="738"/>
      <c r="I54" s="738"/>
      <c r="J54" s="738"/>
      <c r="K54" s="738"/>
      <c r="L54" s="738"/>
      <c r="M54" s="738"/>
    </row>
    <row r="55" spans="1:13" ht="15" customHeight="1" x14ac:dyDescent="0.2">
      <c r="A55" s="738"/>
      <c r="B55" s="738"/>
      <c r="C55" s="738"/>
      <c r="D55" s="738"/>
      <c r="E55" s="738"/>
      <c r="F55" s="738"/>
      <c r="G55" s="738"/>
      <c r="H55" s="738"/>
      <c r="I55" s="738"/>
      <c r="J55" s="738"/>
      <c r="K55" s="738"/>
      <c r="L55" s="738"/>
      <c r="M55" s="738"/>
    </row>
    <row r="56" spans="1:13" ht="15" customHeight="1" x14ac:dyDescent="0.2">
      <c r="A56" s="738"/>
      <c r="B56" s="738"/>
      <c r="C56" s="738"/>
      <c r="D56" s="738"/>
      <c r="E56" s="738"/>
      <c r="F56" s="738"/>
      <c r="G56" s="738"/>
      <c r="H56" s="738"/>
      <c r="I56" s="738"/>
      <c r="J56" s="738"/>
      <c r="K56" s="738"/>
      <c r="L56" s="738"/>
      <c r="M56" s="738"/>
    </row>
    <row r="57" spans="1:13" ht="15" customHeight="1" x14ac:dyDescent="0.2">
      <c r="A57" s="738"/>
      <c r="B57" s="738"/>
      <c r="C57" s="738"/>
      <c r="D57" s="738"/>
      <c r="E57" s="738"/>
      <c r="F57" s="738"/>
      <c r="G57" s="738"/>
      <c r="H57" s="738"/>
      <c r="I57" s="738"/>
      <c r="J57" s="738"/>
      <c r="K57" s="738"/>
      <c r="L57" s="738"/>
      <c r="M57" s="738"/>
    </row>
    <row r="58" spans="1:13" ht="15" customHeight="1" x14ac:dyDescent="0.2">
      <c r="A58" s="738"/>
      <c r="B58" s="738"/>
      <c r="C58" s="738"/>
      <c r="D58" s="738"/>
      <c r="E58" s="738"/>
      <c r="F58" s="738"/>
      <c r="G58" s="738"/>
      <c r="H58" s="738"/>
      <c r="I58" s="738"/>
      <c r="J58" s="738"/>
      <c r="K58" s="738"/>
      <c r="L58" s="738"/>
      <c r="M58" s="738"/>
    </row>
    <row r="59" spans="1:13" ht="15" customHeight="1" x14ac:dyDescent="0.2">
      <c r="A59" s="738"/>
      <c r="B59" s="738"/>
      <c r="C59" s="738"/>
      <c r="D59" s="738"/>
      <c r="E59" s="738"/>
      <c r="F59" s="738"/>
      <c r="G59" s="738"/>
      <c r="H59" s="738"/>
      <c r="I59" s="738"/>
      <c r="J59" s="738"/>
      <c r="K59" s="738"/>
      <c r="L59" s="738"/>
      <c r="M59" s="738"/>
    </row>
    <row r="60" spans="1:13" ht="15" customHeight="1" x14ac:dyDescent="0.2">
      <c r="A60" s="738"/>
      <c r="B60" s="738"/>
      <c r="C60" s="738"/>
      <c r="D60" s="738"/>
      <c r="E60" s="738"/>
      <c r="F60" s="738"/>
      <c r="G60" s="738"/>
      <c r="H60" s="738"/>
      <c r="I60" s="738"/>
      <c r="J60" s="738"/>
      <c r="K60" s="738"/>
      <c r="L60" s="738"/>
      <c r="M60" s="738"/>
    </row>
    <row r="61" spans="1:13" ht="15" customHeight="1" x14ac:dyDescent="0.2">
      <c r="A61" s="738"/>
      <c r="B61" s="738"/>
      <c r="C61" s="738"/>
      <c r="D61" s="738"/>
      <c r="E61" s="738"/>
      <c r="F61" s="738"/>
      <c r="G61" s="738"/>
      <c r="H61" s="738"/>
      <c r="I61" s="738"/>
      <c r="J61" s="738"/>
      <c r="K61" s="738"/>
      <c r="L61" s="738"/>
      <c r="M61" s="738"/>
    </row>
    <row r="62" spans="1:13" ht="15" customHeight="1" x14ac:dyDescent="0.2">
      <c r="A62" s="738"/>
      <c r="B62" s="738"/>
      <c r="C62" s="738"/>
      <c r="D62" s="738"/>
      <c r="E62" s="738"/>
      <c r="F62" s="738"/>
      <c r="G62" s="738"/>
      <c r="H62" s="738"/>
      <c r="I62" s="738"/>
      <c r="J62" s="738"/>
      <c r="K62" s="738"/>
      <c r="L62" s="738"/>
      <c r="M62" s="738"/>
    </row>
    <row r="63" spans="1:13" ht="15" customHeight="1" x14ac:dyDescent="0.2">
      <c r="A63" s="738"/>
      <c r="B63" s="738"/>
      <c r="C63" s="738"/>
      <c r="D63" s="738"/>
      <c r="E63" s="738"/>
      <c r="F63" s="738"/>
      <c r="G63" s="738"/>
      <c r="H63" s="738"/>
      <c r="I63" s="738"/>
      <c r="J63" s="738"/>
      <c r="K63" s="738"/>
      <c r="L63" s="738"/>
      <c r="M63" s="738"/>
    </row>
    <row r="64" spans="1:13" ht="15" customHeight="1" x14ac:dyDescent="0.2">
      <c r="A64" s="738"/>
      <c r="B64" s="738"/>
      <c r="C64" s="738"/>
      <c r="D64" s="738"/>
      <c r="E64" s="738"/>
      <c r="F64" s="738"/>
      <c r="G64" s="738"/>
      <c r="H64" s="738"/>
      <c r="I64" s="738"/>
      <c r="J64" s="738"/>
      <c r="K64" s="738"/>
      <c r="L64" s="738"/>
      <c r="M64" s="738"/>
    </row>
    <row r="65" spans="1:13" ht="15" customHeight="1" x14ac:dyDescent="0.2">
      <c r="A65" s="738"/>
      <c r="B65" s="738"/>
      <c r="C65" s="738"/>
      <c r="D65" s="738"/>
      <c r="E65" s="738"/>
      <c r="F65" s="738"/>
      <c r="G65" s="738"/>
      <c r="H65" s="738"/>
      <c r="I65" s="738"/>
      <c r="J65" s="738"/>
      <c r="K65" s="738"/>
      <c r="L65" s="738"/>
      <c r="M65" s="738"/>
    </row>
    <row r="66" spans="1:13" ht="15" customHeight="1" x14ac:dyDescent="0.2">
      <c r="A66" s="738"/>
      <c r="B66" s="738"/>
      <c r="C66" s="738"/>
      <c r="D66" s="738"/>
      <c r="E66" s="738"/>
      <c r="F66" s="738"/>
      <c r="G66" s="738"/>
      <c r="H66" s="738"/>
      <c r="I66" s="738"/>
      <c r="J66" s="738"/>
      <c r="K66" s="738"/>
      <c r="L66" s="738"/>
      <c r="M66" s="738"/>
    </row>
    <row r="67" spans="1:13" ht="15" customHeight="1" x14ac:dyDescent="0.2">
      <c r="A67" s="738"/>
      <c r="B67" s="738"/>
      <c r="C67" s="738"/>
      <c r="D67" s="738"/>
      <c r="E67" s="738"/>
      <c r="F67" s="738"/>
      <c r="G67" s="738"/>
      <c r="H67" s="738"/>
      <c r="I67" s="738"/>
      <c r="J67" s="738"/>
      <c r="K67" s="738"/>
      <c r="L67" s="738"/>
      <c r="M67" s="738"/>
    </row>
    <row r="68" spans="1:13" ht="15" customHeight="1" x14ac:dyDescent="0.2">
      <c r="A68" s="738"/>
      <c r="B68" s="738"/>
      <c r="C68" s="738"/>
      <c r="D68" s="738"/>
      <c r="E68" s="738"/>
      <c r="F68" s="738"/>
      <c r="G68" s="738"/>
      <c r="H68" s="738"/>
      <c r="I68" s="738"/>
      <c r="J68" s="738"/>
      <c r="K68" s="738"/>
      <c r="L68" s="738"/>
      <c r="M68" s="738"/>
    </row>
    <row r="69" spans="1:13" ht="15" customHeight="1" x14ac:dyDescent="0.2">
      <c r="A69" s="738"/>
      <c r="B69" s="738"/>
      <c r="C69" s="738"/>
      <c r="D69" s="738"/>
      <c r="E69" s="738"/>
      <c r="F69" s="738"/>
      <c r="G69" s="738"/>
      <c r="H69" s="738"/>
      <c r="I69" s="738"/>
      <c r="J69" s="738"/>
      <c r="K69" s="738"/>
      <c r="L69" s="738"/>
      <c r="M69" s="738"/>
    </row>
    <row r="70" spans="1:13" ht="15" customHeight="1" x14ac:dyDescent="0.2">
      <c r="A70" s="738"/>
      <c r="B70" s="738"/>
      <c r="C70" s="738"/>
      <c r="D70" s="738"/>
      <c r="E70" s="738"/>
      <c r="F70" s="738"/>
      <c r="G70" s="738"/>
      <c r="H70" s="738"/>
      <c r="I70" s="738"/>
      <c r="J70" s="738"/>
      <c r="K70" s="738"/>
      <c r="L70" s="738"/>
      <c r="M70" s="738"/>
    </row>
    <row r="71" spans="1:13" ht="15" customHeight="1" x14ac:dyDescent="0.2">
      <c r="A71" s="738"/>
      <c r="B71" s="738"/>
      <c r="C71" s="738"/>
      <c r="D71" s="738"/>
      <c r="E71" s="738"/>
      <c r="F71" s="738"/>
      <c r="G71" s="738"/>
      <c r="H71" s="738"/>
      <c r="I71" s="738"/>
      <c r="J71" s="738"/>
      <c r="K71" s="738"/>
      <c r="L71" s="738"/>
      <c r="M71" s="738"/>
    </row>
    <row r="72" spans="1:13" ht="15" customHeight="1" x14ac:dyDescent="0.2">
      <c r="A72" s="738"/>
      <c r="B72" s="738"/>
      <c r="C72" s="738"/>
      <c r="D72" s="738"/>
      <c r="E72" s="738"/>
      <c r="F72" s="738"/>
      <c r="G72" s="738"/>
      <c r="H72" s="738"/>
      <c r="I72" s="738"/>
      <c r="J72" s="738"/>
      <c r="K72" s="738"/>
      <c r="L72" s="738"/>
      <c r="M72" s="738"/>
    </row>
    <row r="73" spans="1:13" ht="15" customHeight="1" x14ac:dyDescent="0.2">
      <c r="A73" s="738"/>
      <c r="B73" s="738"/>
      <c r="C73" s="738"/>
      <c r="D73" s="738"/>
      <c r="E73" s="738"/>
      <c r="F73" s="738"/>
      <c r="G73" s="738"/>
      <c r="H73" s="738"/>
      <c r="I73" s="738"/>
      <c r="J73" s="738"/>
      <c r="K73" s="738"/>
      <c r="L73" s="738"/>
      <c r="M73" s="738"/>
    </row>
    <row r="74" spans="1:13" ht="15" customHeight="1" x14ac:dyDescent="0.2">
      <c r="A74" s="738"/>
      <c r="B74" s="738"/>
      <c r="C74" s="738"/>
      <c r="D74" s="738"/>
      <c r="E74" s="738"/>
      <c r="F74" s="738"/>
      <c r="G74" s="738"/>
      <c r="H74" s="738"/>
      <c r="I74" s="738"/>
      <c r="J74" s="738"/>
      <c r="K74" s="738"/>
      <c r="L74" s="738"/>
      <c r="M74" s="738"/>
    </row>
    <row r="75" spans="1:13" ht="15" customHeight="1" x14ac:dyDescent="0.2">
      <c r="A75" s="738"/>
      <c r="B75" s="738"/>
      <c r="C75" s="738"/>
      <c r="D75" s="738"/>
      <c r="E75" s="738"/>
      <c r="F75" s="738"/>
      <c r="G75" s="738"/>
      <c r="H75" s="738"/>
      <c r="I75" s="738"/>
      <c r="J75" s="738"/>
      <c r="K75" s="738"/>
      <c r="L75" s="738"/>
      <c r="M75" s="738"/>
    </row>
    <row r="76" spans="1:13" ht="15" customHeight="1" x14ac:dyDescent="0.2">
      <c r="A76" s="738"/>
      <c r="B76" s="738"/>
      <c r="C76" s="738"/>
      <c r="D76" s="738"/>
      <c r="E76" s="738"/>
      <c r="F76" s="738"/>
      <c r="G76" s="738"/>
      <c r="H76" s="738"/>
      <c r="I76" s="738"/>
      <c r="J76" s="738"/>
      <c r="K76" s="738"/>
      <c r="L76" s="738"/>
      <c r="M76" s="738"/>
    </row>
    <row r="77" spans="1:13" ht="15" customHeight="1" x14ac:dyDescent="0.2">
      <c r="A77" s="738"/>
      <c r="B77" s="738"/>
      <c r="C77" s="738"/>
      <c r="D77" s="738"/>
      <c r="E77" s="738"/>
      <c r="F77" s="738"/>
      <c r="G77" s="738"/>
      <c r="H77" s="738"/>
      <c r="I77" s="738"/>
      <c r="J77" s="738"/>
      <c r="K77" s="738"/>
      <c r="L77" s="738"/>
      <c r="M77" s="738"/>
    </row>
    <row r="78" spans="1:13" ht="15" customHeight="1" x14ac:dyDescent="0.2">
      <c r="A78" s="738"/>
      <c r="B78" s="738"/>
      <c r="C78" s="738"/>
      <c r="D78" s="738"/>
      <c r="E78" s="738"/>
      <c r="F78" s="738"/>
      <c r="G78" s="738"/>
      <c r="H78" s="738"/>
      <c r="I78" s="738"/>
      <c r="J78" s="738"/>
      <c r="K78" s="738"/>
      <c r="L78" s="738"/>
      <c r="M78" s="738"/>
    </row>
    <row r="79" spans="1:13" ht="15" customHeight="1" x14ac:dyDescent="0.2">
      <c r="A79" s="738"/>
      <c r="B79" s="738"/>
      <c r="C79" s="738"/>
      <c r="D79" s="738"/>
      <c r="E79" s="738"/>
      <c r="F79" s="738"/>
      <c r="G79" s="738"/>
      <c r="H79" s="738"/>
      <c r="I79" s="738"/>
      <c r="J79" s="738"/>
      <c r="K79" s="738"/>
      <c r="L79" s="738"/>
      <c r="M79" s="738"/>
    </row>
    <row r="80" spans="1:13" ht="15" customHeight="1" x14ac:dyDescent="0.2">
      <c r="A80" s="738"/>
      <c r="B80" s="738"/>
      <c r="C80" s="738"/>
      <c r="D80" s="738"/>
      <c r="E80" s="738"/>
      <c r="F80" s="738"/>
      <c r="G80" s="738"/>
      <c r="H80" s="738"/>
      <c r="I80" s="738"/>
      <c r="J80" s="738"/>
      <c r="K80" s="738"/>
      <c r="L80" s="738"/>
      <c r="M80" s="738"/>
    </row>
    <row r="81" spans="1:13" ht="15" customHeight="1" x14ac:dyDescent="0.2">
      <c r="A81" s="738"/>
      <c r="B81" s="738"/>
      <c r="C81" s="738"/>
      <c r="D81" s="738"/>
      <c r="E81" s="738"/>
      <c r="F81" s="738"/>
      <c r="G81" s="738"/>
      <c r="H81" s="738"/>
      <c r="I81" s="738"/>
      <c r="J81" s="738"/>
      <c r="K81" s="738"/>
      <c r="L81" s="738"/>
      <c r="M81" s="738"/>
    </row>
    <row r="82" spans="1:13" ht="15" customHeight="1" x14ac:dyDescent="0.2">
      <c r="A82" s="738"/>
      <c r="B82" s="738"/>
      <c r="C82" s="738"/>
      <c r="D82" s="738"/>
      <c r="E82" s="738"/>
      <c r="F82" s="738"/>
      <c r="G82" s="738"/>
      <c r="H82" s="738"/>
      <c r="I82" s="738"/>
      <c r="J82" s="738"/>
      <c r="K82" s="738"/>
      <c r="L82" s="738"/>
      <c r="M82" s="738"/>
    </row>
    <row r="83" spans="1:13" ht="15" customHeight="1" x14ac:dyDescent="0.2">
      <c r="A83" s="738"/>
      <c r="B83" s="738"/>
      <c r="C83" s="738"/>
      <c r="D83" s="738"/>
      <c r="E83" s="738"/>
      <c r="F83" s="738"/>
      <c r="G83" s="738"/>
      <c r="H83" s="738"/>
      <c r="I83" s="738"/>
      <c r="J83" s="738"/>
      <c r="K83" s="738"/>
      <c r="L83" s="738"/>
      <c r="M83" s="738"/>
    </row>
    <row r="84" spans="1:13" ht="15" customHeight="1" x14ac:dyDescent="0.2">
      <c r="A84" s="738"/>
      <c r="B84" s="738"/>
      <c r="C84" s="738"/>
      <c r="D84" s="738"/>
      <c r="E84" s="738"/>
      <c r="F84" s="738"/>
      <c r="G84" s="738"/>
      <c r="H84" s="738"/>
      <c r="I84" s="738"/>
      <c r="J84" s="738"/>
      <c r="K84" s="738"/>
      <c r="L84" s="738"/>
      <c r="M84" s="738"/>
    </row>
    <row r="85" spans="1:13" ht="15" customHeight="1" x14ac:dyDescent="0.2">
      <c r="A85" s="738"/>
      <c r="B85" s="738"/>
      <c r="C85" s="738"/>
      <c r="D85" s="738"/>
      <c r="E85" s="738"/>
      <c r="F85" s="738"/>
      <c r="G85" s="738"/>
      <c r="H85" s="738"/>
      <c r="I85" s="738"/>
      <c r="J85" s="738"/>
      <c r="K85" s="738"/>
      <c r="L85" s="738"/>
      <c r="M85" s="738"/>
    </row>
    <row r="86" spans="1:13" ht="15" customHeight="1" x14ac:dyDescent="0.2">
      <c r="A86" s="738"/>
      <c r="B86" s="738"/>
      <c r="C86" s="738"/>
      <c r="D86" s="738"/>
      <c r="E86" s="738"/>
      <c r="F86" s="738"/>
      <c r="G86" s="738"/>
      <c r="H86" s="738"/>
      <c r="I86" s="738"/>
      <c r="J86" s="738"/>
      <c r="K86" s="738"/>
      <c r="L86" s="738"/>
      <c r="M86" s="738"/>
    </row>
    <row r="87" spans="1:13" ht="15" customHeight="1" x14ac:dyDescent="0.2">
      <c r="A87" s="738"/>
      <c r="B87" s="738"/>
      <c r="C87" s="738"/>
      <c r="D87" s="738"/>
      <c r="E87" s="738"/>
      <c r="F87" s="738"/>
      <c r="G87" s="738"/>
      <c r="H87" s="738"/>
      <c r="I87" s="738"/>
      <c r="J87" s="738"/>
      <c r="K87" s="738"/>
      <c r="L87" s="738"/>
      <c r="M87" s="738"/>
    </row>
    <row r="88" spans="1:13" ht="15" customHeight="1" x14ac:dyDescent="0.2">
      <c r="A88" s="738"/>
      <c r="B88" s="738"/>
      <c r="C88" s="738"/>
      <c r="D88" s="738"/>
      <c r="E88" s="738"/>
      <c r="F88" s="738"/>
      <c r="G88" s="738"/>
      <c r="H88" s="738"/>
      <c r="I88" s="738"/>
      <c r="J88" s="738"/>
      <c r="K88" s="738"/>
      <c r="L88" s="738"/>
      <c r="M88" s="738"/>
    </row>
    <row r="89" spans="1:13" ht="15" customHeight="1" x14ac:dyDescent="0.2">
      <c r="A89" s="738"/>
      <c r="B89" s="738"/>
      <c r="C89" s="738"/>
      <c r="D89" s="738"/>
      <c r="E89" s="738"/>
      <c r="F89" s="738"/>
      <c r="G89" s="738"/>
      <c r="H89" s="738"/>
      <c r="I89" s="738"/>
      <c r="J89" s="738"/>
      <c r="K89" s="738"/>
      <c r="L89" s="738"/>
      <c r="M89" s="738"/>
    </row>
    <row r="90" spans="1:13" ht="15" customHeight="1" x14ac:dyDescent="0.2">
      <c r="A90" s="738"/>
      <c r="B90" s="738"/>
      <c r="C90" s="738"/>
      <c r="D90" s="738"/>
      <c r="E90" s="738"/>
      <c r="F90" s="738"/>
      <c r="G90" s="738"/>
      <c r="H90" s="738"/>
      <c r="I90" s="738"/>
      <c r="J90" s="738"/>
      <c r="K90" s="738"/>
      <c r="L90" s="738"/>
      <c r="M90" s="738"/>
    </row>
    <row r="91" spans="1:13" ht="15" customHeight="1" x14ac:dyDescent="0.2">
      <c r="A91" s="738"/>
      <c r="B91" s="738"/>
      <c r="C91" s="738"/>
      <c r="D91" s="738"/>
      <c r="E91" s="738"/>
      <c r="F91" s="738"/>
      <c r="G91" s="738"/>
      <c r="H91" s="738"/>
      <c r="I91" s="738"/>
      <c r="J91" s="738"/>
      <c r="K91" s="738"/>
      <c r="L91" s="738"/>
      <c r="M91" s="738"/>
    </row>
    <row r="92" spans="1:13" ht="15" customHeight="1" x14ac:dyDescent="0.2">
      <c r="A92" s="738"/>
      <c r="B92" s="738"/>
      <c r="C92" s="738"/>
      <c r="D92" s="738"/>
      <c r="E92" s="738"/>
      <c r="F92" s="738"/>
      <c r="G92" s="738"/>
      <c r="H92" s="738"/>
      <c r="I92" s="738"/>
      <c r="J92" s="738"/>
      <c r="K92" s="738"/>
      <c r="L92" s="738"/>
      <c r="M92" s="738"/>
    </row>
    <row r="93" spans="1:13" ht="15" customHeight="1" x14ac:dyDescent="0.2">
      <c r="A93" s="738"/>
      <c r="B93" s="738"/>
      <c r="C93" s="738"/>
      <c r="D93" s="738"/>
      <c r="E93" s="738"/>
      <c r="F93" s="738"/>
      <c r="G93" s="738"/>
      <c r="H93" s="738"/>
      <c r="I93" s="738"/>
      <c r="J93" s="738"/>
      <c r="K93" s="738"/>
      <c r="L93" s="738"/>
      <c r="M93" s="738"/>
    </row>
    <row r="94" spans="1:13" ht="15" customHeight="1" x14ac:dyDescent="0.2">
      <c r="A94" s="738"/>
      <c r="B94" s="738"/>
      <c r="C94" s="738"/>
      <c r="D94" s="738"/>
      <c r="E94" s="738"/>
      <c r="F94" s="738"/>
      <c r="G94" s="738"/>
      <c r="H94" s="738"/>
      <c r="I94" s="738"/>
      <c r="J94" s="738"/>
      <c r="K94" s="738"/>
      <c r="L94" s="738"/>
      <c r="M94" s="738"/>
    </row>
    <row r="95" spans="1:13" ht="15" customHeight="1" x14ac:dyDescent="0.2">
      <c r="A95" s="738"/>
      <c r="B95" s="738"/>
      <c r="C95" s="738"/>
      <c r="D95" s="738"/>
      <c r="E95" s="738"/>
      <c r="F95" s="738"/>
      <c r="G95" s="738"/>
      <c r="H95" s="738"/>
      <c r="I95" s="738"/>
      <c r="J95" s="738"/>
      <c r="K95" s="738"/>
      <c r="L95" s="738"/>
      <c r="M95" s="738"/>
    </row>
    <row r="96" spans="1:13" ht="15" customHeight="1" x14ac:dyDescent="0.2">
      <c r="A96" s="738"/>
      <c r="B96" s="738"/>
      <c r="C96" s="738"/>
      <c r="D96" s="738"/>
      <c r="E96" s="738"/>
      <c r="F96" s="738"/>
      <c r="G96" s="738"/>
      <c r="H96" s="738"/>
      <c r="I96" s="738"/>
      <c r="J96" s="738"/>
      <c r="K96" s="738"/>
      <c r="L96" s="738"/>
      <c r="M96" s="738"/>
    </row>
    <row r="97" spans="1:13" ht="15" customHeight="1" x14ac:dyDescent="0.2">
      <c r="A97" s="738"/>
      <c r="B97" s="738"/>
      <c r="C97" s="738"/>
      <c r="D97" s="738"/>
      <c r="E97" s="738"/>
      <c r="F97" s="738"/>
      <c r="G97" s="738"/>
      <c r="H97" s="738"/>
      <c r="I97" s="738"/>
      <c r="J97" s="738"/>
      <c r="K97" s="738"/>
      <c r="L97" s="738"/>
      <c r="M97" s="738"/>
    </row>
    <row r="98" spans="1:13" ht="15" customHeight="1" x14ac:dyDescent="0.2">
      <c r="A98" s="738"/>
      <c r="B98" s="738"/>
      <c r="C98" s="738"/>
      <c r="D98" s="738"/>
      <c r="E98" s="738"/>
      <c r="F98" s="738"/>
      <c r="G98" s="738"/>
      <c r="H98" s="738"/>
      <c r="I98" s="738"/>
      <c r="J98" s="738"/>
      <c r="K98" s="738"/>
      <c r="L98" s="738"/>
      <c r="M98" s="738"/>
    </row>
    <row r="99" spans="1:13" ht="15" customHeight="1" x14ac:dyDescent="0.2">
      <c r="A99" s="738"/>
      <c r="B99" s="738"/>
      <c r="C99" s="738"/>
      <c r="D99" s="738"/>
      <c r="E99" s="738"/>
      <c r="F99" s="738"/>
      <c r="G99" s="738"/>
      <c r="H99" s="738"/>
      <c r="I99" s="738"/>
      <c r="J99" s="738"/>
      <c r="K99" s="738"/>
      <c r="L99" s="738"/>
      <c r="M99" s="738"/>
    </row>
    <row r="100" spans="1:13" ht="15" customHeight="1" x14ac:dyDescent="0.2">
      <c r="A100" s="738"/>
      <c r="B100" s="738"/>
      <c r="C100" s="738"/>
      <c r="D100" s="738"/>
      <c r="E100" s="738"/>
      <c r="F100" s="738"/>
      <c r="G100" s="738"/>
      <c r="H100" s="738"/>
      <c r="I100" s="738"/>
      <c r="J100" s="738"/>
      <c r="K100" s="738"/>
      <c r="L100" s="738"/>
      <c r="M100" s="738"/>
    </row>
    <row r="101" spans="1:13" ht="15" customHeight="1" x14ac:dyDescent="0.2">
      <c r="A101" s="738"/>
      <c r="B101" s="738"/>
      <c r="C101" s="738"/>
      <c r="D101" s="738"/>
      <c r="E101" s="738"/>
      <c r="F101" s="738"/>
      <c r="G101" s="738"/>
      <c r="H101" s="738"/>
      <c r="I101" s="738"/>
      <c r="J101" s="738"/>
      <c r="K101" s="738"/>
      <c r="L101" s="738"/>
      <c r="M101" s="738"/>
    </row>
    <row r="102" spans="1:13" ht="15" customHeight="1" x14ac:dyDescent="0.2">
      <c r="A102" s="738"/>
      <c r="B102" s="738"/>
      <c r="C102" s="738"/>
      <c r="D102" s="738"/>
      <c r="E102" s="738"/>
      <c r="F102" s="738"/>
      <c r="G102" s="738"/>
      <c r="H102" s="738"/>
      <c r="I102" s="738"/>
      <c r="J102" s="738"/>
      <c r="K102" s="738"/>
      <c r="L102" s="738"/>
      <c r="M102" s="738"/>
    </row>
    <row r="103" spans="1:13" ht="15" customHeight="1" x14ac:dyDescent="0.2">
      <c r="A103" s="738"/>
      <c r="B103" s="738"/>
      <c r="C103" s="738"/>
      <c r="D103" s="738"/>
      <c r="E103" s="738"/>
      <c r="F103" s="738"/>
      <c r="G103" s="738"/>
      <c r="H103" s="738"/>
      <c r="I103" s="738"/>
      <c r="J103" s="738"/>
      <c r="K103" s="738"/>
      <c r="L103" s="738"/>
      <c r="M103" s="738"/>
    </row>
    <row r="104" spans="1:13" ht="15" customHeight="1" x14ac:dyDescent="0.2">
      <c r="A104" s="738"/>
      <c r="B104" s="738"/>
      <c r="C104" s="738"/>
      <c r="D104" s="738"/>
      <c r="E104" s="738"/>
      <c r="F104" s="738"/>
      <c r="G104" s="738"/>
      <c r="H104" s="738"/>
      <c r="I104" s="738"/>
      <c r="J104" s="738"/>
      <c r="K104" s="738"/>
      <c r="L104" s="738"/>
      <c r="M104" s="738"/>
    </row>
    <row r="105" spans="1:13" ht="15" customHeight="1" x14ac:dyDescent="0.2">
      <c r="A105" s="738"/>
      <c r="B105" s="738"/>
      <c r="C105" s="738"/>
      <c r="D105" s="738"/>
      <c r="E105" s="738"/>
      <c r="F105" s="738"/>
      <c r="G105" s="738"/>
      <c r="H105" s="738"/>
      <c r="I105" s="738"/>
      <c r="J105" s="738"/>
      <c r="K105" s="738"/>
      <c r="L105" s="738"/>
      <c r="M105" s="738"/>
    </row>
    <row r="106" spans="1:13" ht="15" customHeight="1" x14ac:dyDescent="0.2">
      <c r="A106" s="738"/>
      <c r="B106" s="738"/>
      <c r="C106" s="738"/>
      <c r="D106" s="738"/>
      <c r="E106" s="738"/>
      <c r="F106" s="738"/>
      <c r="G106" s="738"/>
      <c r="H106" s="738"/>
      <c r="I106" s="738"/>
      <c r="J106" s="738"/>
      <c r="K106" s="738"/>
      <c r="L106" s="738"/>
      <c r="M106" s="738"/>
    </row>
    <row r="107" spans="1:13" ht="15" customHeight="1" x14ac:dyDescent="0.2">
      <c r="A107" s="738"/>
      <c r="B107" s="738"/>
      <c r="C107" s="738"/>
      <c r="D107" s="738"/>
      <c r="E107" s="738"/>
      <c r="F107" s="738"/>
      <c r="G107" s="738"/>
      <c r="H107" s="738"/>
      <c r="I107" s="738"/>
      <c r="J107" s="738"/>
      <c r="K107" s="738"/>
      <c r="L107" s="738"/>
      <c r="M107" s="738"/>
    </row>
    <row r="108" spans="1:13" ht="15" customHeight="1" x14ac:dyDescent="0.2">
      <c r="A108" s="738"/>
      <c r="B108" s="738"/>
      <c r="C108" s="738"/>
      <c r="D108" s="738"/>
      <c r="E108" s="738"/>
      <c r="F108" s="738"/>
      <c r="G108" s="738"/>
      <c r="H108" s="738"/>
      <c r="I108" s="738"/>
      <c r="J108" s="738"/>
      <c r="K108" s="738"/>
      <c r="L108" s="738"/>
      <c r="M108" s="738"/>
    </row>
    <row r="109" spans="1:13" ht="15" customHeight="1" x14ac:dyDescent="0.2">
      <c r="A109" s="738"/>
      <c r="B109" s="738"/>
      <c r="C109" s="738"/>
      <c r="D109" s="738"/>
      <c r="E109" s="738"/>
      <c r="F109" s="738"/>
      <c r="G109" s="738"/>
      <c r="H109" s="738"/>
      <c r="I109" s="738"/>
      <c r="J109" s="738"/>
      <c r="K109" s="738"/>
      <c r="L109" s="738"/>
      <c r="M109" s="738"/>
    </row>
    <row r="110" spans="1:13" ht="15" customHeight="1" x14ac:dyDescent="0.2">
      <c r="A110" s="738"/>
      <c r="B110" s="738"/>
      <c r="C110" s="738"/>
      <c r="D110" s="738"/>
      <c r="E110" s="738"/>
      <c r="F110" s="738"/>
      <c r="G110" s="738"/>
      <c r="H110" s="738"/>
      <c r="I110" s="738"/>
      <c r="J110" s="738"/>
      <c r="K110" s="738"/>
      <c r="L110" s="738"/>
      <c r="M110" s="738"/>
    </row>
    <row r="111" spans="1:13" ht="15" customHeight="1" x14ac:dyDescent="0.2">
      <c r="A111" s="738"/>
      <c r="B111" s="738"/>
      <c r="C111" s="738"/>
      <c r="D111" s="738"/>
      <c r="E111" s="738"/>
      <c r="F111" s="738"/>
      <c r="G111" s="738"/>
      <c r="H111" s="738"/>
      <c r="I111" s="738"/>
      <c r="J111" s="738"/>
      <c r="K111" s="738"/>
      <c r="L111" s="738"/>
      <c r="M111" s="738"/>
    </row>
    <row r="112" spans="1:13" ht="15" customHeight="1" x14ac:dyDescent="0.2">
      <c r="A112" s="738"/>
      <c r="B112" s="738"/>
      <c r="C112" s="738"/>
      <c r="D112" s="738"/>
      <c r="E112" s="738"/>
      <c r="F112" s="738"/>
      <c r="G112" s="738"/>
      <c r="H112" s="738"/>
      <c r="I112" s="738"/>
      <c r="J112" s="738"/>
      <c r="K112" s="738"/>
      <c r="L112" s="738"/>
      <c r="M112" s="738"/>
    </row>
    <row r="113" spans="1:13" ht="15" customHeight="1" x14ac:dyDescent="0.2">
      <c r="A113" s="738"/>
      <c r="B113" s="738"/>
      <c r="C113" s="738"/>
      <c r="D113" s="738"/>
      <c r="E113" s="738"/>
      <c r="F113" s="738"/>
      <c r="G113" s="738"/>
      <c r="H113" s="738"/>
      <c r="I113" s="738"/>
      <c r="J113" s="738"/>
      <c r="K113" s="738"/>
      <c r="L113" s="738"/>
      <c r="M113" s="738"/>
    </row>
    <row r="114" spans="1:13" ht="15" customHeight="1" x14ac:dyDescent="0.2">
      <c r="A114" s="738"/>
      <c r="B114" s="738"/>
      <c r="C114" s="738"/>
      <c r="D114" s="738"/>
      <c r="E114" s="738"/>
      <c r="F114" s="738"/>
      <c r="G114" s="738"/>
      <c r="H114" s="738"/>
      <c r="I114" s="738"/>
      <c r="J114" s="738"/>
      <c r="K114" s="738"/>
      <c r="L114" s="738"/>
      <c r="M114" s="738"/>
    </row>
    <row r="115" spans="1:13" ht="15" customHeight="1" x14ac:dyDescent="0.2">
      <c r="A115" s="738"/>
      <c r="B115" s="738"/>
      <c r="C115" s="738"/>
      <c r="D115" s="738"/>
      <c r="E115" s="738"/>
      <c r="F115" s="738"/>
      <c r="G115" s="738"/>
      <c r="H115" s="738"/>
      <c r="I115" s="738"/>
      <c r="J115" s="738"/>
      <c r="K115" s="738"/>
      <c r="L115" s="738"/>
      <c r="M115" s="738"/>
    </row>
    <row r="116" spans="1:13" ht="15" customHeight="1" x14ac:dyDescent="0.2">
      <c r="A116" s="738"/>
      <c r="B116" s="738"/>
      <c r="C116" s="738"/>
      <c r="D116" s="738"/>
      <c r="E116" s="738"/>
      <c r="F116" s="738"/>
      <c r="G116" s="738"/>
      <c r="H116" s="738"/>
      <c r="I116" s="738"/>
      <c r="J116" s="738"/>
      <c r="K116" s="738"/>
      <c r="L116" s="738"/>
      <c r="M116" s="738"/>
    </row>
    <row r="117" spans="1:13" ht="15" customHeight="1" x14ac:dyDescent="0.2">
      <c r="A117" s="738"/>
      <c r="B117" s="738"/>
      <c r="C117" s="738"/>
      <c r="D117" s="738"/>
      <c r="E117" s="738"/>
      <c r="F117" s="738"/>
      <c r="G117" s="738"/>
      <c r="H117" s="738"/>
      <c r="I117" s="738"/>
      <c r="J117" s="738"/>
      <c r="K117" s="738"/>
      <c r="L117" s="738"/>
      <c r="M117" s="738"/>
    </row>
    <row r="118" spans="1:13" ht="15" customHeight="1" x14ac:dyDescent="0.2">
      <c r="A118" s="738"/>
      <c r="B118" s="738"/>
      <c r="C118" s="738"/>
      <c r="D118" s="738"/>
      <c r="E118" s="738"/>
      <c r="F118" s="738"/>
      <c r="G118" s="738"/>
      <c r="H118" s="738"/>
      <c r="I118" s="738"/>
      <c r="J118" s="738"/>
      <c r="K118" s="738"/>
      <c r="L118" s="738"/>
      <c r="M118" s="738"/>
    </row>
    <row r="119" spans="1:13" ht="15" customHeight="1" x14ac:dyDescent="0.2">
      <c r="A119" s="738"/>
      <c r="B119" s="738"/>
      <c r="C119" s="738"/>
      <c r="D119" s="738"/>
      <c r="E119" s="738"/>
      <c r="F119" s="738"/>
      <c r="G119" s="738"/>
      <c r="H119" s="738"/>
      <c r="I119" s="738"/>
      <c r="J119" s="738"/>
      <c r="K119" s="738"/>
      <c r="L119" s="738"/>
      <c r="M119" s="738"/>
    </row>
    <row r="120" spans="1:13" ht="15" customHeight="1" x14ac:dyDescent="0.2">
      <c r="A120" s="738"/>
      <c r="B120" s="738"/>
      <c r="C120" s="738"/>
      <c r="D120" s="738"/>
      <c r="E120" s="738"/>
      <c r="F120" s="738"/>
      <c r="G120" s="738"/>
      <c r="H120" s="738"/>
      <c r="I120" s="738"/>
      <c r="J120" s="738"/>
      <c r="K120" s="738"/>
      <c r="L120" s="738"/>
      <c r="M120" s="738"/>
    </row>
    <row r="121" spans="1:13" ht="15" customHeight="1" x14ac:dyDescent="0.2">
      <c r="A121" s="738"/>
      <c r="B121" s="738"/>
      <c r="C121" s="738"/>
      <c r="D121" s="738"/>
      <c r="E121" s="738"/>
      <c r="F121" s="738"/>
      <c r="G121" s="738"/>
      <c r="H121" s="738"/>
      <c r="I121" s="738"/>
      <c r="J121" s="738"/>
      <c r="K121" s="738"/>
      <c r="L121" s="738"/>
      <c r="M121" s="738"/>
    </row>
    <row r="122" spans="1:13" ht="15" customHeight="1" x14ac:dyDescent="0.2">
      <c r="A122" s="738"/>
      <c r="B122" s="738"/>
      <c r="C122" s="738"/>
      <c r="D122" s="738"/>
      <c r="E122" s="738"/>
      <c r="F122" s="738"/>
      <c r="G122" s="738"/>
      <c r="H122" s="738"/>
      <c r="I122" s="738"/>
      <c r="J122" s="738"/>
      <c r="K122" s="738"/>
      <c r="L122" s="738"/>
      <c r="M122" s="738"/>
    </row>
    <row r="123" spans="1:13" ht="15" customHeight="1" x14ac:dyDescent="0.2">
      <c r="A123" s="738"/>
      <c r="B123" s="738"/>
      <c r="C123" s="738"/>
      <c r="D123" s="738"/>
      <c r="E123" s="738"/>
      <c r="F123" s="738"/>
      <c r="G123" s="738"/>
      <c r="H123" s="738"/>
      <c r="I123" s="738"/>
      <c r="J123" s="738"/>
      <c r="K123" s="738"/>
      <c r="L123" s="738"/>
      <c r="M123" s="738"/>
    </row>
    <row r="124" spans="1:13" ht="15" customHeight="1" x14ac:dyDescent="0.2">
      <c r="A124" s="738"/>
      <c r="B124" s="738"/>
      <c r="C124" s="738"/>
      <c r="D124" s="738"/>
      <c r="E124" s="738"/>
      <c r="F124" s="738"/>
      <c r="G124" s="738"/>
      <c r="H124" s="738"/>
      <c r="I124" s="738"/>
      <c r="J124" s="738"/>
      <c r="K124" s="738"/>
      <c r="L124" s="738"/>
      <c r="M124" s="738"/>
    </row>
    <row r="125" spans="1:13" ht="15" customHeight="1" x14ac:dyDescent="0.2">
      <c r="A125" s="738"/>
      <c r="B125" s="738"/>
      <c r="C125" s="738"/>
      <c r="D125" s="738"/>
      <c r="E125" s="738"/>
      <c r="F125" s="738"/>
      <c r="G125" s="738"/>
      <c r="H125" s="738"/>
      <c r="I125" s="738"/>
      <c r="J125" s="738"/>
      <c r="K125" s="738"/>
      <c r="L125" s="738"/>
      <c r="M125" s="738"/>
    </row>
    <row r="126" spans="1:13" ht="15" customHeight="1" x14ac:dyDescent="0.2">
      <c r="A126" s="738"/>
      <c r="B126" s="738"/>
      <c r="C126" s="738"/>
      <c r="D126" s="738"/>
      <c r="E126" s="738"/>
      <c r="F126" s="738"/>
      <c r="G126" s="738"/>
      <c r="H126" s="738"/>
      <c r="I126" s="738"/>
      <c r="J126" s="738"/>
      <c r="K126" s="738"/>
      <c r="L126" s="738"/>
      <c r="M126" s="738"/>
    </row>
    <row r="127" spans="1:13" ht="15" customHeight="1" x14ac:dyDescent="0.2">
      <c r="A127" s="738"/>
      <c r="B127" s="738"/>
      <c r="C127" s="738"/>
      <c r="D127" s="738"/>
      <c r="E127" s="738"/>
      <c r="F127" s="738"/>
      <c r="G127" s="738"/>
      <c r="H127" s="738"/>
      <c r="I127" s="738"/>
      <c r="J127" s="738"/>
      <c r="K127" s="738"/>
      <c r="L127" s="738"/>
      <c r="M127" s="738"/>
    </row>
    <row r="128" spans="1:13" ht="15" customHeight="1" x14ac:dyDescent="0.2">
      <c r="A128" s="738"/>
      <c r="B128" s="738"/>
      <c r="C128" s="738"/>
      <c r="D128" s="738"/>
      <c r="E128" s="738"/>
      <c r="F128" s="738"/>
      <c r="G128" s="738"/>
      <c r="H128" s="738"/>
      <c r="I128" s="738"/>
      <c r="J128" s="738"/>
      <c r="K128" s="738"/>
      <c r="L128" s="738"/>
      <c r="M128" s="738"/>
    </row>
    <row r="129" spans="1:13" ht="15" customHeight="1" x14ac:dyDescent="0.2">
      <c r="A129" s="738"/>
      <c r="B129" s="738"/>
      <c r="C129" s="738"/>
      <c r="D129" s="738"/>
      <c r="E129" s="738"/>
      <c r="F129" s="738"/>
      <c r="G129" s="738"/>
      <c r="H129" s="738"/>
      <c r="I129" s="738"/>
      <c r="J129" s="738"/>
      <c r="K129" s="738"/>
      <c r="L129" s="738"/>
      <c r="M129" s="738"/>
    </row>
    <row r="130" spans="1:13" ht="15" customHeight="1" x14ac:dyDescent="0.2">
      <c r="A130" s="738"/>
      <c r="B130" s="738"/>
      <c r="C130" s="738"/>
      <c r="D130" s="738"/>
      <c r="E130" s="738"/>
      <c r="F130" s="738"/>
      <c r="G130" s="738"/>
      <c r="H130" s="738"/>
      <c r="I130" s="738"/>
      <c r="J130" s="738"/>
      <c r="K130" s="738"/>
      <c r="L130" s="738"/>
      <c r="M130" s="738"/>
    </row>
    <row r="131" spans="1:13" ht="15" customHeight="1" x14ac:dyDescent="0.2">
      <c r="A131" s="738"/>
      <c r="B131" s="738"/>
      <c r="C131" s="738"/>
      <c r="D131" s="738"/>
      <c r="E131" s="738"/>
      <c r="F131" s="738"/>
      <c r="G131" s="738"/>
      <c r="H131" s="738"/>
      <c r="I131" s="738"/>
      <c r="J131" s="738"/>
      <c r="K131" s="738"/>
      <c r="L131" s="738"/>
      <c r="M131" s="738"/>
    </row>
    <row r="132" spans="1:13" ht="15" customHeight="1" x14ac:dyDescent="0.2">
      <c r="A132" s="738"/>
      <c r="B132" s="738"/>
      <c r="C132" s="738"/>
      <c r="D132" s="738"/>
      <c r="E132" s="738"/>
      <c r="F132" s="738"/>
      <c r="G132" s="738"/>
      <c r="H132" s="738"/>
      <c r="I132" s="738"/>
      <c r="J132" s="738"/>
      <c r="K132" s="738"/>
      <c r="L132" s="738"/>
      <c r="M132" s="738"/>
    </row>
    <row r="133" spans="1:13" ht="15" customHeight="1" x14ac:dyDescent="0.2">
      <c r="A133" s="738"/>
      <c r="B133" s="738"/>
      <c r="C133" s="738"/>
      <c r="D133" s="738"/>
      <c r="E133" s="738"/>
      <c r="F133" s="738"/>
      <c r="G133" s="738"/>
      <c r="H133" s="738"/>
      <c r="I133" s="738"/>
      <c r="J133" s="738"/>
      <c r="K133" s="738"/>
      <c r="L133" s="738"/>
      <c r="M133" s="738"/>
    </row>
    <row r="134" spans="1:13" ht="15" customHeight="1" x14ac:dyDescent="0.2">
      <c r="A134" s="738"/>
      <c r="B134" s="738"/>
      <c r="C134" s="738"/>
      <c r="D134" s="738"/>
      <c r="E134" s="738"/>
      <c r="F134" s="738"/>
      <c r="G134" s="738"/>
      <c r="H134" s="738"/>
      <c r="I134" s="738"/>
      <c r="J134" s="738"/>
      <c r="K134" s="738"/>
      <c r="L134" s="738"/>
      <c r="M134" s="738"/>
    </row>
    <row r="135" spans="1:13" ht="15" customHeight="1" x14ac:dyDescent="0.2">
      <c r="A135" s="738"/>
      <c r="B135" s="738"/>
      <c r="C135" s="738"/>
      <c r="D135" s="738"/>
      <c r="E135" s="738"/>
      <c r="F135" s="738"/>
      <c r="G135" s="738"/>
      <c r="H135" s="738"/>
      <c r="I135" s="738"/>
      <c r="J135" s="738"/>
      <c r="K135" s="738"/>
      <c r="L135" s="738"/>
      <c r="M135" s="738"/>
    </row>
    <row r="136" spans="1:13" ht="15" customHeight="1" x14ac:dyDescent="0.2">
      <c r="A136" s="738"/>
      <c r="B136" s="738"/>
      <c r="C136" s="738"/>
      <c r="D136" s="738"/>
      <c r="E136" s="738"/>
      <c r="F136" s="738"/>
      <c r="G136" s="738"/>
      <c r="H136" s="738"/>
      <c r="I136" s="738"/>
      <c r="J136" s="738"/>
      <c r="K136" s="738"/>
      <c r="L136" s="738"/>
      <c r="M136" s="738"/>
    </row>
    <row r="137" spans="1:13" ht="15" customHeight="1" x14ac:dyDescent="0.2">
      <c r="A137" s="738"/>
      <c r="B137" s="738"/>
      <c r="C137" s="738"/>
      <c r="D137" s="738"/>
      <c r="E137" s="738"/>
      <c r="F137" s="738"/>
      <c r="G137" s="738"/>
      <c r="H137" s="738"/>
      <c r="I137" s="738"/>
      <c r="J137" s="738"/>
      <c r="K137" s="738"/>
      <c r="L137" s="738"/>
      <c r="M137" s="738"/>
    </row>
    <row r="138" spans="1:13" ht="15" customHeight="1" x14ac:dyDescent="0.2">
      <c r="A138" s="738"/>
      <c r="B138" s="738"/>
      <c r="C138" s="738"/>
      <c r="D138" s="738"/>
      <c r="E138" s="738"/>
      <c r="F138" s="738"/>
      <c r="G138" s="738"/>
      <c r="H138" s="738"/>
      <c r="I138" s="738"/>
      <c r="J138" s="738"/>
      <c r="K138" s="738"/>
      <c r="L138" s="738"/>
      <c r="M138" s="738"/>
    </row>
    <row r="139" spans="1:13" ht="15" customHeight="1" x14ac:dyDescent="0.2">
      <c r="A139" s="738"/>
      <c r="B139" s="738"/>
      <c r="C139" s="738"/>
      <c r="D139" s="738"/>
      <c r="E139" s="738"/>
      <c r="F139" s="738"/>
      <c r="G139" s="738"/>
      <c r="H139" s="738"/>
      <c r="I139" s="738"/>
      <c r="J139" s="738"/>
      <c r="K139" s="738"/>
      <c r="L139" s="738"/>
      <c r="M139" s="738"/>
    </row>
    <row r="140" spans="1:13" ht="15" customHeight="1" x14ac:dyDescent="0.2">
      <c r="A140" s="738"/>
      <c r="B140" s="738"/>
      <c r="C140" s="738"/>
      <c r="D140" s="738"/>
      <c r="E140" s="738"/>
      <c r="F140" s="738"/>
      <c r="G140" s="738"/>
      <c r="H140" s="738"/>
      <c r="I140" s="738"/>
      <c r="J140" s="738"/>
      <c r="K140" s="738"/>
      <c r="L140" s="738"/>
      <c r="M140" s="738"/>
    </row>
    <row r="141" spans="1:13" ht="15" customHeight="1" x14ac:dyDescent="0.2">
      <c r="A141" s="738"/>
      <c r="B141" s="738"/>
      <c r="C141" s="738"/>
      <c r="D141" s="738"/>
      <c r="E141" s="738"/>
      <c r="F141" s="738"/>
      <c r="G141" s="738"/>
      <c r="H141" s="738"/>
      <c r="I141" s="738"/>
      <c r="J141" s="738"/>
      <c r="K141" s="738"/>
      <c r="L141" s="738"/>
      <c r="M141" s="738"/>
    </row>
    <row r="142" spans="1:13" ht="15" customHeight="1" x14ac:dyDescent="0.2">
      <c r="A142" s="738"/>
      <c r="B142" s="738"/>
      <c r="C142" s="738"/>
      <c r="D142" s="738"/>
      <c r="E142" s="738"/>
      <c r="F142" s="738"/>
      <c r="G142" s="738"/>
      <c r="H142" s="738"/>
      <c r="I142" s="738"/>
      <c r="J142" s="738"/>
      <c r="K142" s="738"/>
      <c r="L142" s="738"/>
      <c r="M142" s="738"/>
    </row>
    <row r="143" spans="1:13" ht="15" customHeight="1" x14ac:dyDescent="0.2">
      <c r="A143" s="738"/>
      <c r="B143" s="738"/>
      <c r="C143" s="738"/>
      <c r="D143" s="738"/>
      <c r="E143" s="738"/>
      <c r="F143" s="738"/>
      <c r="G143" s="738"/>
      <c r="H143" s="738"/>
      <c r="I143" s="738"/>
      <c r="J143" s="738"/>
      <c r="K143" s="738"/>
      <c r="L143" s="738"/>
      <c r="M143" s="738"/>
    </row>
    <row r="144" spans="1:13" ht="15" customHeight="1" x14ac:dyDescent="0.2">
      <c r="A144" s="738"/>
      <c r="B144" s="738"/>
      <c r="C144" s="738"/>
      <c r="D144" s="738"/>
      <c r="E144" s="738"/>
      <c r="F144" s="738"/>
      <c r="G144" s="738"/>
      <c r="H144" s="738"/>
      <c r="I144" s="738"/>
      <c r="J144" s="738"/>
      <c r="K144" s="738"/>
      <c r="L144" s="738"/>
      <c r="M144" s="738"/>
    </row>
    <row r="145" spans="1:13" ht="15" customHeight="1" x14ac:dyDescent="0.2">
      <c r="A145" s="738"/>
      <c r="B145" s="738"/>
      <c r="C145" s="738"/>
      <c r="D145" s="738"/>
      <c r="E145" s="738"/>
      <c r="F145" s="738"/>
      <c r="G145" s="738"/>
      <c r="H145" s="738"/>
      <c r="I145" s="738"/>
      <c r="J145" s="738"/>
      <c r="K145" s="738"/>
      <c r="L145" s="738"/>
      <c r="M145" s="738"/>
    </row>
    <row r="146" spans="1:13" ht="15" x14ac:dyDescent="0.2">
      <c r="A146" s="738"/>
      <c r="B146" s="738"/>
      <c r="C146" s="738"/>
      <c r="D146" s="738"/>
      <c r="E146" s="738"/>
      <c r="F146" s="738"/>
      <c r="G146" s="738"/>
      <c r="H146" s="738"/>
      <c r="I146" s="738"/>
      <c r="J146" s="738"/>
      <c r="K146" s="738"/>
      <c r="L146" s="738"/>
      <c r="M146" s="738"/>
    </row>
    <row r="147" spans="1:13" ht="15" x14ac:dyDescent="0.2">
      <c r="A147" s="738"/>
      <c r="B147" s="738"/>
      <c r="C147" s="738"/>
      <c r="D147" s="738"/>
      <c r="E147" s="738"/>
      <c r="F147" s="738"/>
      <c r="G147" s="738"/>
      <c r="H147" s="738"/>
      <c r="I147" s="738"/>
      <c r="J147" s="738"/>
      <c r="K147" s="738"/>
      <c r="L147" s="738"/>
      <c r="M147" s="738"/>
    </row>
    <row r="148" spans="1:13" ht="15" x14ac:dyDescent="0.2">
      <c r="A148" s="738"/>
      <c r="B148" s="738"/>
      <c r="C148" s="738"/>
      <c r="D148" s="738"/>
      <c r="E148" s="738"/>
      <c r="F148" s="738"/>
      <c r="G148" s="738"/>
      <c r="H148" s="738"/>
      <c r="I148" s="738"/>
      <c r="J148" s="738"/>
      <c r="K148" s="738"/>
      <c r="L148" s="738"/>
      <c r="M148" s="738"/>
    </row>
    <row r="149" spans="1:13" ht="15" x14ac:dyDescent="0.2">
      <c r="A149" s="738"/>
      <c r="B149" s="738"/>
      <c r="C149" s="738"/>
      <c r="D149" s="738"/>
      <c r="E149" s="738"/>
      <c r="F149" s="738"/>
      <c r="G149" s="738"/>
      <c r="H149" s="738"/>
      <c r="I149" s="738"/>
      <c r="J149" s="738"/>
      <c r="K149" s="738"/>
      <c r="L149" s="738"/>
      <c r="M149" s="738"/>
    </row>
    <row r="150" spans="1:13" ht="15" x14ac:dyDescent="0.2">
      <c r="A150" s="738"/>
      <c r="B150" s="738"/>
      <c r="C150" s="738"/>
      <c r="D150" s="738"/>
      <c r="E150" s="738"/>
      <c r="F150" s="738"/>
      <c r="G150" s="738"/>
      <c r="H150" s="738"/>
      <c r="I150" s="738"/>
      <c r="J150" s="738"/>
      <c r="K150" s="738"/>
      <c r="L150" s="738"/>
      <c r="M150" s="738"/>
    </row>
    <row r="151" spans="1:13" ht="15" x14ac:dyDescent="0.2">
      <c r="A151" s="738"/>
      <c r="B151" s="738"/>
      <c r="C151" s="738"/>
      <c r="D151" s="738"/>
      <c r="E151" s="738"/>
      <c r="F151" s="738"/>
      <c r="G151" s="738"/>
      <c r="H151" s="738"/>
      <c r="I151" s="738"/>
      <c r="J151" s="738"/>
      <c r="K151" s="738"/>
      <c r="L151" s="738"/>
      <c r="M151" s="738"/>
    </row>
    <row r="152" spans="1:13" ht="15" x14ac:dyDescent="0.2">
      <c r="A152" s="738"/>
      <c r="B152" s="738"/>
      <c r="C152" s="738"/>
      <c r="D152" s="738"/>
      <c r="E152" s="738"/>
      <c r="F152" s="738"/>
      <c r="G152" s="738"/>
      <c r="H152" s="738"/>
      <c r="I152" s="738"/>
      <c r="J152" s="738"/>
      <c r="K152" s="738"/>
      <c r="L152" s="738"/>
      <c r="M152" s="738"/>
    </row>
    <row r="153" spans="1:13" ht="15" x14ac:dyDescent="0.2">
      <c r="A153" s="738"/>
      <c r="B153" s="738"/>
      <c r="C153" s="738"/>
      <c r="D153" s="738"/>
      <c r="E153" s="738"/>
      <c r="F153" s="738"/>
      <c r="G153" s="738"/>
      <c r="H153" s="738"/>
      <c r="I153" s="738"/>
      <c r="J153" s="738"/>
      <c r="K153" s="738"/>
      <c r="L153" s="738"/>
      <c r="M153" s="738"/>
    </row>
    <row r="154" spans="1:13" ht="15" x14ac:dyDescent="0.2">
      <c r="A154" s="738"/>
      <c r="B154" s="738"/>
      <c r="C154" s="738"/>
      <c r="D154" s="738"/>
      <c r="E154" s="738"/>
      <c r="F154" s="738"/>
      <c r="G154" s="738"/>
      <c r="H154" s="738"/>
      <c r="I154" s="738"/>
      <c r="J154" s="738"/>
      <c r="K154" s="738"/>
      <c r="L154" s="738"/>
      <c r="M154" s="738"/>
    </row>
    <row r="155" spans="1:13" ht="15" x14ac:dyDescent="0.2">
      <c r="A155" s="738"/>
      <c r="B155" s="738"/>
      <c r="C155" s="738"/>
      <c r="D155" s="738"/>
      <c r="E155" s="738"/>
      <c r="F155" s="738"/>
      <c r="G155" s="738"/>
      <c r="H155" s="738"/>
      <c r="I155" s="738"/>
      <c r="J155" s="738"/>
      <c r="K155" s="738"/>
      <c r="L155" s="738"/>
      <c r="M155" s="738"/>
    </row>
    <row r="156" spans="1:13" ht="15" x14ac:dyDescent="0.2">
      <c r="A156" s="738"/>
      <c r="B156" s="738"/>
      <c r="C156" s="738"/>
      <c r="D156" s="738"/>
      <c r="E156" s="738"/>
      <c r="F156" s="738"/>
      <c r="G156" s="738"/>
      <c r="H156" s="738"/>
      <c r="I156" s="738"/>
      <c r="J156" s="738"/>
      <c r="K156" s="738"/>
      <c r="L156" s="738"/>
      <c r="M156" s="738"/>
    </row>
    <row r="157" spans="1:13" ht="15" x14ac:dyDescent="0.2">
      <c r="A157" s="738"/>
      <c r="B157" s="738"/>
      <c r="C157" s="738"/>
      <c r="D157" s="738"/>
      <c r="E157" s="738"/>
      <c r="F157" s="738"/>
      <c r="G157" s="738"/>
      <c r="H157" s="738"/>
      <c r="I157" s="738"/>
      <c r="J157" s="738"/>
      <c r="K157" s="738"/>
      <c r="L157" s="738"/>
      <c r="M157" s="738"/>
    </row>
    <row r="158" spans="1:13" ht="15" x14ac:dyDescent="0.2">
      <c r="A158" s="738"/>
      <c r="B158" s="738"/>
      <c r="C158" s="738"/>
      <c r="D158" s="738"/>
      <c r="E158" s="738"/>
      <c r="F158" s="738"/>
      <c r="G158" s="738"/>
      <c r="H158" s="738"/>
      <c r="I158" s="738"/>
      <c r="J158" s="738"/>
      <c r="K158" s="738"/>
      <c r="L158" s="738"/>
      <c r="M158" s="738"/>
    </row>
    <row r="159" spans="1:13" ht="15" x14ac:dyDescent="0.2">
      <c r="A159" s="738"/>
      <c r="B159" s="738"/>
      <c r="C159" s="738"/>
      <c r="D159" s="738"/>
      <c r="E159" s="738"/>
      <c r="F159" s="738"/>
      <c r="G159" s="738"/>
      <c r="H159" s="738"/>
      <c r="I159" s="738"/>
      <c r="J159" s="738"/>
      <c r="K159" s="738"/>
      <c r="L159" s="738"/>
      <c r="M159" s="738"/>
    </row>
    <row r="160" spans="1:13" ht="15" x14ac:dyDescent="0.2">
      <c r="A160" s="738"/>
      <c r="B160" s="738"/>
      <c r="C160" s="738"/>
      <c r="D160" s="738"/>
      <c r="E160" s="738"/>
      <c r="F160" s="738"/>
      <c r="G160" s="738"/>
      <c r="H160" s="738"/>
      <c r="I160" s="738"/>
      <c r="J160" s="738"/>
      <c r="K160" s="738"/>
      <c r="L160" s="738"/>
      <c r="M160" s="738"/>
    </row>
    <row r="161" spans="1:13" ht="15" x14ac:dyDescent="0.2">
      <c r="A161" s="738"/>
      <c r="B161" s="738"/>
      <c r="C161" s="738"/>
      <c r="D161" s="738"/>
      <c r="E161" s="738"/>
      <c r="F161" s="738"/>
      <c r="G161" s="738"/>
      <c r="H161" s="738"/>
      <c r="I161" s="738"/>
      <c r="J161" s="738"/>
      <c r="K161" s="738"/>
      <c r="L161" s="738"/>
      <c r="M161" s="738"/>
    </row>
    <row r="162" spans="1:13" ht="15" x14ac:dyDescent="0.2">
      <c r="A162" s="738"/>
      <c r="B162" s="738"/>
      <c r="C162" s="738"/>
      <c r="D162" s="738"/>
      <c r="E162" s="738"/>
      <c r="F162" s="738"/>
      <c r="G162" s="738"/>
      <c r="H162" s="738"/>
      <c r="I162" s="738"/>
      <c r="J162" s="738"/>
      <c r="K162" s="738"/>
      <c r="L162" s="738"/>
      <c r="M162" s="738"/>
    </row>
    <row r="163" spans="1:13" ht="15" x14ac:dyDescent="0.2">
      <c r="A163" s="738"/>
      <c r="B163" s="738"/>
      <c r="C163" s="738"/>
      <c r="D163" s="738"/>
      <c r="E163" s="738"/>
      <c r="F163" s="738"/>
      <c r="G163" s="738"/>
      <c r="H163" s="738"/>
      <c r="I163" s="738"/>
      <c r="J163" s="738"/>
      <c r="K163" s="738"/>
      <c r="L163" s="738"/>
      <c r="M163" s="738"/>
    </row>
    <row r="164" spans="1:13" ht="15" x14ac:dyDescent="0.2">
      <c r="A164" s="738"/>
      <c r="B164" s="738"/>
      <c r="C164" s="738"/>
      <c r="D164" s="738"/>
      <c r="E164" s="738"/>
      <c r="F164" s="738"/>
      <c r="G164" s="738"/>
      <c r="H164" s="738"/>
      <c r="I164" s="738"/>
      <c r="J164" s="738"/>
      <c r="K164" s="738"/>
      <c r="L164" s="738"/>
      <c r="M164" s="738"/>
    </row>
    <row r="165" spans="1:13" ht="15" x14ac:dyDescent="0.2">
      <c r="A165" s="738"/>
      <c r="B165" s="738"/>
      <c r="C165" s="738"/>
      <c r="D165" s="738"/>
      <c r="E165" s="738"/>
      <c r="F165" s="738"/>
      <c r="G165" s="738"/>
      <c r="H165" s="738"/>
      <c r="I165" s="738"/>
      <c r="J165" s="738"/>
      <c r="K165" s="738"/>
      <c r="L165" s="738"/>
      <c r="M165" s="738"/>
    </row>
    <row r="166" spans="1:13" ht="15" x14ac:dyDescent="0.2">
      <c r="A166" s="738"/>
      <c r="B166" s="738"/>
      <c r="C166" s="738"/>
      <c r="D166" s="738"/>
      <c r="E166" s="738"/>
      <c r="F166" s="738"/>
      <c r="G166" s="738"/>
      <c r="H166" s="738"/>
      <c r="I166" s="738"/>
      <c r="J166" s="738"/>
      <c r="K166" s="738"/>
      <c r="L166" s="738"/>
      <c r="M166" s="738"/>
    </row>
  </sheetData>
  <sheetProtection algorithmName="SHA-512" hashValue="JUqXWoY6TfMwJcJZRIpj4XTx/kD653tqD0ZU19W3tCTLzgkTeXkvABgdnm1LQLe4OWBMuwZxM3r2l0BS1qgR3Q==" saltValue="44NWyfC5bFZqFS5yZgMG/Q==" spinCount="100000" sheet="1" objects="1" scenarios="1" autoFilter="0"/>
  <customSheetViews>
    <customSheetView guid="{B08879A4-635B-4C39-9937-AC7883D562FC}" showGridLines="0">
      <selection activeCell="B12" sqref="B12"/>
      <pageMargins left="0.75" right="0.5" top="0.5" bottom="0.5" header="0.5" footer="0.25"/>
      <pageSetup orientation="portrait" r:id="rId1"/>
      <headerFooter alignWithMargins="0">
        <oddFooter>&amp;R&amp;A</oddFooter>
      </headerFooter>
    </customSheetView>
    <customSheetView guid="{9FCFC836-1CA5-48BF-958D-24D2EA94B219}" showGridLines="0">
      <selection activeCell="B12" sqref="B12"/>
      <pageMargins left="0.75" right="0.5" top="0.5" bottom="0.5" header="0.5" footer="0.25"/>
      <pageSetup orientation="portrait" r:id="rId2"/>
      <headerFooter alignWithMargins="0">
        <oddFooter>&amp;R&amp;A</oddFooter>
      </headerFooter>
    </customSheetView>
  </customSheetViews>
  <mergeCells count="47">
    <mergeCell ref="C21:M21"/>
    <mergeCell ref="J7:M7"/>
    <mergeCell ref="C13:M13"/>
    <mergeCell ref="C17:M17"/>
    <mergeCell ref="C20:M20"/>
    <mergeCell ref="C10:M10"/>
    <mergeCell ref="C16:M16"/>
    <mergeCell ref="C18:M18"/>
    <mergeCell ref="C19:M19"/>
    <mergeCell ref="C11:M11"/>
    <mergeCell ref="C12:M12"/>
    <mergeCell ref="C14:M14"/>
    <mergeCell ref="C15:M15"/>
    <mergeCell ref="N1:N3"/>
    <mergeCell ref="J5:M5"/>
    <mergeCell ref="J6:M6"/>
    <mergeCell ref="A1:M1"/>
    <mergeCell ref="A2:M2"/>
    <mergeCell ref="A3:M3"/>
    <mergeCell ref="C30:M30"/>
    <mergeCell ref="C31:M31"/>
    <mergeCell ref="C34:M34"/>
    <mergeCell ref="C26:M26"/>
    <mergeCell ref="C27:M27"/>
    <mergeCell ref="C24:M24"/>
    <mergeCell ref="C22:M22"/>
    <mergeCell ref="C23:M23"/>
    <mergeCell ref="C28:M28"/>
    <mergeCell ref="C29:M29"/>
    <mergeCell ref="C25:M25"/>
    <mergeCell ref="C41:M41"/>
    <mergeCell ref="C42:M42"/>
    <mergeCell ref="C43:M43"/>
    <mergeCell ref="C32:M32"/>
    <mergeCell ref="C37:M37"/>
    <mergeCell ref="C38:M38"/>
    <mergeCell ref="C39:M39"/>
    <mergeCell ref="C36:M36"/>
    <mergeCell ref="C33:M33"/>
    <mergeCell ref="C35:M35"/>
    <mergeCell ref="C40:M40"/>
    <mergeCell ref="C48:M48"/>
    <mergeCell ref="C49:M49"/>
    <mergeCell ref="C44:M44"/>
    <mergeCell ref="C45:M45"/>
    <mergeCell ref="C46:M46"/>
    <mergeCell ref="C47:M47"/>
  </mergeCells>
  <phoneticPr fontId="15" type="noConversion"/>
  <conditionalFormatting sqref="N1:N3">
    <cfRule type="cellIs" dxfId="2" priority="1" stopIfTrue="1" operator="equal">
      <formula>"na"</formula>
    </cfRule>
  </conditionalFormatting>
  <hyperlinks>
    <hyperlink ref="A1:M1" location="Index!A1" display="Index!A1" xr:uid="{00000000-0004-0000-5500-000000000000}"/>
  </hyperlinks>
  <pageMargins left="0.75" right="0.5" top="0.5" bottom="0.5" header="0.5" footer="0.25"/>
  <pageSetup orientation="portrait" r:id="rId3"/>
  <headerFooter alignWithMargins="0">
    <oddFooter>&amp;R&amp;A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61">
    <pageSetUpPr fitToPage="1"/>
  </sheetPr>
  <dimension ref="A1:AA39"/>
  <sheetViews>
    <sheetView showGridLines="0" zoomScaleNormal="100" workbookViewId="0">
      <selection activeCell="B23" sqref="B23:M23"/>
    </sheetView>
  </sheetViews>
  <sheetFormatPr defaultColWidth="9.42578125" defaultRowHeight="11.25" x14ac:dyDescent="0.2"/>
  <cols>
    <col min="1" max="1" width="3" style="40" customWidth="1"/>
    <col min="2" max="2" width="11.5703125" style="40" customWidth="1"/>
    <col min="3" max="3" width="2.5703125" style="40" customWidth="1"/>
    <col min="4" max="4" width="10.5703125" style="40" customWidth="1"/>
    <col min="5" max="5" width="2.5703125" style="40" customWidth="1"/>
    <col min="6" max="6" width="4.5703125" style="40" customWidth="1"/>
    <col min="7" max="7" width="2.5703125" style="40" customWidth="1"/>
    <col min="8" max="8" width="4.42578125" style="40" customWidth="1"/>
    <col min="9" max="9" width="14.5703125" style="40" customWidth="1"/>
    <col min="10" max="10" width="1.42578125" style="40" customWidth="1"/>
    <col min="11" max="11" width="13.42578125" style="40" customWidth="1"/>
    <col min="12" max="12" width="2.42578125" style="40" customWidth="1"/>
    <col min="13" max="13" width="14.5703125" style="40" customWidth="1"/>
    <col min="14" max="14" width="4.5703125" style="40" customWidth="1"/>
    <col min="15" max="16384" width="9.42578125" style="40"/>
  </cols>
  <sheetData>
    <row r="1" spans="1:27" s="41" customFormat="1" ht="15" customHeight="1" x14ac:dyDescent="0.25">
      <c r="A1" s="2449" t="str">
        <f>+Index!$A$1</f>
        <v xml:space="preserve">                                                               Office of the State Controller                                                                </v>
      </c>
      <c r="B1" s="2449"/>
      <c r="C1" s="2449"/>
      <c r="D1" s="2449"/>
      <c r="E1" s="2449"/>
      <c r="F1" s="2449"/>
      <c r="G1" s="2449"/>
      <c r="H1" s="2449"/>
      <c r="I1" s="2449"/>
      <c r="J1" s="2449"/>
      <c r="K1" s="2449"/>
      <c r="L1" s="2449"/>
      <c r="M1" s="2449"/>
      <c r="N1" s="2450" t="str">
        <f>IF(Index!$B$113="na","NA","")</f>
        <v/>
      </c>
      <c r="AA1" s="42"/>
    </row>
    <row r="2" spans="1:27" s="41" customFormat="1" ht="15" customHeight="1" x14ac:dyDescent="0.25">
      <c r="A2" s="2489" t="str">
        <f>Index!A2</f>
        <v>2022 ACFR Worksheets</v>
      </c>
      <c r="B2" s="2489"/>
      <c r="C2" s="2489"/>
      <c r="D2" s="2489"/>
      <c r="E2" s="2489"/>
      <c r="F2" s="2489"/>
      <c r="G2" s="2489"/>
      <c r="H2" s="2489"/>
      <c r="I2" s="2489"/>
      <c r="J2" s="2489"/>
      <c r="K2" s="2489"/>
      <c r="L2" s="2489"/>
      <c r="M2" s="2489"/>
      <c r="N2" s="2450"/>
    </row>
    <row r="3" spans="1:27" s="41" customFormat="1" ht="15" customHeight="1" x14ac:dyDescent="0.25">
      <c r="A3" s="2489" t="s">
        <v>57</v>
      </c>
      <c r="B3" s="2489"/>
      <c r="C3" s="2489"/>
      <c r="D3" s="2489"/>
      <c r="E3" s="2489"/>
      <c r="F3" s="2489"/>
      <c r="G3" s="2489"/>
      <c r="H3" s="2489"/>
      <c r="I3" s="2489"/>
      <c r="J3" s="2489"/>
      <c r="K3" s="2489"/>
      <c r="L3" s="2489"/>
      <c r="M3" s="2489"/>
      <c r="N3" s="2450"/>
    </row>
    <row r="4" spans="1:27" s="132" customFormat="1" ht="15" customHeight="1" x14ac:dyDescent="0.2">
      <c r="H4" s="137"/>
    </row>
    <row r="5" spans="1:27" s="132" customFormat="1" ht="15" customHeight="1" x14ac:dyDescent="0.2">
      <c r="D5" s="137"/>
      <c r="I5" s="134" t="s">
        <v>327</v>
      </c>
      <c r="J5" s="3016" t="str">
        <f>+Index!$E$10</f>
        <v>01</v>
      </c>
      <c r="K5" s="3016"/>
      <c r="L5" s="3016"/>
      <c r="M5" s="3016"/>
    </row>
    <row r="6" spans="1:27" s="132" customFormat="1" ht="15" customHeight="1" x14ac:dyDescent="0.2">
      <c r="I6" s="134" t="s">
        <v>1154</v>
      </c>
      <c r="J6" s="3017" t="str">
        <f>+Index!$E$11</f>
        <v>North Carolina General Assembly</v>
      </c>
      <c r="K6" s="3017"/>
      <c r="L6" s="3017"/>
      <c r="M6" s="3017"/>
    </row>
    <row r="7" spans="1:27" s="132" customFormat="1" ht="15" customHeight="1" x14ac:dyDescent="0.2">
      <c r="A7" s="132" t="s">
        <v>477</v>
      </c>
      <c r="D7" s="135" t="s">
        <v>94</v>
      </c>
      <c r="I7" s="134" t="s">
        <v>972</v>
      </c>
      <c r="J7" s="3018" t="str">
        <f>CONCATENATE(Index!$E$12," ",Index!$E$14)</f>
        <v xml:space="preserve"> </v>
      </c>
      <c r="K7" s="3018"/>
      <c r="L7" s="3018"/>
      <c r="M7" s="3018"/>
    </row>
    <row r="8" spans="1:27" s="132" customFormat="1" ht="15" customHeight="1" thickBot="1" x14ac:dyDescent="0.25">
      <c r="A8" s="136"/>
      <c r="B8" s="136"/>
      <c r="C8" s="136"/>
      <c r="D8" s="136"/>
      <c r="E8" s="136"/>
      <c r="F8" s="136"/>
      <c r="G8" s="136"/>
      <c r="H8" s="136"/>
      <c r="I8" s="136"/>
      <c r="J8" s="136"/>
      <c r="K8" s="136"/>
      <c r="L8" s="136"/>
      <c r="M8" s="136"/>
    </row>
    <row r="9" spans="1:27" s="132" customFormat="1" ht="12.75" customHeight="1" x14ac:dyDescent="0.2"/>
    <row r="10" spans="1:27" s="132" customFormat="1" ht="12.75" customHeight="1" x14ac:dyDescent="0.2"/>
    <row r="11" spans="1:27" s="132" customFormat="1" ht="12.75" customHeight="1" x14ac:dyDescent="0.2">
      <c r="A11" s="3020" t="s">
        <v>471</v>
      </c>
      <c r="B11" s="3021"/>
      <c r="C11" s="3021"/>
      <c r="D11" s="3021"/>
      <c r="E11" s="3021"/>
      <c r="F11" s="3021"/>
      <c r="G11" s="3021"/>
      <c r="H11" s="3021"/>
      <c r="I11" s="3021"/>
      <c r="J11" s="3021"/>
      <c r="K11" s="3021"/>
      <c r="L11" s="3021"/>
      <c r="M11" s="3021"/>
      <c r="N11" s="3021"/>
    </row>
    <row r="12" spans="1:27" s="132" customFormat="1" ht="12.75" customHeight="1" x14ac:dyDescent="0.2">
      <c r="A12" s="3024" t="s">
        <v>472</v>
      </c>
      <c r="B12" s="3024"/>
      <c r="C12" s="3024"/>
      <c r="D12" s="3024"/>
      <c r="E12" s="3024"/>
      <c r="F12" s="3024"/>
      <c r="G12" s="3024"/>
      <c r="H12" s="3024"/>
      <c r="I12" s="3024"/>
      <c r="J12" s="3024"/>
      <c r="K12" s="3024"/>
      <c r="L12" s="3024"/>
      <c r="M12" s="3024"/>
      <c r="N12" s="278"/>
    </row>
    <row r="13" spans="1:27" s="132" customFormat="1" ht="12.75" customHeight="1" x14ac:dyDescent="0.2">
      <c r="A13" s="3024" t="s">
        <v>547</v>
      </c>
      <c r="B13" s="3024"/>
      <c r="C13" s="3024"/>
      <c r="D13" s="3024"/>
      <c r="E13" s="3024"/>
      <c r="F13" s="3024"/>
      <c r="G13" s="3024"/>
      <c r="H13" s="3024"/>
      <c r="I13" s="3024"/>
      <c r="J13" s="3024"/>
      <c r="K13" s="3024"/>
      <c r="L13" s="3024"/>
      <c r="M13" s="3024"/>
      <c r="N13" s="278"/>
    </row>
    <row r="14" spans="1:27" s="132" customFormat="1" ht="12.75" customHeight="1" x14ac:dyDescent="0.2">
      <c r="A14" s="3024" t="s">
        <v>120</v>
      </c>
      <c r="B14" s="3024"/>
      <c r="C14" s="3024"/>
      <c r="D14" s="3024"/>
      <c r="E14" s="3024"/>
      <c r="F14" s="3024"/>
      <c r="G14" s="3024"/>
      <c r="H14" s="3024"/>
      <c r="I14" s="3024"/>
      <c r="J14" s="3024"/>
      <c r="K14" s="3024"/>
      <c r="L14" s="3024"/>
      <c r="M14" s="3024"/>
      <c r="N14" s="278"/>
    </row>
    <row r="15" spans="1:27" s="132" customFormat="1" ht="12.75" customHeight="1" x14ac:dyDescent="0.2">
      <c r="A15" s="3024"/>
      <c r="B15" s="3024"/>
      <c r="C15" s="3024"/>
      <c r="D15" s="3024"/>
      <c r="E15" s="3024"/>
      <c r="F15" s="3024"/>
      <c r="G15" s="3024"/>
      <c r="H15" s="3024"/>
      <c r="I15" s="3024"/>
      <c r="J15" s="3024"/>
      <c r="K15" s="3024"/>
      <c r="L15" s="3024"/>
      <c r="M15" s="3024"/>
      <c r="N15" s="278"/>
    </row>
    <row r="16" spans="1:27" ht="15.75" customHeight="1" x14ac:dyDescent="0.2">
      <c r="B16" s="3023"/>
      <c r="C16" s="3023"/>
      <c r="D16" s="3023"/>
      <c r="E16" s="3023"/>
      <c r="F16" s="3023"/>
      <c r="G16" s="3023"/>
      <c r="H16" s="3023"/>
      <c r="I16" s="3023"/>
      <c r="J16" s="3023"/>
      <c r="K16" s="3023"/>
      <c r="L16" s="3023"/>
      <c r="M16" s="3023"/>
    </row>
    <row r="17" spans="2:13" ht="15.75" customHeight="1" x14ac:dyDescent="0.2">
      <c r="B17" s="3022"/>
      <c r="C17" s="3022"/>
      <c r="D17" s="3022"/>
      <c r="E17" s="3022"/>
      <c r="F17" s="3022"/>
      <c r="G17" s="3022"/>
      <c r="H17" s="3022"/>
      <c r="I17" s="3022"/>
      <c r="J17" s="3022"/>
      <c r="K17" s="3022"/>
      <c r="L17" s="3022"/>
      <c r="M17" s="3022"/>
    </row>
    <row r="18" spans="2:13" ht="15.75" customHeight="1" x14ac:dyDescent="0.2">
      <c r="B18" s="3022"/>
      <c r="C18" s="3022"/>
      <c r="D18" s="3022"/>
      <c r="E18" s="3022"/>
      <c r="F18" s="3022"/>
      <c r="G18" s="3022"/>
      <c r="H18" s="3022"/>
      <c r="I18" s="3022"/>
      <c r="J18" s="3022"/>
      <c r="K18" s="3022"/>
      <c r="L18" s="3022"/>
      <c r="M18" s="3022"/>
    </row>
    <row r="19" spans="2:13" ht="15.75" customHeight="1" x14ac:dyDescent="0.2">
      <c r="B19" s="3023"/>
      <c r="C19" s="3023"/>
      <c r="D19" s="3023"/>
      <c r="E19" s="3023"/>
      <c r="F19" s="3023"/>
      <c r="G19" s="3023"/>
      <c r="H19" s="3023"/>
      <c r="I19" s="3023"/>
      <c r="J19" s="3023"/>
      <c r="K19" s="3023"/>
      <c r="L19" s="3023"/>
      <c r="M19" s="3023"/>
    </row>
    <row r="20" spans="2:13" ht="15.75" customHeight="1" x14ac:dyDescent="0.2">
      <c r="B20" s="3022"/>
      <c r="C20" s="3022"/>
      <c r="D20" s="3022"/>
      <c r="E20" s="3022"/>
      <c r="F20" s="3022"/>
      <c r="G20" s="3022"/>
      <c r="H20" s="3022"/>
      <c r="I20" s="3022"/>
      <c r="J20" s="3022"/>
      <c r="K20" s="3022"/>
      <c r="L20" s="3022"/>
      <c r="M20" s="3022"/>
    </row>
    <row r="21" spans="2:13" ht="15.75" customHeight="1" x14ac:dyDescent="0.2">
      <c r="B21" s="3022"/>
      <c r="C21" s="3022"/>
      <c r="D21" s="3022"/>
      <c r="E21" s="3022"/>
      <c r="F21" s="3022"/>
      <c r="G21" s="3022"/>
      <c r="H21" s="3022"/>
      <c r="I21" s="3022"/>
      <c r="J21" s="3022"/>
      <c r="K21" s="3022"/>
      <c r="L21" s="3022"/>
      <c r="M21" s="3022"/>
    </row>
    <row r="22" spans="2:13" ht="15.75" customHeight="1" x14ac:dyDescent="0.2">
      <c r="B22" s="3023"/>
      <c r="C22" s="3023"/>
      <c r="D22" s="3023"/>
      <c r="E22" s="3023"/>
      <c r="F22" s="3023"/>
      <c r="G22" s="3023"/>
      <c r="H22" s="3023"/>
      <c r="I22" s="3023"/>
      <c r="J22" s="3023"/>
      <c r="K22" s="3023"/>
      <c r="L22" s="3023"/>
      <c r="M22" s="3023"/>
    </row>
    <row r="23" spans="2:13" ht="15.75" customHeight="1" x14ac:dyDescent="0.2">
      <c r="B23" s="3022"/>
      <c r="C23" s="3022"/>
      <c r="D23" s="3022"/>
      <c r="E23" s="3022"/>
      <c r="F23" s="3022"/>
      <c r="G23" s="3022"/>
      <c r="H23" s="3022"/>
      <c r="I23" s="3022"/>
      <c r="J23" s="3022"/>
      <c r="K23" s="3022"/>
      <c r="L23" s="3022"/>
      <c r="M23" s="3022"/>
    </row>
    <row r="24" spans="2:13" ht="15.75" customHeight="1" x14ac:dyDescent="0.2">
      <c r="B24" s="3022"/>
      <c r="C24" s="3022"/>
      <c r="D24" s="3022"/>
      <c r="E24" s="3022"/>
      <c r="F24" s="3022"/>
      <c r="G24" s="3022"/>
      <c r="H24" s="3022"/>
      <c r="I24" s="3022"/>
      <c r="J24" s="3022"/>
      <c r="K24" s="3022"/>
      <c r="L24" s="3022"/>
      <c r="M24" s="3022"/>
    </row>
    <row r="25" spans="2:13" ht="15.75" customHeight="1" x14ac:dyDescent="0.2">
      <c r="B25" s="3022"/>
      <c r="C25" s="3022"/>
      <c r="D25" s="3022"/>
      <c r="E25" s="3022"/>
      <c r="F25" s="3022"/>
      <c r="G25" s="3022"/>
      <c r="H25" s="3022"/>
      <c r="I25" s="3022"/>
      <c r="J25" s="3022"/>
      <c r="K25" s="3022"/>
      <c r="L25" s="3022"/>
      <c r="M25" s="3022"/>
    </row>
    <row r="26" spans="2:13" ht="15.75" customHeight="1" x14ac:dyDescent="0.2">
      <c r="B26" s="3022"/>
      <c r="C26" s="3022"/>
      <c r="D26" s="3022"/>
      <c r="E26" s="3022"/>
      <c r="F26" s="3022"/>
      <c r="G26" s="3022"/>
      <c r="H26" s="3022"/>
      <c r="I26" s="3022"/>
      <c r="J26" s="3022"/>
      <c r="K26" s="3022"/>
      <c r="L26" s="3022"/>
      <c r="M26" s="3022"/>
    </row>
    <row r="27" spans="2:13" ht="15.75" customHeight="1" x14ac:dyDescent="0.2">
      <c r="B27" s="3022"/>
      <c r="C27" s="3022"/>
      <c r="D27" s="3022"/>
      <c r="E27" s="3022"/>
      <c r="F27" s="3022"/>
      <c r="G27" s="3022"/>
      <c r="H27" s="3022"/>
      <c r="I27" s="3022"/>
      <c r="J27" s="3022"/>
      <c r="K27" s="3022"/>
      <c r="L27" s="3022"/>
      <c r="M27" s="3022"/>
    </row>
    <row r="28" spans="2:13" ht="15.75" customHeight="1" x14ac:dyDescent="0.2">
      <c r="B28" s="3022"/>
      <c r="C28" s="3022"/>
      <c r="D28" s="3022"/>
      <c r="E28" s="3022"/>
      <c r="F28" s="3022"/>
      <c r="G28" s="3022"/>
      <c r="H28" s="3022"/>
      <c r="I28" s="3022"/>
      <c r="J28" s="3022"/>
      <c r="K28" s="3022"/>
      <c r="L28" s="3022"/>
      <c r="M28" s="3022"/>
    </row>
    <row r="29" spans="2:13" ht="15.75" customHeight="1" x14ac:dyDescent="0.2">
      <c r="B29" s="3022"/>
      <c r="C29" s="3022"/>
      <c r="D29" s="3022"/>
      <c r="E29" s="3022"/>
      <c r="F29" s="3022"/>
      <c r="G29" s="3022"/>
      <c r="H29" s="3022"/>
      <c r="I29" s="3022"/>
      <c r="J29" s="3022"/>
      <c r="K29" s="3022"/>
      <c r="L29" s="3022"/>
      <c r="M29" s="3022"/>
    </row>
    <row r="30" spans="2:13" ht="15.75" customHeight="1" x14ac:dyDescent="0.2">
      <c r="B30" s="3022"/>
      <c r="C30" s="3022"/>
      <c r="D30" s="3022"/>
      <c r="E30" s="3022"/>
      <c r="F30" s="3022"/>
      <c r="G30" s="3022"/>
      <c r="H30" s="3022"/>
      <c r="I30" s="3022"/>
      <c r="J30" s="3022"/>
      <c r="K30" s="3022"/>
      <c r="L30" s="3022"/>
      <c r="M30" s="3022"/>
    </row>
    <row r="31" spans="2:13" ht="15.75" customHeight="1" x14ac:dyDescent="0.2">
      <c r="B31" s="3022"/>
      <c r="C31" s="3022"/>
      <c r="D31" s="3022"/>
      <c r="E31" s="3022"/>
      <c r="F31" s="3022"/>
      <c r="G31" s="3022"/>
      <c r="H31" s="3022"/>
      <c r="I31" s="3022"/>
      <c r="J31" s="3022"/>
      <c r="K31" s="3022"/>
      <c r="L31" s="3022"/>
      <c r="M31" s="3022"/>
    </row>
    <row r="32" spans="2:13" ht="15.75" customHeight="1" x14ac:dyDescent="0.2">
      <c r="B32" s="3022"/>
      <c r="C32" s="3022"/>
      <c r="D32" s="3022"/>
      <c r="E32" s="3022"/>
      <c r="F32" s="3022"/>
      <c r="G32" s="3022"/>
      <c r="H32" s="3022"/>
      <c r="I32" s="3022"/>
      <c r="J32" s="3022"/>
      <c r="K32" s="3022"/>
      <c r="L32" s="3022"/>
      <c r="M32" s="3022"/>
    </row>
    <row r="33" spans="2:13" ht="15.75" customHeight="1" x14ac:dyDescent="0.2">
      <c r="B33" s="3022"/>
      <c r="C33" s="3022"/>
      <c r="D33" s="3022"/>
      <c r="E33" s="3022"/>
      <c r="F33" s="3022"/>
      <c r="G33" s="3022"/>
      <c r="H33" s="3022"/>
      <c r="I33" s="3022"/>
      <c r="J33" s="3022"/>
      <c r="K33" s="3022"/>
      <c r="L33" s="3022"/>
      <c r="M33" s="3022"/>
    </row>
    <row r="34" spans="2:13" ht="15.75" customHeight="1" x14ac:dyDescent="0.2">
      <c r="B34" s="3022"/>
      <c r="C34" s="3022"/>
      <c r="D34" s="3022"/>
      <c r="E34" s="3022"/>
      <c r="F34" s="3022"/>
      <c r="G34" s="3022"/>
      <c r="H34" s="3022"/>
      <c r="I34" s="3022"/>
      <c r="J34" s="3022"/>
      <c r="K34" s="3022"/>
      <c r="L34" s="3022"/>
      <c r="M34" s="3022"/>
    </row>
    <row r="35" spans="2:13" ht="15.75" customHeight="1" x14ac:dyDescent="0.2">
      <c r="B35" s="3022"/>
      <c r="C35" s="3022"/>
      <c r="D35" s="3022"/>
      <c r="E35" s="3022"/>
      <c r="F35" s="3022"/>
      <c r="G35" s="3022"/>
      <c r="H35" s="3022"/>
      <c r="I35" s="3022"/>
      <c r="J35" s="3022"/>
      <c r="K35" s="3022"/>
      <c r="L35" s="3022"/>
      <c r="M35" s="3022"/>
    </row>
    <row r="36" spans="2:13" ht="15.75" customHeight="1" x14ac:dyDescent="0.2">
      <c r="B36" s="3022"/>
      <c r="C36" s="3022"/>
      <c r="D36" s="3022"/>
      <c r="E36" s="3022"/>
      <c r="F36" s="3022"/>
      <c r="G36" s="3022"/>
      <c r="H36" s="3022"/>
      <c r="I36" s="3022"/>
      <c r="J36" s="3022"/>
      <c r="K36" s="3022"/>
      <c r="L36" s="3022"/>
      <c r="M36" s="3022"/>
    </row>
    <row r="37" spans="2:13" ht="15.75" customHeight="1" x14ac:dyDescent="0.2">
      <c r="B37" s="3022"/>
      <c r="C37" s="3022"/>
      <c r="D37" s="3022"/>
      <c r="E37" s="3022"/>
      <c r="F37" s="3022"/>
      <c r="G37" s="3022"/>
      <c r="H37" s="3022"/>
      <c r="I37" s="3022"/>
      <c r="J37" s="3022"/>
      <c r="K37" s="3022"/>
      <c r="L37" s="3022"/>
      <c r="M37" s="3022"/>
    </row>
    <row r="38" spans="2:13" ht="15.75" customHeight="1" x14ac:dyDescent="0.2">
      <c r="B38" s="3022"/>
      <c r="C38" s="3022"/>
      <c r="D38" s="3022"/>
      <c r="E38" s="3022"/>
      <c r="F38" s="3022"/>
      <c r="G38" s="3022"/>
      <c r="H38" s="3022"/>
      <c r="I38" s="3022"/>
      <c r="J38" s="3022"/>
      <c r="K38" s="3022"/>
      <c r="L38" s="3022"/>
      <c r="M38" s="3022"/>
    </row>
    <row r="39" spans="2:13" ht="15.75" customHeight="1" x14ac:dyDescent="0.2">
      <c r="B39" s="3022"/>
      <c r="C39" s="3022"/>
      <c r="D39" s="3022"/>
      <c r="E39" s="3022"/>
      <c r="F39" s="3022"/>
      <c r="G39" s="3022"/>
      <c r="H39" s="3022"/>
      <c r="I39" s="3022"/>
      <c r="J39" s="3022"/>
      <c r="K39" s="3022"/>
      <c r="L39" s="3022"/>
      <c r="M39" s="3022"/>
    </row>
  </sheetData>
  <sheetProtection algorithmName="SHA-512" hashValue="urgn/13JREhVKIdQcTGzum4YrIGt1BuxPJGtc1vNV9qpR1Mys6BatHWym9hKgWGVKAhiHUOj8rvRm2M+Eb2Ddg==" saltValue="Qvbh824YuVXwyoVIvVkGVg==" spinCount="100000" sheet="1" objects="1" scenarios="1" autoFilter="0"/>
  <customSheetViews>
    <customSheetView guid="{B08879A4-635B-4C39-9937-AC7883D562FC}" showGridLines="0" fitToPage="1">
      <selection activeCell="A12" sqref="A12:M12"/>
      <pageMargins left="0.5" right="0.5" top="0.75" bottom="0.5" header="0.5" footer="0.25"/>
      <pageSetup orientation="portrait" r:id="rId1"/>
      <headerFooter alignWithMargins="0">
        <oddFooter>&amp;R&amp;A</oddFooter>
      </headerFooter>
    </customSheetView>
    <customSheetView guid="{1250FD07-FF56-4A9D-AF9E-C27124A7EBE9}" showGridLines="0" fitToPage="1" showRuler="0">
      <selection sqref="A1:M1"/>
      <pageMargins left="0.5" right="0.5" top="0.75" bottom="0.5" header="0.5" footer="0.25"/>
      <pageSetup orientation="portrait" r:id="rId2"/>
      <headerFooter alignWithMargins="0">
        <oddFooter>&amp;R&amp;A</oddFooter>
      </headerFooter>
    </customSheetView>
    <customSheetView guid="{BEA4BE86-04D1-4C96-9358-7A260B9D2B2D}" showGridLines="0" fitToPage="1" showRuler="0">
      <selection sqref="A1:M1"/>
      <pageMargins left="0.5" right="0.5" top="0.75" bottom="0.5" header="0.5" footer="0.25"/>
      <pageSetup orientation="portrait" r:id="rId3"/>
      <headerFooter alignWithMargins="0">
        <oddFooter>&amp;R&amp;A</oddFooter>
      </headerFooter>
    </customSheetView>
    <customSheetView guid="{9FCFC836-1CA5-48BF-958D-24D2EA94B219}" showGridLines="0" fitToPage="1">
      <selection activeCell="A12" sqref="A12:M12"/>
      <pageMargins left="0.5" right="0.5" top="0.75" bottom="0.5" header="0.5" footer="0.25"/>
      <pageSetup orientation="portrait" r:id="rId4"/>
      <headerFooter alignWithMargins="0">
        <oddFooter>&amp;R&amp;A</oddFooter>
      </headerFooter>
    </customSheetView>
  </customSheetViews>
  <mergeCells count="36">
    <mergeCell ref="B38:M38"/>
    <mergeCell ref="B39:M39"/>
    <mergeCell ref="B33:M33"/>
    <mergeCell ref="B34:M34"/>
    <mergeCell ref="B35:M35"/>
    <mergeCell ref="B36:M36"/>
    <mergeCell ref="B37:M37"/>
    <mergeCell ref="B32:M32"/>
    <mergeCell ref="B28:M28"/>
    <mergeCell ref="B29:M29"/>
    <mergeCell ref="B30:M30"/>
    <mergeCell ref="B31:M31"/>
    <mergeCell ref="B27:M27"/>
    <mergeCell ref="B22:M22"/>
    <mergeCell ref="B23:M23"/>
    <mergeCell ref="A12:M12"/>
    <mergeCell ref="A13:M13"/>
    <mergeCell ref="A14:M14"/>
    <mergeCell ref="A15:M15"/>
    <mergeCell ref="B16:M16"/>
    <mergeCell ref="B17:M17"/>
    <mergeCell ref="B18:M18"/>
    <mergeCell ref="B19:M19"/>
    <mergeCell ref="B20:M20"/>
    <mergeCell ref="B21:M21"/>
    <mergeCell ref="B24:M24"/>
    <mergeCell ref="B25:M25"/>
    <mergeCell ref="B26:M26"/>
    <mergeCell ref="N1:N3"/>
    <mergeCell ref="J5:M5"/>
    <mergeCell ref="J6:M6"/>
    <mergeCell ref="A11:N11"/>
    <mergeCell ref="A1:M1"/>
    <mergeCell ref="A2:M2"/>
    <mergeCell ref="A3:M3"/>
    <mergeCell ref="J7:M7"/>
  </mergeCells>
  <phoneticPr fontId="15" type="noConversion"/>
  <conditionalFormatting sqref="N1:N3">
    <cfRule type="cellIs" dxfId="1" priority="1" stopIfTrue="1" operator="equal">
      <formula>"na"</formula>
    </cfRule>
  </conditionalFormatting>
  <hyperlinks>
    <hyperlink ref="A1:M1" location="Index!A1" display="Index!A1" xr:uid="{00000000-0004-0000-5600-000000000000}"/>
  </hyperlinks>
  <pageMargins left="0.5" right="0.5" top="0.75" bottom="0.5" header="0.5" footer="0.25"/>
  <pageSetup orientation="portrait" r:id="rId5"/>
  <headerFooter alignWithMargins="0">
    <oddFooter>&amp;R&amp;A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tabColor rgb="FFFFFF00"/>
  </sheetPr>
  <dimension ref="A1:D200"/>
  <sheetViews>
    <sheetView topLeftCell="A18" zoomScaleNormal="100" workbookViewId="0">
      <selection activeCell="D143" sqref="D143"/>
    </sheetView>
  </sheetViews>
  <sheetFormatPr defaultRowHeight="12.75" x14ac:dyDescent="0.2"/>
  <cols>
    <col min="1" max="1" width="42.5703125" bestFit="1" customWidth="1"/>
    <col min="3" max="3" width="47.42578125" bestFit="1" customWidth="1"/>
    <col min="4" max="4" width="14" bestFit="1" customWidth="1"/>
  </cols>
  <sheetData>
    <row r="1" spans="1:4" ht="15.75" x14ac:dyDescent="0.25">
      <c r="B1" s="1055"/>
      <c r="C1" s="1209" t="s">
        <v>1007</v>
      </c>
      <c r="D1" s="1054"/>
    </row>
    <row r="2" spans="1:4" ht="31.5" x14ac:dyDescent="0.25">
      <c r="B2" s="1056" t="s">
        <v>1466</v>
      </c>
      <c r="C2" s="1057" t="s">
        <v>5327</v>
      </c>
      <c r="D2" s="1058" t="s">
        <v>1467</v>
      </c>
    </row>
    <row r="3" spans="1:4" ht="15.75" x14ac:dyDescent="0.25">
      <c r="A3" t="str">
        <f>CONCATENATE(B3," ",C3)</f>
        <v>01 North Carolina General Assembly</v>
      </c>
      <c r="B3" s="391" t="s">
        <v>3637</v>
      </c>
      <c r="C3" s="390" t="s">
        <v>237</v>
      </c>
      <c r="D3" s="390" t="s">
        <v>925</v>
      </c>
    </row>
    <row r="4" spans="1:4" ht="15.75" x14ac:dyDescent="0.25">
      <c r="A4" t="str">
        <f t="shared" ref="A4:A65" si="0">CONCATENATE(B4," ",C4)</f>
        <v>02 Administrative Office of the Courts</v>
      </c>
      <c r="B4" s="391" t="s">
        <v>3638</v>
      </c>
      <c r="C4" s="390" t="s">
        <v>1178</v>
      </c>
      <c r="D4" s="390" t="s">
        <v>925</v>
      </c>
    </row>
    <row r="5" spans="1:4" ht="15.75" x14ac:dyDescent="0.25">
      <c r="A5" t="str">
        <f t="shared" si="0"/>
        <v>03 Office of the Governor</v>
      </c>
      <c r="B5" s="391" t="s">
        <v>1055</v>
      </c>
      <c r="C5" s="390" t="s">
        <v>1179</v>
      </c>
      <c r="D5" s="390" t="s">
        <v>925</v>
      </c>
    </row>
    <row r="6" spans="1:4" ht="15.75" x14ac:dyDescent="0.25">
      <c r="A6" t="str">
        <f t="shared" si="0"/>
        <v>04 Office of Lieutenant Governor</v>
      </c>
      <c r="B6" s="391" t="s">
        <v>3639</v>
      </c>
      <c r="C6" s="390" t="s">
        <v>1180</v>
      </c>
      <c r="D6" s="390" t="s">
        <v>925</v>
      </c>
    </row>
    <row r="7" spans="1:4" ht="15.75" x14ac:dyDescent="0.25">
      <c r="A7" t="str">
        <f t="shared" si="0"/>
        <v>05 Office of the Secretary of State</v>
      </c>
      <c r="B7" s="391" t="s">
        <v>3640</v>
      </c>
      <c r="C7" s="390" t="s">
        <v>238</v>
      </c>
      <c r="D7" s="390" t="s">
        <v>925</v>
      </c>
    </row>
    <row r="8" spans="1:4" ht="15.75" x14ac:dyDescent="0.25">
      <c r="A8" t="str">
        <f t="shared" si="0"/>
        <v>06 Office of the State Auditor</v>
      </c>
      <c r="B8" s="391" t="s">
        <v>3641</v>
      </c>
      <c r="C8" s="390" t="s">
        <v>217</v>
      </c>
      <c r="D8" s="390" t="s">
        <v>925</v>
      </c>
    </row>
    <row r="9" spans="1:4" ht="15.75" x14ac:dyDescent="0.25">
      <c r="A9" t="str">
        <f t="shared" si="0"/>
        <v xml:space="preserve">07 Department of the State Treasurer </v>
      </c>
      <c r="B9" s="391" t="s">
        <v>3642</v>
      </c>
      <c r="C9" s="390" t="s">
        <v>56</v>
      </c>
      <c r="D9" s="390" t="s">
        <v>925</v>
      </c>
    </row>
    <row r="10" spans="1:4" ht="15.75" x14ac:dyDescent="0.25">
      <c r="A10" t="str">
        <f>CONCATENATE(B10," ",C10)</f>
        <v>07 Dept. State Treasurer - State Health Plan</v>
      </c>
      <c r="B10" s="391" t="s">
        <v>3642</v>
      </c>
      <c r="C10" s="841" t="s">
        <v>4730</v>
      </c>
      <c r="D10" s="841" t="s">
        <v>4477</v>
      </c>
    </row>
    <row r="11" spans="1:4" ht="15.75" x14ac:dyDescent="0.25">
      <c r="A11" t="str">
        <f t="shared" si="0"/>
        <v xml:space="preserve">08 Department of Public Instruction </v>
      </c>
      <c r="B11" s="391" t="s">
        <v>3643</v>
      </c>
      <c r="C11" s="390" t="s">
        <v>749</v>
      </c>
      <c r="D11" s="390" t="s">
        <v>925</v>
      </c>
    </row>
    <row r="12" spans="1:4" ht="15.75" x14ac:dyDescent="0.25">
      <c r="A12" t="str">
        <f t="shared" si="0"/>
        <v xml:space="preserve">09 Department of Justice </v>
      </c>
      <c r="B12" s="391" t="s">
        <v>3644</v>
      </c>
      <c r="C12" s="390" t="s">
        <v>305</v>
      </c>
      <c r="D12" s="390" t="s">
        <v>925</v>
      </c>
    </row>
    <row r="13" spans="1:4" ht="15.75" x14ac:dyDescent="0.25">
      <c r="A13" t="str">
        <f t="shared" si="0"/>
        <v>10 Department of Agriculture</v>
      </c>
      <c r="B13" s="391" t="s">
        <v>3645</v>
      </c>
      <c r="C13" s="390" t="s">
        <v>306</v>
      </c>
      <c r="D13" s="390" t="s">
        <v>925</v>
      </c>
    </row>
    <row r="14" spans="1:4" ht="15.75" x14ac:dyDescent="0.25">
      <c r="A14" t="str">
        <f t="shared" si="0"/>
        <v>11 Department of Labor</v>
      </c>
      <c r="B14" s="391" t="s">
        <v>3646</v>
      </c>
      <c r="C14" s="390" t="s">
        <v>307</v>
      </c>
      <c r="D14" s="390" t="s">
        <v>925</v>
      </c>
    </row>
    <row r="15" spans="1:4" ht="15.75" x14ac:dyDescent="0.25">
      <c r="A15" t="str">
        <f t="shared" si="0"/>
        <v xml:space="preserve">12 Department of Insurance </v>
      </c>
      <c r="B15" s="391" t="s">
        <v>3647</v>
      </c>
      <c r="C15" s="390" t="s">
        <v>308</v>
      </c>
      <c r="D15" s="390" t="s">
        <v>925</v>
      </c>
    </row>
    <row r="16" spans="1:4" ht="15.75" x14ac:dyDescent="0.25">
      <c r="A16" t="str">
        <f t="shared" si="0"/>
        <v xml:space="preserve">13 Department of Administration </v>
      </c>
      <c r="B16" s="391" t="s">
        <v>932</v>
      </c>
      <c r="C16" s="390" t="s">
        <v>185</v>
      </c>
      <c r="D16" s="390" t="s">
        <v>925</v>
      </c>
    </row>
    <row r="17" spans="1:4" ht="15.75" x14ac:dyDescent="0.25">
      <c r="A17" t="str">
        <f t="shared" si="0"/>
        <v xml:space="preserve">14 Office of the State Controller </v>
      </c>
      <c r="B17" s="391" t="s">
        <v>3648</v>
      </c>
      <c r="C17" s="390" t="s">
        <v>186</v>
      </c>
      <c r="D17" s="390" t="s">
        <v>925</v>
      </c>
    </row>
    <row r="18" spans="1:4" ht="15.75" x14ac:dyDescent="0.25">
      <c r="A18" t="str">
        <f t="shared" si="0"/>
        <v>15 Department of Transportation</v>
      </c>
      <c r="B18" s="391" t="s">
        <v>3649</v>
      </c>
      <c r="C18" s="390" t="s">
        <v>144</v>
      </c>
      <c r="D18" s="390" t="s">
        <v>925</v>
      </c>
    </row>
    <row r="19" spans="1:4" ht="15.75" x14ac:dyDescent="0.25">
      <c r="A19" t="str">
        <f t="shared" si="0"/>
        <v>16 Department of Environmental Quality</v>
      </c>
      <c r="B19" s="391" t="s">
        <v>3650</v>
      </c>
      <c r="C19" s="841" t="s">
        <v>4044</v>
      </c>
      <c r="D19" s="390" t="s">
        <v>925</v>
      </c>
    </row>
    <row r="20" spans="1:4" ht="15.75" x14ac:dyDescent="0.25">
      <c r="A20" t="str">
        <f t="shared" si="0"/>
        <v>17 Wildlife Resources Commission</v>
      </c>
      <c r="B20" s="391" t="s">
        <v>3651</v>
      </c>
      <c r="C20" s="390" t="s">
        <v>1017</v>
      </c>
      <c r="D20" s="390" t="s">
        <v>925</v>
      </c>
    </row>
    <row r="21" spans="1:4" ht="15.75" x14ac:dyDescent="0.25">
      <c r="A21" t="str">
        <f t="shared" si="0"/>
        <v>19 Dept. of Public Safety</v>
      </c>
      <c r="B21" s="391" t="s">
        <v>1782</v>
      </c>
      <c r="C21" s="841" t="s">
        <v>1783</v>
      </c>
      <c r="D21" s="390" t="s">
        <v>925</v>
      </c>
    </row>
    <row r="22" spans="1:4" ht="15.75" x14ac:dyDescent="0.25">
      <c r="A22" t="str">
        <f t="shared" si="0"/>
        <v>2X Dept. of Health and Human Services</v>
      </c>
      <c r="B22" s="391" t="s">
        <v>1018</v>
      </c>
      <c r="C22" s="390" t="s">
        <v>565</v>
      </c>
      <c r="D22" s="390" t="s">
        <v>925</v>
      </c>
    </row>
    <row r="23" spans="1:4" ht="15.75" x14ac:dyDescent="0.25">
      <c r="A23" t="str">
        <f t="shared" si="0"/>
        <v>3X DHHS - Mental Health</v>
      </c>
      <c r="B23" s="391" t="s">
        <v>432</v>
      </c>
      <c r="C23" s="390" t="s">
        <v>1019</v>
      </c>
      <c r="D23" s="390" t="s">
        <v>925</v>
      </c>
    </row>
    <row r="24" spans="1:4" ht="15.75" x14ac:dyDescent="0.25">
      <c r="A24" t="str">
        <f t="shared" si="0"/>
        <v>40 Department of Military &amp; Veterans Affairs</v>
      </c>
      <c r="B24" s="391" t="s">
        <v>4186</v>
      </c>
      <c r="C24" s="841" t="s">
        <v>4042</v>
      </c>
      <c r="D24" s="390" t="s">
        <v>925</v>
      </c>
    </row>
    <row r="25" spans="1:4" ht="15.75" x14ac:dyDescent="0.25">
      <c r="A25" t="str">
        <f t="shared" si="0"/>
        <v>41 Department of Information Technology</v>
      </c>
      <c r="B25" s="391" t="s">
        <v>559</v>
      </c>
      <c r="C25" s="841" t="s">
        <v>4043</v>
      </c>
      <c r="D25" s="390" t="s">
        <v>925</v>
      </c>
    </row>
    <row r="26" spans="1:4" ht="15.75" x14ac:dyDescent="0.25">
      <c r="A26" t="str">
        <f t="shared" si="0"/>
        <v>43 Department of Commerce</v>
      </c>
      <c r="B26" s="391" t="s">
        <v>3652</v>
      </c>
      <c r="C26" s="390" t="s">
        <v>433</v>
      </c>
      <c r="D26" s="390" t="s">
        <v>925</v>
      </c>
    </row>
    <row r="27" spans="1:4" ht="15.75" x14ac:dyDescent="0.25">
      <c r="A27" t="str">
        <f t="shared" si="0"/>
        <v>45 Department of Revenue</v>
      </c>
      <c r="B27" s="391" t="s">
        <v>3653</v>
      </c>
      <c r="C27" s="390" t="s">
        <v>434</v>
      </c>
      <c r="D27" s="390" t="s">
        <v>925</v>
      </c>
    </row>
    <row r="28" spans="1:4" ht="15.75" x14ac:dyDescent="0.25">
      <c r="A28" t="str">
        <f t="shared" si="0"/>
        <v>46 Department of Natural and Cultural Resources</v>
      </c>
      <c r="B28" s="391" t="s">
        <v>3654</v>
      </c>
      <c r="C28" s="841" t="s">
        <v>4045</v>
      </c>
      <c r="D28" s="390" t="s">
        <v>925</v>
      </c>
    </row>
    <row r="29" spans="1:4" ht="15.75" x14ac:dyDescent="0.25">
      <c r="A29" t="str">
        <f t="shared" si="0"/>
        <v>48X UNC Hlth Care Rep Unit (Combined Pkg)</v>
      </c>
      <c r="B29" s="391" t="s">
        <v>1461</v>
      </c>
      <c r="C29" s="976" t="s">
        <v>1475</v>
      </c>
      <c r="D29" s="841" t="s">
        <v>821</v>
      </c>
    </row>
    <row r="30" spans="1:4" ht="15.75" x14ac:dyDescent="0.25">
      <c r="A30" t="str">
        <f t="shared" si="0"/>
        <v>48 UNC Hospitals</v>
      </c>
      <c r="B30" s="391" t="s">
        <v>1473</v>
      </c>
      <c r="C30" s="390" t="s">
        <v>678</v>
      </c>
      <c r="D30" s="390" t="s">
        <v>821</v>
      </c>
    </row>
    <row r="31" spans="1:4" ht="15.75" x14ac:dyDescent="0.25">
      <c r="A31" t="str">
        <f t="shared" si="0"/>
        <v>48E UNC Hospitals - Enterprise Fund</v>
      </c>
      <c r="B31" s="391" t="s">
        <v>896</v>
      </c>
      <c r="C31" s="390" t="s">
        <v>897</v>
      </c>
      <c r="D31" s="390" t="s">
        <v>821</v>
      </c>
    </row>
    <row r="32" spans="1:4" ht="15.75" x14ac:dyDescent="0.25">
      <c r="A32" t="str">
        <f t="shared" si="0"/>
        <v>48L UNC Hospitals - LITF</v>
      </c>
      <c r="B32" s="391" t="s">
        <v>169</v>
      </c>
      <c r="C32" s="390" t="s">
        <v>170</v>
      </c>
      <c r="D32" s="390" t="s">
        <v>821</v>
      </c>
    </row>
    <row r="33" spans="1:4" ht="15.75" x14ac:dyDescent="0.25">
      <c r="A33" t="str">
        <f t="shared" si="0"/>
        <v>48R Rex Healthcare</v>
      </c>
      <c r="B33" s="391" t="s">
        <v>168</v>
      </c>
      <c r="C33" s="390" t="s">
        <v>573</v>
      </c>
      <c r="D33" s="390" t="s">
        <v>821</v>
      </c>
    </row>
    <row r="34" spans="1:4" ht="15.75" x14ac:dyDescent="0.25">
      <c r="A34" t="str">
        <f t="shared" si="0"/>
        <v>48C Chatham Hospital</v>
      </c>
      <c r="B34" s="391" t="s">
        <v>1304</v>
      </c>
      <c r="C34" s="841" t="s">
        <v>1310</v>
      </c>
      <c r="D34" s="390" t="s">
        <v>821</v>
      </c>
    </row>
    <row r="35" spans="1:4" ht="15.75" x14ac:dyDescent="0.25">
      <c r="A35" t="str">
        <f t="shared" si="0"/>
        <v>48T UNC Physicians Network</v>
      </c>
      <c r="B35" s="391" t="s">
        <v>1399</v>
      </c>
      <c r="C35" s="390" t="s">
        <v>4292</v>
      </c>
      <c r="D35" s="390" t="s">
        <v>821</v>
      </c>
    </row>
    <row r="36" spans="1:4" ht="15.75" x14ac:dyDescent="0.25">
      <c r="A36" t="str">
        <f t="shared" si="0"/>
        <v>48RH UNC Rockingham Health Care</v>
      </c>
      <c r="B36" s="1967" t="s">
        <v>4581</v>
      </c>
      <c r="C36" s="841" t="s">
        <v>4584</v>
      </c>
      <c r="D36" s="390" t="s">
        <v>821</v>
      </c>
    </row>
    <row r="37" spans="1:4" ht="15.75" x14ac:dyDescent="0.25">
      <c r="A37" t="str">
        <f t="shared" si="0"/>
        <v>48CW Caldwell Memorial Hospital</v>
      </c>
      <c r="B37" s="391" t="s">
        <v>3525</v>
      </c>
      <c r="C37" s="390" t="s">
        <v>3526</v>
      </c>
      <c r="D37" s="390" t="s">
        <v>821</v>
      </c>
    </row>
    <row r="38" spans="1:4" ht="15.75" x14ac:dyDescent="0.25">
      <c r="A38" t="str">
        <f t="shared" si="0"/>
        <v>50 Community College System Office</v>
      </c>
      <c r="B38" s="391" t="s">
        <v>3655</v>
      </c>
      <c r="C38" s="390" t="s">
        <v>47</v>
      </c>
      <c r="D38" s="390" t="s">
        <v>925</v>
      </c>
    </row>
    <row r="39" spans="1:4" ht="15.75" x14ac:dyDescent="0.25">
      <c r="A39" t="str">
        <f t="shared" si="0"/>
        <v>60 State Board of Elections</v>
      </c>
      <c r="B39" s="391" t="s">
        <v>3656</v>
      </c>
      <c r="C39" s="390" t="s">
        <v>48</v>
      </c>
      <c r="D39" s="390" t="s">
        <v>925</v>
      </c>
    </row>
    <row r="40" spans="1:4" ht="15.75" x14ac:dyDescent="0.25">
      <c r="A40" t="str">
        <f t="shared" si="0"/>
        <v>61 NC Education Lottery</v>
      </c>
      <c r="B40" s="391" t="s">
        <v>908</v>
      </c>
      <c r="C40" s="390" t="s">
        <v>574</v>
      </c>
      <c r="D40" s="390" t="s">
        <v>925</v>
      </c>
    </row>
    <row r="41" spans="1:4" ht="15.75" x14ac:dyDescent="0.25">
      <c r="A41" t="str">
        <f t="shared" si="0"/>
        <v>67 Office of Administrative Hearings</v>
      </c>
      <c r="B41" s="391" t="s">
        <v>3657</v>
      </c>
      <c r="C41" s="390" t="s">
        <v>190</v>
      </c>
      <c r="D41" s="390" t="s">
        <v>925</v>
      </c>
    </row>
    <row r="42" spans="1:4" ht="15.75" x14ac:dyDescent="0.25">
      <c r="A42" t="str">
        <f t="shared" si="0"/>
        <v>69 USS North Carolina Battleship Comm.</v>
      </c>
      <c r="B42" s="391" t="s">
        <v>399</v>
      </c>
      <c r="C42" s="390" t="s">
        <v>724</v>
      </c>
      <c r="D42" s="390" t="s">
        <v>925</v>
      </c>
    </row>
    <row r="43" spans="1:4" ht="15.75" x14ac:dyDescent="0.25">
      <c r="A43" t="str">
        <f t="shared" si="0"/>
        <v>6BC Deferred Comp &amp; NC 401(k)-Combined Pkg</v>
      </c>
      <c r="B43" s="391" t="s">
        <v>1964</v>
      </c>
      <c r="C43" s="976" t="s">
        <v>1939</v>
      </c>
      <c r="D43" s="390" t="s">
        <v>925</v>
      </c>
    </row>
    <row r="44" spans="1:4" ht="15.75" x14ac:dyDescent="0.25">
      <c r="A44" t="str">
        <f t="shared" si="0"/>
        <v>87 NC School of Science &amp; Mathematics</v>
      </c>
      <c r="B44" s="391" t="s">
        <v>1472</v>
      </c>
      <c r="C44" s="841" t="s">
        <v>1286</v>
      </c>
      <c r="D44" s="390" t="s">
        <v>821</v>
      </c>
    </row>
    <row r="45" spans="1:4" ht="15.75" x14ac:dyDescent="0.25">
      <c r="A45" t="str">
        <f t="shared" si="0"/>
        <v>90 General Fund - OSC</v>
      </c>
      <c r="B45" s="391" t="s">
        <v>1166</v>
      </c>
      <c r="C45" s="390" t="s">
        <v>1167</v>
      </c>
      <c r="D45" s="390" t="s">
        <v>925</v>
      </c>
    </row>
    <row r="46" spans="1:4" ht="15.75" x14ac:dyDescent="0.25">
      <c r="A46" t="str">
        <f t="shared" si="0"/>
        <v>99 General Fund - DOR</v>
      </c>
      <c r="B46" s="391" t="s">
        <v>1169</v>
      </c>
      <c r="C46" s="390" t="s">
        <v>1168</v>
      </c>
      <c r="D46" s="390" t="s">
        <v>925</v>
      </c>
    </row>
    <row r="47" spans="1:4" ht="15.75" x14ac:dyDescent="0.25">
      <c r="A47" t="str">
        <f t="shared" si="0"/>
        <v>RX OSC-Central Accounts</v>
      </c>
      <c r="B47" s="391" t="s">
        <v>49</v>
      </c>
      <c r="C47" s="390" t="s">
        <v>502</v>
      </c>
      <c r="D47" s="390" t="s">
        <v>925</v>
      </c>
    </row>
    <row r="48" spans="1:4" ht="15.75" x14ac:dyDescent="0.25">
      <c r="A48" t="str">
        <f t="shared" si="0"/>
        <v>U10 UNC-System Office</v>
      </c>
      <c r="B48" s="391" t="s">
        <v>401</v>
      </c>
      <c r="C48" s="841" t="s">
        <v>4613</v>
      </c>
      <c r="D48" s="390" t="s">
        <v>821</v>
      </c>
    </row>
    <row r="49" spans="1:4" ht="15.75" x14ac:dyDescent="0.25">
      <c r="A49" t="str">
        <f t="shared" si="0"/>
        <v>U20 UNC at Chapel Hill</v>
      </c>
      <c r="B49" s="391" t="s">
        <v>402</v>
      </c>
      <c r="C49" s="390" t="s">
        <v>725</v>
      </c>
      <c r="D49" s="390" t="s">
        <v>821</v>
      </c>
    </row>
    <row r="50" spans="1:4" ht="15.75" x14ac:dyDescent="0.25">
      <c r="A50" t="str">
        <f t="shared" si="0"/>
        <v>U30 North Carolina State University</v>
      </c>
      <c r="B50" s="391" t="s">
        <v>403</v>
      </c>
      <c r="C50" s="390" t="s">
        <v>171</v>
      </c>
      <c r="D50" s="390" t="s">
        <v>821</v>
      </c>
    </row>
    <row r="51" spans="1:4" ht="15.75" x14ac:dyDescent="0.25">
      <c r="A51" t="str">
        <f t="shared" si="0"/>
        <v>U40 UNC at Greensboro</v>
      </c>
      <c r="B51" s="391" t="s">
        <v>404</v>
      </c>
      <c r="C51" s="390" t="s">
        <v>726</v>
      </c>
      <c r="D51" s="390" t="s">
        <v>821</v>
      </c>
    </row>
    <row r="52" spans="1:4" ht="15.75" x14ac:dyDescent="0.25">
      <c r="A52" t="str">
        <f t="shared" si="0"/>
        <v>U50 UNC at Charlotte</v>
      </c>
      <c r="B52" s="391" t="s">
        <v>405</v>
      </c>
      <c r="C52" s="390" t="s">
        <v>178</v>
      </c>
      <c r="D52" s="390" t="s">
        <v>821</v>
      </c>
    </row>
    <row r="53" spans="1:4" ht="15.75" x14ac:dyDescent="0.25">
      <c r="A53" t="str">
        <f t="shared" si="0"/>
        <v>U55 UNC at Asheville</v>
      </c>
      <c r="B53" s="391" t="s">
        <v>406</v>
      </c>
      <c r="C53" s="390" t="s">
        <v>179</v>
      </c>
      <c r="D53" s="390" t="s">
        <v>821</v>
      </c>
    </row>
    <row r="54" spans="1:4" ht="15.75" x14ac:dyDescent="0.25">
      <c r="A54" t="str">
        <f t="shared" si="0"/>
        <v>U60 UNC at Wilmington</v>
      </c>
      <c r="B54" s="391" t="s">
        <v>64</v>
      </c>
      <c r="C54" s="390" t="s">
        <v>180</v>
      </c>
      <c r="D54" s="390" t="s">
        <v>821</v>
      </c>
    </row>
    <row r="55" spans="1:4" ht="15.75" x14ac:dyDescent="0.25">
      <c r="A55" t="str">
        <f t="shared" si="0"/>
        <v>U65 East Carolina University</v>
      </c>
      <c r="B55" s="391" t="s">
        <v>65</v>
      </c>
      <c r="C55" s="390" t="s">
        <v>6</v>
      </c>
      <c r="D55" s="390" t="s">
        <v>821</v>
      </c>
    </row>
    <row r="56" spans="1:4" ht="15.75" x14ac:dyDescent="0.25">
      <c r="A56" t="str">
        <f t="shared" si="0"/>
        <v>U70 North Carolina A&amp;T University</v>
      </c>
      <c r="B56" s="391" t="s">
        <v>66</v>
      </c>
      <c r="C56" s="841" t="s">
        <v>1285</v>
      </c>
      <c r="D56" s="390" t="s">
        <v>821</v>
      </c>
    </row>
    <row r="57" spans="1:4" ht="15.75" x14ac:dyDescent="0.25">
      <c r="A57" t="str">
        <f t="shared" si="0"/>
        <v>U75 Western Carolina University</v>
      </c>
      <c r="B57" s="391" t="s">
        <v>67</v>
      </c>
      <c r="C57" s="390" t="s">
        <v>173</v>
      </c>
      <c r="D57" s="390" t="s">
        <v>821</v>
      </c>
    </row>
    <row r="58" spans="1:4" ht="15.75" x14ac:dyDescent="0.25">
      <c r="A58" t="str">
        <f t="shared" si="0"/>
        <v>U80 Appalachian State University</v>
      </c>
      <c r="B58" s="391" t="s">
        <v>741</v>
      </c>
      <c r="C58" s="390" t="s">
        <v>172</v>
      </c>
      <c r="D58" s="390" t="s">
        <v>821</v>
      </c>
    </row>
    <row r="59" spans="1:4" ht="15.75" x14ac:dyDescent="0.25">
      <c r="A59" t="str">
        <f t="shared" si="0"/>
        <v>U82 UNC at Pembroke</v>
      </c>
      <c r="B59" s="391" t="s">
        <v>742</v>
      </c>
      <c r="C59" s="390" t="s">
        <v>181</v>
      </c>
      <c r="D59" s="390" t="s">
        <v>821</v>
      </c>
    </row>
    <row r="60" spans="1:4" ht="15.75" x14ac:dyDescent="0.25">
      <c r="A60" t="str">
        <f t="shared" si="0"/>
        <v>U84 Winston-Salem State University</v>
      </c>
      <c r="B60" s="391" t="s">
        <v>743</v>
      </c>
      <c r="C60" s="390" t="s">
        <v>174</v>
      </c>
      <c r="D60" s="390" t="s">
        <v>821</v>
      </c>
    </row>
    <row r="61" spans="1:4" ht="15.75" x14ac:dyDescent="0.25">
      <c r="A61" t="str">
        <f t="shared" si="0"/>
        <v>U86 Elizabeth City State University</v>
      </c>
      <c r="B61" s="391" t="s">
        <v>744</v>
      </c>
      <c r="C61" s="390" t="s">
        <v>68</v>
      </c>
      <c r="D61" s="390" t="s">
        <v>821</v>
      </c>
    </row>
    <row r="62" spans="1:4" ht="15.75" x14ac:dyDescent="0.25">
      <c r="A62" t="str">
        <f t="shared" si="0"/>
        <v>U88 Fayetteville State University</v>
      </c>
      <c r="B62" s="391" t="s">
        <v>745</v>
      </c>
      <c r="C62" s="390" t="s">
        <v>69</v>
      </c>
      <c r="D62" s="390" t="s">
        <v>821</v>
      </c>
    </row>
    <row r="63" spans="1:4" ht="15.75" x14ac:dyDescent="0.25">
      <c r="A63" t="str">
        <f t="shared" si="0"/>
        <v>U90 North Carolina Central University</v>
      </c>
      <c r="B63" s="391" t="s">
        <v>746</v>
      </c>
      <c r="C63" s="390" t="s">
        <v>7</v>
      </c>
      <c r="D63" s="390" t="s">
        <v>821</v>
      </c>
    </row>
    <row r="64" spans="1:4" ht="15.75" x14ac:dyDescent="0.25">
      <c r="A64" t="str">
        <f t="shared" si="0"/>
        <v>U92 UNC School of the Arts</v>
      </c>
      <c r="B64" s="391" t="s">
        <v>747</v>
      </c>
      <c r="C64" s="841" t="s">
        <v>1284</v>
      </c>
      <c r="D64" s="390" t="s">
        <v>821</v>
      </c>
    </row>
    <row r="65" spans="1:4" ht="15.75" x14ac:dyDescent="0.25">
      <c r="A65" t="str">
        <f t="shared" si="0"/>
        <v>ZL Gateway Research Park, Inc.</v>
      </c>
      <c r="B65" s="391" t="s">
        <v>1689</v>
      </c>
      <c r="C65" s="841" t="s">
        <v>4654</v>
      </c>
      <c r="D65" s="390" t="s">
        <v>821</v>
      </c>
    </row>
    <row r="68" spans="1:4" x14ac:dyDescent="0.2">
      <c r="A68" s="3025" t="s">
        <v>4897</v>
      </c>
      <c r="B68" s="3025"/>
      <c r="C68" s="3025"/>
      <c r="D68" s="3025"/>
    </row>
    <row r="70" spans="1:4" ht="15.75" x14ac:dyDescent="0.25">
      <c r="A70" s="1737" t="s">
        <v>4898</v>
      </c>
      <c r="B70" s="1723" t="s">
        <v>3637</v>
      </c>
      <c r="C70" s="1724" t="s">
        <v>237</v>
      </c>
      <c r="D70" s="1724" t="s">
        <v>925</v>
      </c>
    </row>
    <row r="71" spans="1:4" ht="15.75" x14ac:dyDescent="0.25">
      <c r="A71" s="1737" t="s">
        <v>4290</v>
      </c>
      <c r="B71" s="1723" t="s">
        <v>3638</v>
      </c>
      <c r="C71" s="1724" t="s">
        <v>1178</v>
      </c>
      <c r="D71" s="1724" t="s">
        <v>925</v>
      </c>
    </row>
    <row r="72" spans="1:4" ht="15.75" x14ac:dyDescent="0.25">
      <c r="A72" s="1725"/>
      <c r="B72" s="1723" t="s">
        <v>1055</v>
      </c>
      <c r="C72" s="1724" t="s">
        <v>1179</v>
      </c>
      <c r="D72" s="1724" t="s">
        <v>925</v>
      </c>
    </row>
    <row r="73" spans="1:4" ht="15.75" x14ac:dyDescent="0.25">
      <c r="A73" s="1725"/>
      <c r="B73" s="1723" t="s">
        <v>3639</v>
      </c>
      <c r="C73" s="1724" t="s">
        <v>1180</v>
      </c>
      <c r="D73" s="1724" t="s">
        <v>925</v>
      </c>
    </row>
    <row r="74" spans="1:4" ht="15.75" x14ac:dyDescent="0.25">
      <c r="A74" s="1725"/>
      <c r="B74" s="1723" t="s">
        <v>3640</v>
      </c>
      <c r="C74" s="1724" t="s">
        <v>238</v>
      </c>
      <c r="D74" s="1724" t="s">
        <v>925</v>
      </c>
    </row>
    <row r="75" spans="1:4" ht="15.75" x14ac:dyDescent="0.25">
      <c r="A75" s="1725"/>
      <c r="B75" s="1723" t="s">
        <v>3641</v>
      </c>
      <c r="C75" s="1724" t="s">
        <v>217</v>
      </c>
      <c r="D75" s="1724" t="s">
        <v>925</v>
      </c>
    </row>
    <row r="76" spans="1:4" ht="15.75" x14ac:dyDescent="0.25">
      <c r="A76" s="1725"/>
      <c r="B76" s="1723" t="s">
        <v>3642</v>
      </c>
      <c r="C76" s="1724" t="s">
        <v>56</v>
      </c>
      <c r="D76" s="1724" t="s">
        <v>925</v>
      </c>
    </row>
    <row r="77" spans="1:4" ht="15.75" x14ac:dyDescent="0.25">
      <c r="A77" s="1725"/>
      <c r="B77" s="1723" t="s">
        <v>3643</v>
      </c>
      <c r="C77" s="1724" t="s">
        <v>749</v>
      </c>
      <c r="D77" s="1724" t="s">
        <v>925</v>
      </c>
    </row>
    <row r="78" spans="1:4" ht="15.75" x14ac:dyDescent="0.25">
      <c r="A78" s="1725"/>
      <c r="B78" s="1723" t="s">
        <v>3644</v>
      </c>
      <c r="C78" s="1724" t="s">
        <v>305</v>
      </c>
      <c r="D78" s="1724" t="s">
        <v>925</v>
      </c>
    </row>
    <row r="79" spans="1:4" ht="15.75" x14ac:dyDescent="0.25">
      <c r="A79" s="1725"/>
      <c r="B79" s="1723" t="s">
        <v>3645</v>
      </c>
      <c r="C79" s="1724" t="s">
        <v>306</v>
      </c>
      <c r="D79" s="1724" t="s">
        <v>925</v>
      </c>
    </row>
    <row r="80" spans="1:4" ht="15.75" x14ac:dyDescent="0.25">
      <c r="A80" s="1725"/>
      <c r="B80" s="1723" t="s">
        <v>3646</v>
      </c>
      <c r="C80" s="1724" t="s">
        <v>307</v>
      </c>
      <c r="D80" s="1724" t="s">
        <v>925</v>
      </c>
    </row>
    <row r="81" spans="1:4" ht="15.75" x14ac:dyDescent="0.25">
      <c r="A81" s="1725"/>
      <c r="B81" s="1723" t="s">
        <v>3647</v>
      </c>
      <c r="C81" s="1724" t="s">
        <v>308</v>
      </c>
      <c r="D81" s="1724" t="s">
        <v>925</v>
      </c>
    </row>
    <row r="82" spans="1:4" ht="15.75" x14ac:dyDescent="0.25">
      <c r="A82" s="1725"/>
      <c r="B82" s="1723" t="s">
        <v>932</v>
      </c>
      <c r="C82" s="1724" t="s">
        <v>185</v>
      </c>
      <c r="D82" s="1724" t="s">
        <v>925</v>
      </c>
    </row>
    <row r="83" spans="1:4" ht="15.75" x14ac:dyDescent="0.25">
      <c r="A83" s="1725"/>
      <c r="B83" s="1723" t="s">
        <v>3648</v>
      </c>
      <c r="C83" s="1724" t="s">
        <v>186</v>
      </c>
      <c r="D83" s="1724" t="s">
        <v>925</v>
      </c>
    </row>
    <row r="84" spans="1:4" ht="15.75" x14ac:dyDescent="0.25">
      <c r="A84" s="1725"/>
      <c r="B84" s="1723" t="s">
        <v>3649</v>
      </c>
      <c r="C84" s="1724" t="s">
        <v>144</v>
      </c>
      <c r="D84" s="1724" t="s">
        <v>925</v>
      </c>
    </row>
    <row r="85" spans="1:4" ht="15.75" x14ac:dyDescent="0.25">
      <c r="A85" s="1725"/>
      <c r="B85" s="1723" t="s">
        <v>3650</v>
      </c>
      <c r="C85" s="1724" t="s">
        <v>4044</v>
      </c>
      <c r="D85" s="1724" t="s">
        <v>925</v>
      </c>
    </row>
    <row r="86" spans="1:4" ht="15.75" x14ac:dyDescent="0.25">
      <c r="A86" s="1725"/>
      <c r="B86" s="1723" t="s">
        <v>3651</v>
      </c>
      <c r="C86" s="1724" t="s">
        <v>1017</v>
      </c>
      <c r="D86" s="1724" t="s">
        <v>925</v>
      </c>
    </row>
    <row r="87" spans="1:4" ht="15.75" x14ac:dyDescent="0.25">
      <c r="A87" s="1725"/>
      <c r="B87" s="1723" t="s">
        <v>1782</v>
      </c>
      <c r="C87" s="1724" t="s">
        <v>1783</v>
      </c>
      <c r="D87" s="1724" t="s">
        <v>925</v>
      </c>
    </row>
    <row r="88" spans="1:4" ht="15.75" x14ac:dyDescent="0.25">
      <c r="A88" s="1725"/>
      <c r="B88" s="1723" t="s">
        <v>1018</v>
      </c>
      <c r="C88" s="1724" t="s">
        <v>565</v>
      </c>
      <c r="D88" s="1724" t="s">
        <v>925</v>
      </c>
    </row>
    <row r="89" spans="1:4" ht="15.75" x14ac:dyDescent="0.25">
      <c r="A89" s="1725"/>
      <c r="B89" s="1723" t="s">
        <v>432</v>
      </c>
      <c r="C89" s="1724" t="s">
        <v>1019</v>
      </c>
      <c r="D89" s="1724" t="s">
        <v>925</v>
      </c>
    </row>
    <row r="90" spans="1:4" ht="15.75" x14ac:dyDescent="0.25">
      <c r="A90" s="1725"/>
      <c r="B90" s="1723" t="s">
        <v>4186</v>
      </c>
      <c r="C90" s="1724" t="s">
        <v>4042</v>
      </c>
      <c r="D90" s="1724" t="s">
        <v>925</v>
      </c>
    </row>
    <row r="91" spans="1:4" ht="15.75" x14ac:dyDescent="0.25">
      <c r="A91" s="1725"/>
      <c r="B91" s="1723" t="s">
        <v>559</v>
      </c>
      <c r="C91" s="1724" t="s">
        <v>4043</v>
      </c>
      <c r="D91" s="1724" t="s">
        <v>925</v>
      </c>
    </row>
    <row r="92" spans="1:4" ht="15.75" x14ac:dyDescent="0.25">
      <c r="A92" s="1725"/>
      <c r="B92" s="1723" t="s">
        <v>3652</v>
      </c>
      <c r="C92" s="1724" t="s">
        <v>433</v>
      </c>
      <c r="D92" s="1724" t="s">
        <v>925</v>
      </c>
    </row>
    <row r="93" spans="1:4" ht="15.75" x14ac:dyDescent="0.25">
      <c r="A93" s="1725"/>
      <c r="B93" s="1723" t="s">
        <v>3653</v>
      </c>
      <c r="C93" s="1724" t="s">
        <v>434</v>
      </c>
      <c r="D93" s="1724" t="s">
        <v>925</v>
      </c>
    </row>
    <row r="94" spans="1:4" ht="15.75" x14ac:dyDescent="0.25">
      <c r="A94" s="1725"/>
      <c r="B94" s="1723" t="s">
        <v>3654</v>
      </c>
      <c r="C94" s="1724" t="s">
        <v>4045</v>
      </c>
      <c r="D94" s="1724" t="s">
        <v>925</v>
      </c>
    </row>
    <row r="95" spans="1:4" ht="15.75" x14ac:dyDescent="0.25">
      <c r="A95" s="1725"/>
      <c r="B95" s="1723" t="s">
        <v>3655</v>
      </c>
      <c r="C95" s="1724" t="s">
        <v>47</v>
      </c>
      <c r="D95" s="1724" t="s">
        <v>925</v>
      </c>
    </row>
    <row r="96" spans="1:4" ht="15.75" x14ac:dyDescent="0.25">
      <c r="A96" s="1725"/>
      <c r="B96" s="1723" t="s">
        <v>3656</v>
      </c>
      <c r="C96" s="1724" t="s">
        <v>48</v>
      </c>
      <c r="D96" s="1724" t="s">
        <v>925</v>
      </c>
    </row>
    <row r="97" spans="1:4" ht="15.75" x14ac:dyDescent="0.25">
      <c r="A97" s="1725"/>
      <c r="B97" s="1723" t="s">
        <v>908</v>
      </c>
      <c r="C97" s="1724" t="s">
        <v>574</v>
      </c>
      <c r="D97" s="1724" t="s">
        <v>925</v>
      </c>
    </row>
    <row r="98" spans="1:4" ht="15.75" x14ac:dyDescent="0.25">
      <c r="A98" s="1725"/>
      <c r="B98" s="1723" t="s">
        <v>3657</v>
      </c>
      <c r="C98" s="1724" t="s">
        <v>190</v>
      </c>
      <c r="D98" s="1724" t="s">
        <v>925</v>
      </c>
    </row>
    <row r="99" spans="1:4" ht="15.75" x14ac:dyDescent="0.25">
      <c r="A99" s="1725"/>
      <c r="B99" s="1723" t="s">
        <v>399</v>
      </c>
      <c r="C99" s="1724" t="s">
        <v>724</v>
      </c>
      <c r="D99" s="1724" t="s">
        <v>925</v>
      </c>
    </row>
    <row r="100" spans="1:4" ht="15.75" x14ac:dyDescent="0.25">
      <c r="A100" s="1725"/>
      <c r="B100" s="1723" t="s">
        <v>1964</v>
      </c>
      <c r="C100" s="1726" t="s">
        <v>1939</v>
      </c>
      <c r="D100" s="1724" t="s">
        <v>925</v>
      </c>
    </row>
    <row r="101" spans="1:4" ht="15.75" x14ac:dyDescent="0.25">
      <c r="A101" s="1725"/>
      <c r="B101" s="1723" t="s">
        <v>1166</v>
      </c>
      <c r="C101" s="1724" t="s">
        <v>1167</v>
      </c>
      <c r="D101" s="1724" t="s">
        <v>925</v>
      </c>
    </row>
    <row r="102" spans="1:4" ht="15.75" x14ac:dyDescent="0.25">
      <c r="A102" s="1725"/>
      <c r="B102" s="1723" t="s">
        <v>1169</v>
      </c>
      <c r="C102" s="1724" t="s">
        <v>1168</v>
      </c>
      <c r="D102" s="1724" t="s">
        <v>925</v>
      </c>
    </row>
    <row r="103" spans="1:4" ht="16.5" thickBot="1" x14ac:dyDescent="0.3">
      <c r="A103" s="1734"/>
      <c r="B103" s="1735" t="s">
        <v>49</v>
      </c>
      <c r="C103" s="1736" t="s">
        <v>502</v>
      </c>
      <c r="D103" s="1736" t="s">
        <v>925</v>
      </c>
    </row>
    <row r="104" spans="1:4" ht="15.75" x14ac:dyDescent="0.25">
      <c r="A104" s="1733" t="s">
        <v>4899</v>
      </c>
      <c r="B104" s="1727" t="s">
        <v>1461</v>
      </c>
      <c r="C104" s="1728" t="s">
        <v>1475</v>
      </c>
      <c r="D104" s="1729" t="s">
        <v>821</v>
      </c>
    </row>
    <row r="105" spans="1:4" ht="15.75" x14ac:dyDescent="0.25">
      <c r="A105" s="1733" t="s">
        <v>4291</v>
      </c>
      <c r="B105" s="1727" t="s">
        <v>1473</v>
      </c>
      <c r="C105" s="1729" t="s">
        <v>678</v>
      </c>
      <c r="D105" s="1729" t="s">
        <v>821</v>
      </c>
    </row>
    <row r="106" spans="1:4" ht="15.75" x14ac:dyDescent="0.25">
      <c r="A106" s="1730"/>
      <c r="B106" s="1727" t="s">
        <v>896</v>
      </c>
      <c r="C106" s="1729" t="s">
        <v>897</v>
      </c>
      <c r="D106" s="1729" t="s">
        <v>821</v>
      </c>
    </row>
    <row r="107" spans="1:4" ht="15.75" x14ac:dyDescent="0.25">
      <c r="A107" s="1730"/>
      <c r="B107" s="1727" t="s">
        <v>169</v>
      </c>
      <c r="C107" s="1729" t="s">
        <v>170</v>
      </c>
      <c r="D107" s="1729" t="s">
        <v>821</v>
      </c>
    </row>
    <row r="108" spans="1:4" ht="15.75" x14ac:dyDescent="0.25">
      <c r="A108" s="1730"/>
      <c r="B108" s="1727" t="s">
        <v>168</v>
      </c>
      <c r="C108" s="1729" t="s">
        <v>573</v>
      </c>
      <c r="D108" s="1729" t="s">
        <v>821</v>
      </c>
    </row>
    <row r="109" spans="1:4" ht="15.75" x14ac:dyDescent="0.25">
      <c r="A109" s="1730"/>
      <c r="B109" s="1727" t="s">
        <v>1304</v>
      </c>
      <c r="C109" s="1729" t="s">
        <v>1310</v>
      </c>
      <c r="D109" s="1729" t="s">
        <v>821</v>
      </c>
    </row>
    <row r="110" spans="1:4" ht="15.75" x14ac:dyDescent="0.25">
      <c r="A110" s="1730"/>
      <c r="B110" s="1727" t="s">
        <v>1399</v>
      </c>
      <c r="C110" s="1728" t="s">
        <v>4292</v>
      </c>
      <c r="D110" s="1729" t="s">
        <v>821</v>
      </c>
    </row>
    <row r="111" spans="1:4" ht="15.75" x14ac:dyDescent="0.25">
      <c r="A111" s="1730"/>
      <c r="B111" s="1727" t="s">
        <v>4581</v>
      </c>
      <c r="C111" s="1728" t="s">
        <v>4584</v>
      </c>
      <c r="D111" s="1729" t="s">
        <v>821</v>
      </c>
    </row>
    <row r="112" spans="1:4" ht="15.75" x14ac:dyDescent="0.25">
      <c r="A112" s="1730"/>
      <c r="B112" s="1727" t="s">
        <v>3525</v>
      </c>
      <c r="C112" s="1728" t="s">
        <v>3526</v>
      </c>
      <c r="D112" s="1729" t="s">
        <v>821</v>
      </c>
    </row>
    <row r="113" spans="1:4" ht="15.75" x14ac:dyDescent="0.25">
      <c r="A113" s="1730"/>
      <c r="B113" s="1731" t="s">
        <v>1472</v>
      </c>
      <c r="C113" s="1732" t="s">
        <v>1286</v>
      </c>
      <c r="D113" s="1732" t="s">
        <v>821</v>
      </c>
    </row>
    <row r="114" spans="1:4" ht="15.75" x14ac:dyDescent="0.25">
      <c r="A114" s="1730"/>
      <c r="B114" s="1731" t="s">
        <v>401</v>
      </c>
      <c r="C114" s="1732" t="s">
        <v>4613</v>
      </c>
      <c r="D114" s="1732" t="s">
        <v>821</v>
      </c>
    </row>
    <row r="115" spans="1:4" ht="15.75" x14ac:dyDescent="0.25">
      <c r="A115" s="1730"/>
      <c r="B115" s="1731" t="s">
        <v>402</v>
      </c>
      <c r="C115" s="1732" t="s">
        <v>725</v>
      </c>
      <c r="D115" s="1732" t="s">
        <v>821</v>
      </c>
    </row>
    <row r="116" spans="1:4" ht="15.75" x14ac:dyDescent="0.25">
      <c r="A116" s="1730"/>
      <c r="B116" s="1731" t="s">
        <v>403</v>
      </c>
      <c r="C116" s="1732" t="s">
        <v>171</v>
      </c>
      <c r="D116" s="1732" t="s">
        <v>821</v>
      </c>
    </row>
    <row r="117" spans="1:4" ht="15.75" x14ac:dyDescent="0.25">
      <c r="A117" s="1730"/>
      <c r="B117" s="1731" t="s">
        <v>404</v>
      </c>
      <c r="C117" s="1732" t="s">
        <v>726</v>
      </c>
      <c r="D117" s="1732" t="s">
        <v>821</v>
      </c>
    </row>
    <row r="118" spans="1:4" ht="15.75" x14ac:dyDescent="0.25">
      <c r="A118" s="1730"/>
      <c r="B118" s="1731" t="s">
        <v>405</v>
      </c>
      <c r="C118" s="1732" t="s">
        <v>178</v>
      </c>
      <c r="D118" s="1732" t="s">
        <v>821</v>
      </c>
    </row>
    <row r="119" spans="1:4" ht="15.75" x14ac:dyDescent="0.25">
      <c r="A119" s="1730"/>
      <c r="B119" s="1731" t="s">
        <v>406</v>
      </c>
      <c r="C119" s="1732" t="s">
        <v>179</v>
      </c>
      <c r="D119" s="1732" t="s">
        <v>821</v>
      </c>
    </row>
    <row r="120" spans="1:4" ht="15.75" x14ac:dyDescent="0.25">
      <c r="A120" s="1730"/>
      <c r="B120" s="1731" t="s">
        <v>64</v>
      </c>
      <c r="C120" s="1732" t="s">
        <v>180</v>
      </c>
      <c r="D120" s="1732" t="s">
        <v>821</v>
      </c>
    </row>
    <row r="121" spans="1:4" ht="15.75" x14ac:dyDescent="0.25">
      <c r="A121" s="1730"/>
      <c r="B121" s="1731" t="s">
        <v>65</v>
      </c>
      <c r="C121" s="1732" t="s">
        <v>6</v>
      </c>
      <c r="D121" s="1732" t="s">
        <v>821</v>
      </c>
    </row>
    <row r="122" spans="1:4" ht="15.75" x14ac:dyDescent="0.25">
      <c r="A122" s="1730"/>
      <c r="B122" s="1731" t="s">
        <v>66</v>
      </c>
      <c r="C122" s="1732" t="s">
        <v>1285</v>
      </c>
      <c r="D122" s="1732" t="s">
        <v>821</v>
      </c>
    </row>
    <row r="123" spans="1:4" ht="15.75" x14ac:dyDescent="0.25">
      <c r="A123" s="1730"/>
      <c r="B123" s="1731" t="s">
        <v>67</v>
      </c>
      <c r="C123" s="1732" t="s">
        <v>173</v>
      </c>
      <c r="D123" s="1732" t="s">
        <v>821</v>
      </c>
    </row>
    <row r="124" spans="1:4" ht="15.75" x14ac:dyDescent="0.25">
      <c r="A124" s="1730"/>
      <c r="B124" s="1731" t="s">
        <v>741</v>
      </c>
      <c r="C124" s="1732" t="s">
        <v>172</v>
      </c>
      <c r="D124" s="1732" t="s">
        <v>821</v>
      </c>
    </row>
    <row r="125" spans="1:4" ht="15.75" x14ac:dyDescent="0.25">
      <c r="A125" s="1730"/>
      <c r="B125" s="1731" t="s">
        <v>742</v>
      </c>
      <c r="C125" s="1732" t="s">
        <v>181</v>
      </c>
      <c r="D125" s="1732" t="s">
        <v>821</v>
      </c>
    </row>
    <row r="126" spans="1:4" ht="15.75" x14ac:dyDescent="0.25">
      <c r="A126" s="1730"/>
      <c r="B126" s="1731" t="s">
        <v>743</v>
      </c>
      <c r="C126" s="1732" t="s">
        <v>174</v>
      </c>
      <c r="D126" s="1732" t="s">
        <v>821</v>
      </c>
    </row>
    <row r="127" spans="1:4" ht="15.75" x14ac:dyDescent="0.25">
      <c r="A127" s="1730"/>
      <c r="B127" s="1731" t="s">
        <v>744</v>
      </c>
      <c r="C127" s="1732" t="s">
        <v>68</v>
      </c>
      <c r="D127" s="1732" t="s">
        <v>821</v>
      </c>
    </row>
    <row r="128" spans="1:4" ht="15.75" x14ac:dyDescent="0.25">
      <c r="A128" s="1730"/>
      <c r="B128" s="1731" t="s">
        <v>745</v>
      </c>
      <c r="C128" s="1732" t="s">
        <v>69</v>
      </c>
      <c r="D128" s="1732" t="s">
        <v>821</v>
      </c>
    </row>
    <row r="129" spans="1:4" ht="15.75" x14ac:dyDescent="0.25">
      <c r="A129" s="1730"/>
      <c r="B129" s="1731" t="s">
        <v>746</v>
      </c>
      <c r="C129" s="1732" t="s">
        <v>7</v>
      </c>
      <c r="D129" s="1732" t="s">
        <v>821</v>
      </c>
    </row>
    <row r="130" spans="1:4" ht="15.75" x14ac:dyDescent="0.25">
      <c r="A130" s="1730"/>
      <c r="B130" s="1731" t="s">
        <v>747</v>
      </c>
      <c r="C130" s="1732" t="s">
        <v>1284</v>
      </c>
      <c r="D130" s="1732" t="s">
        <v>821</v>
      </c>
    </row>
    <row r="131" spans="1:4" ht="15.75" x14ac:dyDescent="0.25">
      <c r="A131" s="1730"/>
      <c r="B131" s="1731" t="s">
        <v>150</v>
      </c>
      <c r="C131" s="1732" t="s">
        <v>182</v>
      </c>
      <c r="D131" s="1732" t="s">
        <v>823</v>
      </c>
    </row>
    <row r="132" spans="1:4" ht="15.75" x14ac:dyDescent="0.25">
      <c r="A132" s="1730"/>
      <c r="B132" s="1731" t="s">
        <v>1311</v>
      </c>
      <c r="C132" s="1732" t="s">
        <v>1312</v>
      </c>
      <c r="D132" s="1732" t="s">
        <v>823</v>
      </c>
    </row>
    <row r="133" spans="1:4" ht="15.75" x14ac:dyDescent="0.25">
      <c r="A133" s="1730"/>
      <c r="B133" s="1731" t="s">
        <v>623</v>
      </c>
      <c r="C133" s="1732" t="s">
        <v>576</v>
      </c>
      <c r="D133" s="1732" t="s">
        <v>823</v>
      </c>
    </row>
    <row r="134" spans="1:4" ht="15.75" x14ac:dyDescent="0.25">
      <c r="A134" s="1730"/>
      <c r="B134" s="1731" t="s">
        <v>1748</v>
      </c>
      <c r="C134" s="1732" t="s">
        <v>1749</v>
      </c>
      <c r="D134" s="1732" t="s">
        <v>823</v>
      </c>
    </row>
    <row r="135" spans="1:4" ht="15.75" x14ac:dyDescent="0.25">
      <c r="A135" s="1730"/>
      <c r="B135" s="1731" t="s">
        <v>624</v>
      </c>
      <c r="C135" s="1732" t="s">
        <v>577</v>
      </c>
      <c r="D135" s="1732" t="s">
        <v>823</v>
      </c>
    </row>
    <row r="136" spans="1:4" ht="15.75" x14ac:dyDescent="0.25">
      <c r="A136" s="1730"/>
      <c r="B136" s="1731" t="s">
        <v>622</v>
      </c>
      <c r="C136" s="1732" t="s">
        <v>575</v>
      </c>
      <c r="D136" s="1732" t="s">
        <v>823</v>
      </c>
    </row>
    <row r="137" spans="1:4" ht="15.75" x14ac:dyDescent="0.25">
      <c r="A137" s="1730"/>
      <c r="B137" s="1731" t="s">
        <v>400</v>
      </c>
      <c r="C137" s="1732" t="s">
        <v>183</v>
      </c>
      <c r="D137" s="1732" t="s">
        <v>823</v>
      </c>
    </row>
    <row r="138" spans="1:4" ht="15.75" x14ac:dyDescent="0.25">
      <c r="A138" s="1730"/>
      <c r="B138" s="1731" t="s">
        <v>1965</v>
      </c>
      <c r="C138" s="1732" t="s">
        <v>1966</v>
      </c>
      <c r="D138" s="1732" t="s">
        <v>823</v>
      </c>
    </row>
    <row r="139" spans="1:4" ht="15.75" x14ac:dyDescent="0.25">
      <c r="A139" s="1730"/>
      <c r="B139" s="1731" t="s">
        <v>625</v>
      </c>
      <c r="C139" s="1732" t="s">
        <v>621</v>
      </c>
      <c r="D139" s="1732" t="s">
        <v>823</v>
      </c>
    </row>
    <row r="140" spans="1:4" ht="15.75" x14ac:dyDescent="0.25">
      <c r="A140" s="1730"/>
      <c r="B140" s="1731" t="s">
        <v>780</v>
      </c>
      <c r="C140" s="1732" t="s">
        <v>184</v>
      </c>
      <c r="D140" s="1732" t="s">
        <v>823</v>
      </c>
    </row>
    <row r="141" spans="1:4" ht="15.75" x14ac:dyDescent="0.25">
      <c r="A141" s="1730"/>
      <c r="B141" s="1731" t="s">
        <v>1689</v>
      </c>
      <c r="C141" s="1732" t="s">
        <v>1690</v>
      </c>
      <c r="D141" s="1732" t="s">
        <v>821</v>
      </c>
    </row>
    <row r="142" spans="1:4" ht="15.75" x14ac:dyDescent="0.25">
      <c r="A142" s="1730"/>
      <c r="B142" s="1731" t="s">
        <v>3858</v>
      </c>
      <c r="C142" s="1732" t="s">
        <v>3864</v>
      </c>
      <c r="D142" s="1732" t="s">
        <v>823</v>
      </c>
    </row>
    <row r="143" spans="1:4" ht="15.75" x14ac:dyDescent="0.25">
      <c r="A143" s="1730"/>
      <c r="B143" s="1731" t="s">
        <v>603</v>
      </c>
      <c r="C143" s="1732" t="s">
        <v>604</v>
      </c>
      <c r="D143" s="1732" t="s">
        <v>822</v>
      </c>
    </row>
    <row r="144" spans="1:4" ht="15.75" x14ac:dyDescent="0.25">
      <c r="A144" s="1730"/>
      <c r="B144" s="1731" t="s">
        <v>605</v>
      </c>
      <c r="C144" s="1732" t="s">
        <v>606</v>
      </c>
      <c r="D144" s="1732" t="s">
        <v>822</v>
      </c>
    </row>
    <row r="145" spans="1:4" ht="15.75" x14ac:dyDescent="0.25">
      <c r="A145" s="1730"/>
      <c r="B145" s="1731" t="s">
        <v>607</v>
      </c>
      <c r="C145" s="1732" t="s">
        <v>608</v>
      </c>
      <c r="D145" s="1732" t="s">
        <v>822</v>
      </c>
    </row>
    <row r="146" spans="1:4" ht="15.75" x14ac:dyDescent="0.25">
      <c r="A146" s="1730"/>
      <c r="B146" s="1731" t="s">
        <v>609</v>
      </c>
      <c r="C146" s="1732" t="s">
        <v>610</v>
      </c>
      <c r="D146" s="1732" t="s">
        <v>822</v>
      </c>
    </row>
    <row r="147" spans="1:4" ht="15.75" x14ac:dyDescent="0.25">
      <c r="A147" s="1730"/>
      <c r="B147" s="1731" t="s">
        <v>611</v>
      </c>
      <c r="C147" s="1732" t="s">
        <v>612</v>
      </c>
      <c r="D147" s="1732" t="s">
        <v>822</v>
      </c>
    </row>
    <row r="148" spans="1:4" ht="15.75" x14ac:dyDescent="0.25">
      <c r="A148" s="1730"/>
      <c r="B148" s="1731" t="s">
        <v>878</v>
      </c>
      <c r="C148" s="1732" t="s">
        <v>879</v>
      </c>
      <c r="D148" s="1732" t="s">
        <v>822</v>
      </c>
    </row>
    <row r="149" spans="1:4" ht="15.75" x14ac:dyDescent="0.25">
      <c r="A149" s="1730"/>
      <c r="B149" s="1731" t="s">
        <v>880</v>
      </c>
      <c r="C149" s="1732" t="s">
        <v>881</v>
      </c>
      <c r="D149" s="1732" t="s">
        <v>822</v>
      </c>
    </row>
    <row r="150" spans="1:4" ht="15.75" x14ac:dyDescent="0.25">
      <c r="A150" s="1730"/>
      <c r="B150" s="1731" t="s">
        <v>882</v>
      </c>
      <c r="C150" s="1732" t="s">
        <v>883</v>
      </c>
      <c r="D150" s="1732" t="s">
        <v>822</v>
      </c>
    </row>
    <row r="151" spans="1:4" ht="15.75" x14ac:dyDescent="0.25">
      <c r="A151" s="1730"/>
      <c r="B151" s="1731" t="s">
        <v>884</v>
      </c>
      <c r="C151" s="1732" t="s">
        <v>885</v>
      </c>
      <c r="D151" s="1732" t="s">
        <v>822</v>
      </c>
    </row>
    <row r="152" spans="1:4" ht="15.75" x14ac:dyDescent="0.25">
      <c r="A152" s="1730"/>
      <c r="B152" s="1731" t="s">
        <v>886</v>
      </c>
      <c r="C152" s="1732" t="s">
        <v>887</v>
      </c>
      <c r="D152" s="1732" t="s">
        <v>822</v>
      </c>
    </row>
    <row r="153" spans="1:4" ht="15.75" x14ac:dyDescent="0.25">
      <c r="A153" s="1730"/>
      <c r="B153" s="1731" t="s">
        <v>888</v>
      </c>
      <c r="C153" s="1732" t="s">
        <v>889</v>
      </c>
      <c r="D153" s="1732" t="s">
        <v>822</v>
      </c>
    </row>
    <row r="154" spans="1:4" ht="15.75" x14ac:dyDescent="0.25">
      <c r="A154" s="1730"/>
      <c r="B154" s="1731" t="s">
        <v>890</v>
      </c>
      <c r="C154" s="1732" t="s">
        <v>891</v>
      </c>
      <c r="D154" s="1732" t="s">
        <v>822</v>
      </c>
    </row>
    <row r="155" spans="1:4" ht="15.75" x14ac:dyDescent="0.25">
      <c r="A155" s="1730"/>
      <c r="B155" s="1731" t="s">
        <v>892</v>
      </c>
      <c r="C155" s="1732" t="s">
        <v>893</v>
      </c>
      <c r="D155" s="1732" t="s">
        <v>822</v>
      </c>
    </row>
    <row r="156" spans="1:4" ht="15.75" x14ac:dyDescent="0.25">
      <c r="A156" s="1730"/>
      <c r="B156" s="1731" t="s">
        <v>894</v>
      </c>
      <c r="C156" s="1732" t="s">
        <v>895</v>
      </c>
      <c r="D156" s="1732" t="s">
        <v>822</v>
      </c>
    </row>
    <row r="157" spans="1:4" ht="15.75" x14ac:dyDescent="0.25">
      <c r="A157" s="1730"/>
      <c r="B157" s="1731" t="s">
        <v>442</v>
      </c>
      <c r="C157" s="1732" t="s">
        <v>443</v>
      </c>
      <c r="D157" s="1732" t="s">
        <v>822</v>
      </c>
    </row>
    <row r="158" spans="1:4" ht="15.75" x14ac:dyDescent="0.25">
      <c r="A158" s="1730"/>
      <c r="B158" s="1731" t="s">
        <v>46</v>
      </c>
      <c r="C158" s="1732" t="s">
        <v>661</v>
      </c>
      <c r="D158" s="1732" t="s">
        <v>822</v>
      </c>
    </row>
    <row r="159" spans="1:4" ht="15.75" x14ac:dyDescent="0.25">
      <c r="A159" s="1730"/>
      <c r="B159" s="1731" t="s">
        <v>662</v>
      </c>
      <c r="C159" s="1732" t="s">
        <v>663</v>
      </c>
      <c r="D159" s="1732" t="s">
        <v>822</v>
      </c>
    </row>
    <row r="160" spans="1:4" ht="15.75" x14ac:dyDescent="0.25">
      <c r="A160" s="1730"/>
      <c r="B160" s="1731" t="s">
        <v>664</v>
      </c>
      <c r="C160" s="1732" t="s">
        <v>665</v>
      </c>
      <c r="D160" s="1732" t="s">
        <v>822</v>
      </c>
    </row>
    <row r="161" spans="1:4" ht="15.75" x14ac:dyDescent="0.25">
      <c r="A161" s="1730"/>
      <c r="B161" s="1731" t="s">
        <v>666</v>
      </c>
      <c r="C161" s="1732" t="s">
        <v>667</v>
      </c>
      <c r="D161" s="1732" t="s">
        <v>822</v>
      </c>
    </row>
    <row r="162" spans="1:4" ht="15.75" x14ac:dyDescent="0.25">
      <c r="A162" s="1730"/>
      <c r="B162" s="1731" t="s">
        <v>668</v>
      </c>
      <c r="C162" s="1732" t="s">
        <v>669</v>
      </c>
      <c r="D162" s="1732" t="s">
        <v>822</v>
      </c>
    </row>
    <row r="163" spans="1:4" ht="15.75" x14ac:dyDescent="0.25">
      <c r="A163" s="1730"/>
      <c r="B163" s="1731" t="s">
        <v>670</v>
      </c>
      <c r="C163" s="1732" t="s">
        <v>671</v>
      </c>
      <c r="D163" s="1732" t="s">
        <v>822</v>
      </c>
    </row>
    <row r="164" spans="1:4" ht="15.75" x14ac:dyDescent="0.25">
      <c r="A164" s="1730"/>
      <c r="B164" s="1731" t="s">
        <v>672</v>
      </c>
      <c r="C164" s="1732" t="s">
        <v>673</v>
      </c>
      <c r="D164" s="1732" t="s">
        <v>822</v>
      </c>
    </row>
    <row r="165" spans="1:4" ht="15.75" x14ac:dyDescent="0.25">
      <c r="A165" s="1730"/>
      <c r="B165" s="1731" t="s">
        <v>674</v>
      </c>
      <c r="C165" s="1732" t="s">
        <v>675</v>
      </c>
      <c r="D165" s="1732" t="s">
        <v>822</v>
      </c>
    </row>
    <row r="166" spans="1:4" ht="15.75" x14ac:dyDescent="0.25">
      <c r="A166" s="1730"/>
      <c r="B166" s="1731" t="s">
        <v>676</v>
      </c>
      <c r="C166" s="1732" t="s">
        <v>677</v>
      </c>
      <c r="D166" s="1732" t="s">
        <v>822</v>
      </c>
    </row>
    <row r="167" spans="1:4" ht="15.75" x14ac:dyDescent="0.25">
      <c r="A167" s="1730"/>
      <c r="B167" s="1731" t="s">
        <v>847</v>
      </c>
      <c r="C167" s="1732" t="s">
        <v>848</v>
      </c>
      <c r="D167" s="1732" t="s">
        <v>822</v>
      </c>
    </row>
    <row r="168" spans="1:4" ht="15.75" x14ac:dyDescent="0.25">
      <c r="A168" s="1730"/>
      <c r="B168" s="1731" t="s">
        <v>849</v>
      </c>
      <c r="C168" s="1732" t="s">
        <v>850</v>
      </c>
      <c r="D168" s="1732" t="s">
        <v>822</v>
      </c>
    </row>
    <row r="169" spans="1:4" ht="15.75" x14ac:dyDescent="0.25">
      <c r="A169" s="1730"/>
      <c r="B169" s="1731" t="s">
        <v>851</v>
      </c>
      <c r="C169" s="1732" t="s">
        <v>852</v>
      </c>
      <c r="D169" s="1732" t="s">
        <v>822</v>
      </c>
    </row>
    <row r="170" spans="1:4" ht="15.75" x14ac:dyDescent="0.25">
      <c r="A170" s="1730"/>
      <c r="B170" s="1731" t="s">
        <v>853</v>
      </c>
      <c r="C170" s="1732" t="s">
        <v>854</v>
      </c>
      <c r="D170" s="1732" t="s">
        <v>822</v>
      </c>
    </row>
    <row r="171" spans="1:4" ht="15.75" x14ac:dyDescent="0.25">
      <c r="A171" s="1730"/>
      <c r="B171" s="1731" t="s">
        <v>855</v>
      </c>
      <c r="C171" s="1732" t="s">
        <v>856</v>
      </c>
      <c r="D171" s="1732" t="s">
        <v>822</v>
      </c>
    </row>
    <row r="172" spans="1:4" ht="15.75" x14ac:dyDescent="0.25">
      <c r="A172" s="1730"/>
      <c r="B172" s="1731" t="s">
        <v>857</v>
      </c>
      <c r="C172" s="1732" t="s">
        <v>858</v>
      </c>
      <c r="D172" s="1732" t="s">
        <v>822</v>
      </c>
    </row>
    <row r="173" spans="1:4" ht="15.75" x14ac:dyDescent="0.25">
      <c r="A173" s="1730"/>
      <c r="B173" s="1731" t="s">
        <v>859</v>
      </c>
      <c r="C173" s="1732" t="s">
        <v>860</v>
      </c>
      <c r="D173" s="1732" t="s">
        <v>822</v>
      </c>
    </row>
    <row r="174" spans="1:4" ht="15.75" x14ac:dyDescent="0.25">
      <c r="A174" s="1730"/>
      <c r="B174" s="1731" t="s">
        <v>861</v>
      </c>
      <c r="C174" s="1732" t="s">
        <v>862</v>
      </c>
      <c r="D174" s="1732" t="s">
        <v>822</v>
      </c>
    </row>
    <row r="175" spans="1:4" ht="15.75" x14ac:dyDescent="0.25">
      <c r="A175" s="1730"/>
      <c r="B175" s="1731" t="s">
        <v>863</v>
      </c>
      <c r="C175" s="1732" t="s">
        <v>864</v>
      </c>
      <c r="D175" s="1732" t="s">
        <v>822</v>
      </c>
    </row>
    <row r="176" spans="1:4" ht="15.75" x14ac:dyDescent="0.25">
      <c r="A176" s="1730"/>
      <c r="B176" s="1731" t="s">
        <v>865</v>
      </c>
      <c r="C176" s="1732" t="s">
        <v>1065</v>
      </c>
      <c r="D176" s="1732" t="s">
        <v>822</v>
      </c>
    </row>
    <row r="177" spans="1:4" ht="15.75" x14ac:dyDescent="0.25">
      <c r="A177" s="1730"/>
      <c r="B177" s="1731" t="s">
        <v>1066</v>
      </c>
      <c r="C177" s="1732" t="s">
        <v>1067</v>
      </c>
      <c r="D177" s="1732" t="s">
        <v>822</v>
      </c>
    </row>
    <row r="178" spans="1:4" ht="15.75" x14ac:dyDescent="0.25">
      <c r="A178" s="1730"/>
      <c r="B178" s="1731" t="s">
        <v>1068</v>
      </c>
      <c r="C178" s="1732" t="s">
        <v>1069</v>
      </c>
      <c r="D178" s="1732" t="s">
        <v>822</v>
      </c>
    </row>
    <row r="179" spans="1:4" ht="15.75" x14ac:dyDescent="0.25">
      <c r="A179" s="1730"/>
      <c r="B179" s="1731" t="s">
        <v>1070</v>
      </c>
      <c r="C179" s="1732" t="s">
        <v>1071</v>
      </c>
      <c r="D179" s="1732" t="s">
        <v>822</v>
      </c>
    </row>
    <row r="180" spans="1:4" ht="15.75" x14ac:dyDescent="0.25">
      <c r="A180" s="1730"/>
      <c r="B180" s="1731" t="s">
        <v>1072</v>
      </c>
      <c r="C180" s="1732" t="s">
        <v>1073</v>
      </c>
      <c r="D180" s="1732" t="s">
        <v>822</v>
      </c>
    </row>
    <row r="181" spans="1:4" ht="15.75" x14ac:dyDescent="0.25">
      <c r="A181" s="1730"/>
      <c r="B181" s="1731" t="s">
        <v>1074</v>
      </c>
      <c r="C181" s="1732" t="s">
        <v>866</v>
      </c>
      <c r="D181" s="1732" t="s">
        <v>822</v>
      </c>
    </row>
    <row r="182" spans="1:4" ht="15.75" x14ac:dyDescent="0.25">
      <c r="A182" s="1730"/>
      <c r="B182" s="1731" t="s">
        <v>867</v>
      </c>
      <c r="C182" s="1732" t="s">
        <v>868</v>
      </c>
      <c r="D182" s="1732" t="s">
        <v>822</v>
      </c>
    </row>
    <row r="183" spans="1:4" ht="15.75" x14ac:dyDescent="0.25">
      <c r="A183" s="1730"/>
      <c r="B183" s="1731" t="s">
        <v>869</v>
      </c>
      <c r="C183" s="1732" t="s">
        <v>870</v>
      </c>
      <c r="D183" s="1732" t="s">
        <v>822</v>
      </c>
    </row>
    <row r="184" spans="1:4" ht="15.75" x14ac:dyDescent="0.25">
      <c r="A184" s="1730"/>
      <c r="B184" s="1731" t="s">
        <v>871</v>
      </c>
      <c r="C184" s="1732" t="s">
        <v>872</v>
      </c>
      <c r="D184" s="1732" t="s">
        <v>822</v>
      </c>
    </row>
    <row r="185" spans="1:4" ht="15.75" x14ac:dyDescent="0.25">
      <c r="A185" s="1730"/>
      <c r="B185" s="1731" t="s">
        <v>873</v>
      </c>
      <c r="C185" s="1732" t="s">
        <v>874</v>
      </c>
      <c r="D185" s="1732" t="s">
        <v>822</v>
      </c>
    </row>
    <row r="186" spans="1:4" ht="15.75" x14ac:dyDescent="0.25">
      <c r="A186" s="1730"/>
      <c r="B186" s="1731" t="s">
        <v>875</v>
      </c>
      <c r="C186" s="1732" t="s">
        <v>876</v>
      </c>
      <c r="D186" s="1732" t="s">
        <v>822</v>
      </c>
    </row>
    <row r="187" spans="1:4" ht="15.75" x14ac:dyDescent="0.25">
      <c r="A187" s="1730"/>
      <c r="B187" s="1731" t="s">
        <v>877</v>
      </c>
      <c r="C187" s="1732" t="s">
        <v>121</v>
      </c>
      <c r="D187" s="1732" t="s">
        <v>822</v>
      </c>
    </row>
    <row r="188" spans="1:4" ht="15.75" x14ac:dyDescent="0.25">
      <c r="A188" s="1730"/>
      <c r="B188" s="1731" t="s">
        <v>122</v>
      </c>
      <c r="C188" s="1732" t="s">
        <v>123</v>
      </c>
      <c r="D188" s="1732" t="s">
        <v>822</v>
      </c>
    </row>
    <row r="189" spans="1:4" ht="15.75" x14ac:dyDescent="0.25">
      <c r="A189" s="1730"/>
      <c r="B189" s="1731" t="s">
        <v>124</v>
      </c>
      <c r="C189" s="1732" t="s">
        <v>125</v>
      </c>
      <c r="D189" s="1732" t="s">
        <v>822</v>
      </c>
    </row>
    <row r="190" spans="1:4" ht="15.75" x14ac:dyDescent="0.25">
      <c r="A190" s="1730"/>
      <c r="B190" s="1731" t="s">
        <v>126</v>
      </c>
      <c r="C190" s="1732" t="s">
        <v>127</v>
      </c>
      <c r="D190" s="1732" t="s">
        <v>822</v>
      </c>
    </row>
    <row r="191" spans="1:4" ht="15.75" x14ac:dyDescent="0.25">
      <c r="A191" s="1730"/>
      <c r="B191" s="1731" t="s">
        <v>578</v>
      </c>
      <c r="C191" s="1732" t="s">
        <v>1174</v>
      </c>
      <c r="D191" s="1732" t="s">
        <v>822</v>
      </c>
    </row>
    <row r="192" spans="1:4" ht="15.75" x14ac:dyDescent="0.25">
      <c r="A192" s="1730"/>
      <c r="B192" s="1731" t="s">
        <v>1175</v>
      </c>
      <c r="C192" s="1732" t="s">
        <v>1176</v>
      </c>
      <c r="D192" s="1732" t="s">
        <v>822</v>
      </c>
    </row>
    <row r="193" spans="1:4" ht="15.75" x14ac:dyDescent="0.25">
      <c r="A193" s="1730"/>
      <c r="B193" s="1731" t="s">
        <v>1177</v>
      </c>
      <c r="C193" s="1732" t="s">
        <v>718</v>
      </c>
      <c r="D193" s="1732" t="s">
        <v>822</v>
      </c>
    </row>
    <row r="194" spans="1:4" ht="15.75" x14ac:dyDescent="0.25">
      <c r="A194" s="1730"/>
      <c r="B194" s="1731" t="s">
        <v>719</v>
      </c>
      <c r="C194" s="1732" t="s">
        <v>935</v>
      </c>
      <c r="D194" s="1732" t="s">
        <v>822</v>
      </c>
    </row>
    <row r="195" spans="1:4" ht="15.75" x14ac:dyDescent="0.25">
      <c r="A195" s="1730"/>
      <c r="B195" s="1731" t="s">
        <v>936</v>
      </c>
      <c r="C195" s="1732" t="s">
        <v>937</v>
      </c>
      <c r="D195" s="1732" t="s">
        <v>822</v>
      </c>
    </row>
    <row r="196" spans="1:4" ht="15.75" x14ac:dyDescent="0.25">
      <c r="A196" s="1730"/>
      <c r="B196" s="1731" t="s">
        <v>938</v>
      </c>
      <c r="C196" s="1732" t="s">
        <v>939</v>
      </c>
      <c r="D196" s="1732" t="s">
        <v>822</v>
      </c>
    </row>
    <row r="197" spans="1:4" ht="15.75" x14ac:dyDescent="0.25">
      <c r="A197" s="1730"/>
      <c r="B197" s="1731" t="s">
        <v>940</v>
      </c>
      <c r="C197" s="1732" t="s">
        <v>941</v>
      </c>
      <c r="D197" s="1732" t="s">
        <v>822</v>
      </c>
    </row>
    <row r="198" spans="1:4" ht="15.75" x14ac:dyDescent="0.25">
      <c r="A198" s="1730"/>
      <c r="B198" s="1731" t="s">
        <v>942</v>
      </c>
      <c r="C198" s="1732" t="s">
        <v>218</v>
      </c>
      <c r="D198" s="1732" t="s">
        <v>822</v>
      </c>
    </row>
    <row r="199" spans="1:4" ht="15.75" x14ac:dyDescent="0.25">
      <c r="A199" s="1730"/>
      <c r="B199" s="1731" t="s">
        <v>219</v>
      </c>
      <c r="C199" s="1732" t="s">
        <v>220</v>
      </c>
      <c r="D199" s="1732" t="s">
        <v>822</v>
      </c>
    </row>
    <row r="200" spans="1:4" ht="15.75" x14ac:dyDescent="0.25">
      <c r="A200" s="1730"/>
      <c r="B200" s="1731" t="s">
        <v>221</v>
      </c>
      <c r="C200" s="1732" t="s">
        <v>429</v>
      </c>
      <c r="D200" s="1732" t="s">
        <v>822</v>
      </c>
    </row>
  </sheetData>
  <sheetProtection algorithmName="SHA-512" hashValue="O8M02rulg0D/h7WHgxaxpXhKdjUUBg8QpudnwWZW7Ebn/lwMV5Tfy+q5Q+xfHn54WcwNESYeTFJ1wXFfkAzUuQ==" saltValue="cPTXjLca56BOwC6eBNJZIQ==" spinCount="100000" sheet="1" objects="1" scenarios="1" autoFilter="0"/>
  <mergeCells count="1">
    <mergeCell ref="A68:D68"/>
  </mergeCells>
  <hyperlinks>
    <hyperlink ref="C1" location="Index!A1" display="Office of the State Controller" xr:uid="{00000000-0004-0000-5700-000000000000}"/>
  </hyperlinks>
  <pageMargins left="0.7" right="0.7" top="0.75" bottom="0.75" header="0.3" footer="0.3"/>
  <pageSetup scale="60" orientation="portrait" horizontalDpi="1200" verticalDpi="1200" r:id="rId1"/>
  <rowBreaks count="3" manualBreakCount="3">
    <brk id="65" max="16383" man="1"/>
    <brk id="103" max="16383" man="1"/>
    <brk id="142"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tabColor rgb="FFFF0000"/>
    <pageSetUpPr fitToPage="1"/>
  </sheetPr>
  <dimension ref="A1:J63"/>
  <sheetViews>
    <sheetView workbookViewId="0">
      <selection sqref="A1:E1"/>
    </sheetView>
  </sheetViews>
  <sheetFormatPr defaultColWidth="9.42578125" defaultRowHeight="12.75" x14ac:dyDescent="0.2"/>
  <cols>
    <col min="1" max="1" width="38.5703125" style="778" customWidth="1"/>
    <col min="2" max="2" width="11" style="777" customWidth="1"/>
    <col min="3" max="3" width="9.5703125" style="777" customWidth="1"/>
    <col min="4" max="5" width="12.42578125" style="777" customWidth="1"/>
    <col min="6" max="16384" width="9.42578125" style="778"/>
  </cols>
  <sheetData>
    <row r="1" spans="1:10" ht="15.75" x14ac:dyDescent="0.25">
      <c r="A1" s="3026" t="str">
        <f>+Index!$A$1</f>
        <v xml:space="preserve">                                                               Office of the State Controller                                                                </v>
      </c>
      <c r="B1" s="3026"/>
      <c r="C1" s="3026"/>
      <c r="D1" s="3026"/>
      <c r="E1" s="3026"/>
      <c r="F1" s="818"/>
      <c r="G1" s="818"/>
      <c r="H1" s="818"/>
      <c r="I1" s="818"/>
      <c r="J1" s="818"/>
    </row>
    <row r="2" spans="1:10" ht="15.75" x14ac:dyDescent="0.25">
      <c r="A2" s="3027" t="s">
        <v>4628</v>
      </c>
      <c r="B2" s="2378"/>
      <c r="C2" s="2378"/>
      <c r="D2" s="2378"/>
      <c r="E2" s="2378"/>
    </row>
    <row r="3" spans="1:10" x14ac:dyDescent="0.2">
      <c r="A3" s="778" t="s">
        <v>4762</v>
      </c>
    </row>
    <row r="4" spans="1:10" ht="25.5" x14ac:dyDescent="0.2">
      <c r="A4" s="781" t="s">
        <v>40</v>
      </c>
      <c r="B4" s="782" t="s">
        <v>41</v>
      </c>
      <c r="C4" s="782" t="s">
        <v>42</v>
      </c>
      <c r="D4" s="782" t="s">
        <v>43</v>
      </c>
      <c r="E4" s="782" t="s">
        <v>44</v>
      </c>
    </row>
    <row r="5" spans="1:10" x14ac:dyDescent="0.2">
      <c r="A5" s="779" t="s">
        <v>128</v>
      </c>
      <c r="B5" s="780" t="s">
        <v>515</v>
      </c>
      <c r="C5" s="780" t="s">
        <v>515</v>
      </c>
      <c r="D5" s="780" t="s">
        <v>516</v>
      </c>
      <c r="E5" s="780" t="s">
        <v>3662</v>
      </c>
    </row>
    <row r="6" spans="1:10" x14ac:dyDescent="0.2">
      <c r="A6" s="779" t="s">
        <v>520</v>
      </c>
      <c r="B6" s="780" t="s">
        <v>521</v>
      </c>
      <c r="C6" s="780" t="s">
        <v>522</v>
      </c>
      <c r="D6" s="780" t="s">
        <v>516</v>
      </c>
      <c r="E6" s="780" t="s">
        <v>3662</v>
      </c>
    </row>
    <row r="7" spans="1:10" x14ac:dyDescent="0.2">
      <c r="A7" s="779" t="s">
        <v>3661</v>
      </c>
      <c r="B7" s="780" t="s">
        <v>523</v>
      </c>
      <c r="C7" s="780" t="s">
        <v>3667</v>
      </c>
      <c r="D7" s="780" t="s">
        <v>516</v>
      </c>
      <c r="E7" s="780">
        <v>1113</v>
      </c>
    </row>
    <row r="8" spans="1:10" x14ac:dyDescent="0.2">
      <c r="A8" s="779" t="s">
        <v>3661</v>
      </c>
      <c r="B8" s="780" t="s">
        <v>523</v>
      </c>
      <c r="C8" s="780" t="s">
        <v>3667</v>
      </c>
      <c r="D8" s="780">
        <v>1114</v>
      </c>
      <c r="E8" s="780">
        <v>1114</v>
      </c>
    </row>
    <row r="9" spans="1:10" x14ac:dyDescent="0.2">
      <c r="A9" s="779" t="s">
        <v>128</v>
      </c>
      <c r="B9" s="780" t="s">
        <v>523</v>
      </c>
      <c r="C9" s="780" t="s">
        <v>3667</v>
      </c>
      <c r="D9" s="780">
        <v>1115</v>
      </c>
      <c r="E9" s="780">
        <v>1121</v>
      </c>
    </row>
    <row r="10" spans="1:10" x14ac:dyDescent="0.2">
      <c r="A10" s="779" t="s">
        <v>524</v>
      </c>
      <c r="B10" s="780" t="s">
        <v>523</v>
      </c>
      <c r="C10" s="780" t="s">
        <v>3667</v>
      </c>
      <c r="D10" s="780">
        <v>1122</v>
      </c>
      <c r="E10" s="780">
        <v>1122</v>
      </c>
    </row>
    <row r="11" spans="1:10" x14ac:dyDescent="0.2">
      <c r="A11" s="779" t="s">
        <v>128</v>
      </c>
      <c r="B11" s="780" t="s">
        <v>523</v>
      </c>
      <c r="C11" s="780" t="s">
        <v>3667</v>
      </c>
      <c r="D11" s="780">
        <v>1123</v>
      </c>
      <c r="E11" s="780" t="s">
        <v>3920</v>
      </c>
    </row>
    <row r="12" spans="1:10" x14ac:dyDescent="0.2">
      <c r="A12" s="779" t="s">
        <v>3663</v>
      </c>
      <c r="B12" s="780" t="s">
        <v>523</v>
      </c>
      <c r="C12" s="780" t="s">
        <v>3667</v>
      </c>
      <c r="D12" s="780">
        <v>1400</v>
      </c>
      <c r="E12" s="780">
        <v>1499</v>
      </c>
    </row>
    <row r="13" spans="1:10" x14ac:dyDescent="0.2">
      <c r="A13" s="779" t="s">
        <v>128</v>
      </c>
      <c r="B13" s="780" t="s">
        <v>523</v>
      </c>
      <c r="C13" s="780" t="s">
        <v>3667</v>
      </c>
      <c r="D13" s="780">
        <v>1500</v>
      </c>
      <c r="E13" s="780" t="s">
        <v>1839</v>
      </c>
    </row>
    <row r="14" spans="1:10" x14ac:dyDescent="0.2">
      <c r="A14" s="779" t="s">
        <v>128</v>
      </c>
      <c r="B14" s="780" t="s">
        <v>525</v>
      </c>
      <c r="C14" s="780" t="s">
        <v>525</v>
      </c>
      <c r="D14" s="780" t="s">
        <v>516</v>
      </c>
      <c r="E14" s="780" t="s">
        <v>3662</v>
      </c>
    </row>
    <row r="15" spans="1:10" x14ac:dyDescent="0.2">
      <c r="A15" s="779" t="s">
        <v>128</v>
      </c>
      <c r="B15" s="780" t="s">
        <v>526</v>
      </c>
      <c r="C15" s="780" t="s">
        <v>527</v>
      </c>
      <c r="D15" s="780" t="s">
        <v>516</v>
      </c>
      <c r="E15" s="780" t="s">
        <v>3662</v>
      </c>
    </row>
    <row r="16" spans="1:10" x14ac:dyDescent="0.2">
      <c r="A16" s="779" t="s">
        <v>128</v>
      </c>
      <c r="B16" s="780" t="s">
        <v>528</v>
      </c>
      <c r="C16" s="780" t="s">
        <v>528</v>
      </c>
      <c r="D16" s="780" t="s">
        <v>516</v>
      </c>
      <c r="E16" s="780" t="s">
        <v>3662</v>
      </c>
    </row>
    <row r="17" spans="1:5" x14ac:dyDescent="0.2">
      <c r="A17" s="779" t="s">
        <v>128</v>
      </c>
      <c r="B17" s="780" t="s">
        <v>529</v>
      </c>
      <c r="C17" s="780" t="s">
        <v>3664</v>
      </c>
      <c r="D17" s="780" t="s">
        <v>516</v>
      </c>
      <c r="E17" s="780">
        <v>1111</v>
      </c>
    </row>
    <row r="18" spans="1:5" x14ac:dyDescent="0.2">
      <c r="A18" s="779" t="s">
        <v>128</v>
      </c>
      <c r="B18" s="780" t="s">
        <v>529</v>
      </c>
      <c r="C18" s="780" t="s">
        <v>3664</v>
      </c>
      <c r="D18" s="780">
        <v>1113</v>
      </c>
      <c r="E18" s="780">
        <v>1122</v>
      </c>
    </row>
    <row r="19" spans="1:5" x14ac:dyDescent="0.2">
      <c r="A19" s="779" t="s">
        <v>530</v>
      </c>
      <c r="B19" s="780" t="s">
        <v>529</v>
      </c>
      <c r="C19" s="780" t="s">
        <v>3664</v>
      </c>
      <c r="D19" s="780">
        <v>1123</v>
      </c>
      <c r="E19" s="780">
        <v>1123</v>
      </c>
    </row>
    <row r="20" spans="1:5" x14ac:dyDescent="0.2">
      <c r="A20" s="779" t="s">
        <v>128</v>
      </c>
      <c r="B20" s="780" t="s">
        <v>529</v>
      </c>
      <c r="C20" s="780" t="s">
        <v>3664</v>
      </c>
      <c r="D20" s="780">
        <v>1124</v>
      </c>
      <c r="E20" s="780">
        <v>1391</v>
      </c>
    </row>
    <row r="21" spans="1:5" x14ac:dyDescent="0.2">
      <c r="A21" s="779" t="s">
        <v>3938</v>
      </c>
      <c r="B21" s="780" t="s">
        <v>529</v>
      </c>
      <c r="C21" s="780" t="s">
        <v>3664</v>
      </c>
      <c r="D21" s="780">
        <v>1394</v>
      </c>
      <c r="E21" s="780">
        <v>1394</v>
      </c>
    </row>
    <row r="22" spans="1:5" x14ac:dyDescent="0.2">
      <c r="A22" s="779" t="s">
        <v>128</v>
      </c>
      <c r="B22" s="780" t="s">
        <v>529</v>
      </c>
      <c r="C22" s="780" t="s">
        <v>3664</v>
      </c>
      <c r="D22" s="780">
        <v>1395</v>
      </c>
      <c r="E22" s="780">
        <v>1398</v>
      </c>
    </row>
    <row r="23" spans="1:5" x14ac:dyDescent="0.2">
      <c r="A23" s="779" t="s">
        <v>128</v>
      </c>
      <c r="B23" s="780" t="s">
        <v>3665</v>
      </c>
      <c r="C23" s="780" t="s">
        <v>531</v>
      </c>
      <c r="D23" s="780">
        <v>1100</v>
      </c>
      <c r="E23" s="780">
        <v>1106</v>
      </c>
    </row>
    <row r="24" spans="1:5" x14ac:dyDescent="0.2">
      <c r="A24" s="779" t="s">
        <v>128</v>
      </c>
      <c r="B24" s="780" t="s">
        <v>531</v>
      </c>
      <c r="C24" s="780" t="s">
        <v>531</v>
      </c>
      <c r="D24" s="780">
        <v>1300</v>
      </c>
      <c r="E24" s="780">
        <v>1361</v>
      </c>
    </row>
    <row r="25" spans="1:5" x14ac:dyDescent="0.2">
      <c r="A25" s="779" t="s">
        <v>530</v>
      </c>
      <c r="B25" s="780" t="s">
        <v>531</v>
      </c>
      <c r="C25" s="780" t="s">
        <v>531</v>
      </c>
      <c r="D25" s="780">
        <v>1362</v>
      </c>
      <c r="E25" s="780">
        <v>1362</v>
      </c>
    </row>
    <row r="26" spans="1:5" ht="12" customHeight="1" x14ac:dyDescent="0.2">
      <c r="A26" s="779" t="s">
        <v>128</v>
      </c>
      <c r="B26" s="780" t="s">
        <v>531</v>
      </c>
      <c r="C26" s="780" t="s">
        <v>531</v>
      </c>
      <c r="D26" s="780">
        <v>1363</v>
      </c>
      <c r="E26" s="780">
        <v>1365</v>
      </c>
    </row>
    <row r="27" spans="1:5" x14ac:dyDescent="0.2">
      <c r="A27" s="779" t="s">
        <v>729</v>
      </c>
      <c r="B27" s="780" t="s">
        <v>531</v>
      </c>
      <c r="C27" s="780" t="s">
        <v>531</v>
      </c>
      <c r="D27" s="780">
        <v>1371</v>
      </c>
      <c r="E27" s="780">
        <v>1371</v>
      </c>
    </row>
    <row r="28" spans="1:5" x14ac:dyDescent="0.2">
      <c r="A28" s="779" t="s">
        <v>128</v>
      </c>
      <c r="B28" s="780" t="s">
        <v>531</v>
      </c>
      <c r="C28" s="780" t="s">
        <v>531</v>
      </c>
      <c r="D28" s="780">
        <v>1372</v>
      </c>
      <c r="E28" s="780">
        <v>1398</v>
      </c>
    </row>
    <row r="29" spans="1:5" x14ac:dyDescent="0.2">
      <c r="A29" s="779" t="s">
        <v>128</v>
      </c>
      <c r="B29" s="780" t="s">
        <v>529</v>
      </c>
      <c r="C29" s="780" t="s">
        <v>531</v>
      </c>
      <c r="D29" s="780">
        <v>1400</v>
      </c>
      <c r="E29" s="780">
        <v>1499</v>
      </c>
    </row>
    <row r="30" spans="1:5" x14ac:dyDescent="0.2">
      <c r="A30" s="779" t="s">
        <v>3661</v>
      </c>
      <c r="B30" s="780" t="s">
        <v>532</v>
      </c>
      <c r="C30" s="780" t="s">
        <v>533</v>
      </c>
      <c r="D30" s="780" t="s">
        <v>516</v>
      </c>
      <c r="E30" s="780" t="s">
        <v>3662</v>
      </c>
    </row>
    <row r="31" spans="1:5" x14ac:dyDescent="0.2">
      <c r="A31" s="779" t="s">
        <v>520</v>
      </c>
      <c r="B31" s="780" t="s">
        <v>534</v>
      </c>
      <c r="C31" s="780" t="s">
        <v>534</v>
      </c>
      <c r="D31" s="780" t="s">
        <v>516</v>
      </c>
      <c r="E31" s="780" t="s">
        <v>3662</v>
      </c>
    </row>
    <row r="32" spans="1:5" x14ac:dyDescent="0.2">
      <c r="A32" s="779" t="s">
        <v>730</v>
      </c>
      <c r="B32" s="780" t="s">
        <v>535</v>
      </c>
      <c r="C32" s="780" t="s">
        <v>536</v>
      </c>
      <c r="D32" s="780" t="s">
        <v>516</v>
      </c>
      <c r="E32" s="780" t="s">
        <v>3662</v>
      </c>
    </row>
    <row r="33" spans="1:5" x14ac:dyDescent="0.2">
      <c r="A33" s="779" t="s">
        <v>520</v>
      </c>
      <c r="B33" s="780" t="s">
        <v>537</v>
      </c>
      <c r="C33" s="780" t="s">
        <v>538</v>
      </c>
      <c r="D33" s="780" t="s">
        <v>516</v>
      </c>
      <c r="E33" s="780" t="s">
        <v>3662</v>
      </c>
    </row>
    <row r="34" spans="1:5" x14ac:dyDescent="0.2">
      <c r="A34" s="779" t="s">
        <v>520</v>
      </c>
      <c r="B34" s="780" t="s">
        <v>539</v>
      </c>
      <c r="C34" s="780" t="s">
        <v>540</v>
      </c>
      <c r="D34" s="780" t="s">
        <v>516</v>
      </c>
      <c r="E34" s="780" t="s">
        <v>3662</v>
      </c>
    </row>
    <row r="35" spans="1:5" x14ac:dyDescent="0.2">
      <c r="A35" s="779" t="s">
        <v>128</v>
      </c>
      <c r="B35" s="780" t="s">
        <v>541</v>
      </c>
      <c r="C35" s="780" t="s">
        <v>542</v>
      </c>
      <c r="D35" s="780" t="s">
        <v>516</v>
      </c>
      <c r="E35" s="780">
        <v>1326</v>
      </c>
    </row>
    <row r="36" spans="1:5" x14ac:dyDescent="0.2">
      <c r="A36" s="779" t="s">
        <v>530</v>
      </c>
      <c r="B36" s="780">
        <v>134</v>
      </c>
      <c r="C36" s="780" t="s">
        <v>542</v>
      </c>
      <c r="D36" s="780">
        <v>1330</v>
      </c>
      <c r="E36" s="780">
        <v>1330</v>
      </c>
    </row>
    <row r="37" spans="1:5" x14ac:dyDescent="0.2">
      <c r="A37" s="779" t="s">
        <v>128</v>
      </c>
      <c r="B37" s="780" t="s">
        <v>541</v>
      </c>
      <c r="C37" s="780" t="s">
        <v>542</v>
      </c>
      <c r="D37" s="780">
        <v>1335</v>
      </c>
      <c r="E37" s="780">
        <v>1398</v>
      </c>
    </row>
    <row r="38" spans="1:5" x14ac:dyDescent="0.2">
      <c r="A38" s="779" t="s">
        <v>3663</v>
      </c>
      <c r="B38" s="780">
        <v>130</v>
      </c>
      <c r="C38" s="780">
        <v>134</v>
      </c>
      <c r="D38" s="780">
        <v>1400</v>
      </c>
      <c r="E38" s="780">
        <v>1499</v>
      </c>
    </row>
    <row r="39" spans="1:5" x14ac:dyDescent="0.2">
      <c r="A39" s="779" t="s">
        <v>128</v>
      </c>
      <c r="B39" s="780" t="s">
        <v>543</v>
      </c>
      <c r="C39" s="780" t="s">
        <v>543</v>
      </c>
      <c r="D39" s="780" t="s">
        <v>516</v>
      </c>
      <c r="E39" s="780" t="s">
        <v>3662</v>
      </c>
    </row>
    <row r="40" spans="1:5" x14ac:dyDescent="0.2">
      <c r="A40" s="779" t="s">
        <v>3661</v>
      </c>
      <c r="B40" s="780" t="s">
        <v>544</v>
      </c>
      <c r="C40" s="780" t="s">
        <v>545</v>
      </c>
      <c r="D40" s="780" t="s">
        <v>516</v>
      </c>
      <c r="E40" s="780" t="s">
        <v>3662</v>
      </c>
    </row>
    <row r="41" spans="1:5" x14ac:dyDescent="0.2">
      <c r="A41" s="779" t="s">
        <v>530</v>
      </c>
      <c r="B41" s="780" t="s">
        <v>546</v>
      </c>
      <c r="C41" s="780" t="s">
        <v>18</v>
      </c>
      <c r="D41" s="780" t="s">
        <v>516</v>
      </c>
      <c r="E41" s="780" t="s">
        <v>3662</v>
      </c>
    </row>
    <row r="42" spans="1:5" x14ac:dyDescent="0.2">
      <c r="A42" s="779" t="s">
        <v>530</v>
      </c>
      <c r="B42" s="780" t="s">
        <v>19</v>
      </c>
      <c r="C42" s="780" t="s">
        <v>19</v>
      </c>
      <c r="D42" s="780" t="s">
        <v>516</v>
      </c>
      <c r="E42" s="780" t="s">
        <v>3662</v>
      </c>
    </row>
    <row r="43" spans="1:5" x14ac:dyDescent="0.2">
      <c r="A43" s="779" t="s">
        <v>520</v>
      </c>
      <c r="B43" s="780" t="s">
        <v>1803</v>
      </c>
      <c r="C43" s="780" t="s">
        <v>4761</v>
      </c>
      <c r="D43" s="780" t="s">
        <v>516</v>
      </c>
      <c r="E43" s="780" t="s">
        <v>3662</v>
      </c>
    </row>
    <row r="44" spans="1:5" x14ac:dyDescent="0.2">
      <c r="A44" s="779" t="s">
        <v>524</v>
      </c>
      <c r="B44" s="780" t="s">
        <v>20</v>
      </c>
      <c r="C44" s="780" t="s">
        <v>21</v>
      </c>
      <c r="D44" s="780" t="s">
        <v>516</v>
      </c>
      <c r="E44" s="780" t="s">
        <v>3662</v>
      </c>
    </row>
    <row r="45" spans="1:5" x14ac:dyDescent="0.2">
      <c r="A45" s="779" t="s">
        <v>128</v>
      </c>
      <c r="B45" s="780">
        <v>400</v>
      </c>
      <c r="C45" s="780">
        <v>400</v>
      </c>
      <c r="D45" s="780" t="s">
        <v>516</v>
      </c>
      <c r="E45" s="780" t="s">
        <v>3662</v>
      </c>
    </row>
    <row r="46" spans="1:5" x14ac:dyDescent="0.2">
      <c r="A46" s="779" t="s">
        <v>128</v>
      </c>
      <c r="B46" s="780" t="s">
        <v>22</v>
      </c>
      <c r="C46" s="780" t="s">
        <v>22</v>
      </c>
      <c r="D46" s="780" t="s">
        <v>516</v>
      </c>
      <c r="E46" s="780" t="s">
        <v>1804</v>
      </c>
    </row>
    <row r="47" spans="1:5" x14ac:dyDescent="0.2">
      <c r="A47" s="779" t="s">
        <v>524</v>
      </c>
      <c r="B47" s="780" t="s">
        <v>22</v>
      </c>
      <c r="C47" s="780" t="s">
        <v>22</v>
      </c>
      <c r="D47" s="780" t="s">
        <v>1805</v>
      </c>
      <c r="E47" s="780" t="s">
        <v>1805</v>
      </c>
    </row>
    <row r="48" spans="1:5" x14ac:dyDescent="0.2">
      <c r="A48" s="779" t="s">
        <v>128</v>
      </c>
      <c r="B48" s="780" t="s">
        <v>22</v>
      </c>
      <c r="C48" s="780" t="s">
        <v>22</v>
      </c>
      <c r="D48" s="780" t="s">
        <v>3921</v>
      </c>
      <c r="E48" s="780" t="s">
        <v>3922</v>
      </c>
    </row>
    <row r="49" spans="1:5" x14ac:dyDescent="0.2">
      <c r="A49" s="779" t="s">
        <v>520</v>
      </c>
      <c r="B49" s="780" t="s">
        <v>22</v>
      </c>
      <c r="C49" s="780" t="s">
        <v>22</v>
      </c>
      <c r="D49" s="780" t="s">
        <v>23</v>
      </c>
      <c r="E49" s="780" t="s">
        <v>23</v>
      </c>
    </row>
    <row r="50" spans="1:5" x14ac:dyDescent="0.2">
      <c r="A50" s="779" t="s">
        <v>128</v>
      </c>
      <c r="B50" s="780" t="s">
        <v>22</v>
      </c>
      <c r="C50" s="780" t="s">
        <v>22</v>
      </c>
      <c r="D50" s="780" t="s">
        <v>24</v>
      </c>
      <c r="E50" s="780" t="s">
        <v>3662</v>
      </c>
    </row>
    <row r="51" spans="1:5" ht="14.25" customHeight="1" x14ac:dyDescent="0.2">
      <c r="A51" s="779" t="s">
        <v>1131</v>
      </c>
      <c r="B51" s="780" t="s">
        <v>25</v>
      </c>
      <c r="C51" s="780" t="s">
        <v>26</v>
      </c>
      <c r="D51" s="780" t="s">
        <v>516</v>
      </c>
      <c r="E51" s="780" t="s">
        <v>3662</v>
      </c>
    </row>
    <row r="52" spans="1:5" x14ac:dyDescent="0.2">
      <c r="A52" s="779" t="s">
        <v>128</v>
      </c>
      <c r="B52" s="780" t="s">
        <v>27</v>
      </c>
      <c r="C52" s="780" t="s">
        <v>28</v>
      </c>
      <c r="D52" s="780" t="s">
        <v>516</v>
      </c>
      <c r="E52" s="780" t="s">
        <v>3662</v>
      </c>
    </row>
    <row r="53" spans="1:5" x14ac:dyDescent="0.2">
      <c r="A53" s="779" t="s">
        <v>530</v>
      </c>
      <c r="B53" s="780" t="s">
        <v>29</v>
      </c>
      <c r="C53" s="780" t="s">
        <v>30</v>
      </c>
      <c r="D53" s="780" t="s">
        <v>516</v>
      </c>
      <c r="E53" s="780" t="s">
        <v>3662</v>
      </c>
    </row>
    <row r="54" spans="1:5" x14ac:dyDescent="0.2">
      <c r="A54" s="779" t="s">
        <v>110</v>
      </c>
      <c r="B54" s="780" t="s">
        <v>31</v>
      </c>
      <c r="C54" s="780" t="s">
        <v>31</v>
      </c>
      <c r="D54" s="780" t="s">
        <v>516</v>
      </c>
      <c r="E54" s="780">
        <v>1398</v>
      </c>
    </row>
    <row r="55" spans="1:5" x14ac:dyDescent="0.2">
      <c r="A55" s="779" t="s">
        <v>3663</v>
      </c>
      <c r="B55" s="780" t="s">
        <v>31</v>
      </c>
      <c r="C55" s="780" t="s">
        <v>31</v>
      </c>
      <c r="D55" s="780">
        <v>1400</v>
      </c>
      <c r="E55" s="780">
        <v>1499</v>
      </c>
    </row>
    <row r="56" spans="1:5" x14ac:dyDescent="0.2">
      <c r="A56" s="779" t="s">
        <v>128</v>
      </c>
      <c r="B56" s="780" t="s">
        <v>32</v>
      </c>
      <c r="C56" s="780" t="s">
        <v>33</v>
      </c>
      <c r="D56" s="780" t="s">
        <v>516</v>
      </c>
      <c r="E56" s="780" t="s">
        <v>3662</v>
      </c>
    </row>
    <row r="57" spans="1:5" x14ac:dyDescent="0.2">
      <c r="A57" s="779" t="s">
        <v>128</v>
      </c>
      <c r="B57" s="780" t="s">
        <v>34</v>
      </c>
      <c r="C57" s="780" t="s">
        <v>34</v>
      </c>
      <c r="D57" s="780" t="s">
        <v>516</v>
      </c>
      <c r="E57" s="780" t="s">
        <v>3662</v>
      </c>
    </row>
    <row r="58" spans="1:5" x14ac:dyDescent="0.2">
      <c r="A58" s="779" t="s">
        <v>3661</v>
      </c>
      <c r="B58" s="780" t="s">
        <v>36</v>
      </c>
      <c r="C58" s="780" t="s">
        <v>36</v>
      </c>
      <c r="D58" s="780" t="s">
        <v>516</v>
      </c>
      <c r="E58" s="780" t="s">
        <v>3662</v>
      </c>
    </row>
    <row r="59" spans="1:5" x14ac:dyDescent="0.2">
      <c r="A59" s="779" t="s">
        <v>128</v>
      </c>
      <c r="B59" s="780" t="s">
        <v>37</v>
      </c>
      <c r="C59" s="780" t="s">
        <v>37</v>
      </c>
      <c r="D59" s="780" t="s">
        <v>516</v>
      </c>
      <c r="E59" s="780" t="s">
        <v>35</v>
      </c>
    </row>
    <row r="60" spans="1:5" x14ac:dyDescent="0.2">
      <c r="A60" s="779" t="s">
        <v>3661</v>
      </c>
      <c r="B60" s="780" t="s">
        <v>38</v>
      </c>
      <c r="C60" s="780" t="s">
        <v>39</v>
      </c>
      <c r="D60" s="780" t="s">
        <v>516</v>
      </c>
      <c r="E60" s="780" t="s">
        <v>3662</v>
      </c>
    </row>
    <row r="62" spans="1:5" x14ac:dyDescent="0.2">
      <c r="A62" s="1433" t="s">
        <v>3660</v>
      </c>
    </row>
    <row r="63" spans="1:5" x14ac:dyDescent="0.2">
      <c r="A63" s="1433" t="s">
        <v>3666</v>
      </c>
    </row>
  </sheetData>
  <sheetProtection algorithmName="SHA-512" hashValue="Livo6ReldeT1AlqDoRm7UDGDWLEMs+8KwhFsTYN0CTI6u8UfAjC/W/V0k+8bvRGl4ZyaxixNyyeisCTc0vLkoQ==" saltValue="5zRceFPNJ1NZVtGLKeFsRQ==" spinCount="100000" sheet="1" objects="1" scenarios="1" autoFilter="0"/>
  <customSheetViews>
    <customSheetView guid="{B08879A4-635B-4C39-9937-AC7883D562FC}">
      <selection sqref="A1:E1"/>
      <pageMargins left="0.7" right="0.7" top="0.75" bottom="0.75" header="0.3" footer="0.3"/>
      <pageSetup orientation="portrait" r:id="rId1"/>
    </customSheetView>
    <customSheetView guid="{9FCFC836-1CA5-48BF-958D-24D2EA94B219}">
      <selection sqref="A1:E1"/>
      <pageMargins left="0.7" right="0.7" top="0.75" bottom="0.75" header="0.3" footer="0.3"/>
      <pageSetup orientation="portrait" r:id="rId2"/>
    </customSheetView>
  </customSheetViews>
  <mergeCells count="2">
    <mergeCell ref="A1:E1"/>
    <mergeCell ref="A2:E2"/>
  </mergeCells>
  <phoneticPr fontId="111" type="noConversion"/>
  <hyperlinks>
    <hyperlink ref="A1:I1" location="Index!A1" display="Index!A1" xr:uid="{00000000-0004-0000-5800-000000000000}"/>
  </hyperlinks>
  <pageMargins left="0.7" right="0.7" top="0.5" bottom="0.5" header="0.3" footer="0.3"/>
  <pageSetup scale="90" orientation="portrait"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tabColor rgb="FFFFFF00"/>
  </sheetPr>
  <dimension ref="A1:I48"/>
  <sheetViews>
    <sheetView zoomScaleNormal="100" workbookViewId="0"/>
  </sheetViews>
  <sheetFormatPr defaultColWidth="9.42578125" defaultRowHeight="12.75" x14ac:dyDescent="0.2"/>
  <cols>
    <col min="1" max="1" width="10" style="1040" customWidth="1"/>
    <col min="2" max="2" width="43.5703125" style="1040" customWidth="1"/>
    <col min="3" max="3" width="21.5703125" style="1040" customWidth="1"/>
    <col min="4" max="4" width="13" style="1040" customWidth="1"/>
    <col min="5" max="5" width="11" style="1040" customWidth="1"/>
    <col min="6" max="6" width="10" style="1040" customWidth="1"/>
    <col min="7" max="7" width="4" style="1040" customWidth="1"/>
    <col min="8" max="8" width="9.42578125" style="1040"/>
    <col min="9" max="9" width="16.5703125" style="1487" bestFit="1" customWidth="1"/>
    <col min="10" max="16384" width="9.42578125" style="1040"/>
  </cols>
  <sheetData>
    <row r="1" spans="1:7" x14ac:dyDescent="0.2">
      <c r="B1" s="1161" t="s">
        <v>1471</v>
      </c>
      <c r="C1" s="1270"/>
    </row>
    <row r="2" spans="1:7" ht="12.75" customHeight="1" x14ac:dyDescent="0.2">
      <c r="B2" s="1061" t="s">
        <v>4900</v>
      </c>
      <c r="C2" s="1061"/>
    </row>
    <row r="3" spans="1:7" ht="51" customHeight="1" x14ac:dyDescent="0.2">
      <c r="A3" s="1037" t="s">
        <v>1460</v>
      </c>
      <c r="B3" s="1039" t="s">
        <v>1924</v>
      </c>
      <c r="C3" s="1038" t="s">
        <v>5650</v>
      </c>
      <c r="D3" s="1039" t="s">
        <v>4949</v>
      </c>
      <c r="E3" s="1224" t="s">
        <v>5651</v>
      </c>
      <c r="F3" s="1039"/>
      <c r="G3" s="1039"/>
    </row>
    <row r="4" spans="1:7" ht="13.5" customHeight="1" x14ac:dyDescent="0.2">
      <c r="A4" s="1037"/>
      <c r="B4" s="1039"/>
      <c r="C4" s="1039"/>
      <c r="D4" s="1039"/>
      <c r="F4" s="1039"/>
      <c r="G4" s="1039"/>
    </row>
    <row r="5" spans="1:7" ht="15.75" x14ac:dyDescent="0.25">
      <c r="A5" s="1051" t="s">
        <v>1461</v>
      </c>
      <c r="B5" s="1042" t="s">
        <v>4950</v>
      </c>
      <c r="C5" s="1043">
        <f>PriorYr905!E253</f>
        <v>2194239572.1999998</v>
      </c>
      <c r="D5" s="1044" t="s">
        <v>1462</v>
      </c>
      <c r="E5" s="1061" t="s">
        <v>4963</v>
      </c>
      <c r="F5" s="1043" t="str">
        <f>IF(SUM(C6:C14)=C5,"ok","Problem: sum of net position for the 48 entities should equal 48X net position")</f>
        <v>ok</v>
      </c>
    </row>
    <row r="6" spans="1:7" ht="15.75" x14ac:dyDescent="0.25">
      <c r="A6" s="1063" t="s">
        <v>1473</v>
      </c>
      <c r="B6" s="1044" t="s">
        <v>678</v>
      </c>
      <c r="C6" s="1043">
        <f>PriorYr905!F253</f>
        <v>965313253.44000006</v>
      </c>
      <c r="D6" s="1044" t="s">
        <v>1474</v>
      </c>
      <c r="E6" s="1061" t="s">
        <v>4963</v>
      </c>
      <c r="F6" s="1043"/>
    </row>
    <row r="7" spans="1:7" ht="15.75" x14ac:dyDescent="0.25">
      <c r="A7" s="1051" t="s">
        <v>896</v>
      </c>
      <c r="B7" s="1044" t="s">
        <v>897</v>
      </c>
      <c r="C7" s="1043">
        <f>PriorYr905!G253</f>
        <v>129352347.98999999</v>
      </c>
      <c r="D7" s="1045">
        <v>2635</v>
      </c>
      <c r="E7" s="1061" t="s">
        <v>4963</v>
      </c>
      <c r="F7" s="1043"/>
    </row>
    <row r="8" spans="1:7" ht="15.75" x14ac:dyDescent="0.25">
      <c r="A8" s="1051" t="s">
        <v>169</v>
      </c>
      <c r="B8" s="1044" t="s">
        <v>170</v>
      </c>
      <c r="C8" s="1043">
        <f>PriorYr905!H253</f>
        <v>31789089</v>
      </c>
      <c r="D8" s="1045">
        <v>2632</v>
      </c>
      <c r="E8" s="1061" t="s">
        <v>4963</v>
      </c>
      <c r="F8" s="1043"/>
    </row>
    <row r="9" spans="1:7" ht="15.75" x14ac:dyDescent="0.25">
      <c r="A9" s="1051" t="s">
        <v>168</v>
      </c>
      <c r="B9" s="1044" t="s">
        <v>573</v>
      </c>
      <c r="C9" s="1043">
        <f>PriorYr905!I253</f>
        <v>944825557.21000004</v>
      </c>
      <c r="D9" s="1045">
        <v>2637</v>
      </c>
      <c r="E9" s="1061" t="s">
        <v>4963</v>
      </c>
      <c r="F9" s="1043"/>
    </row>
    <row r="10" spans="1:7" ht="15.75" x14ac:dyDescent="0.25">
      <c r="A10" s="1051" t="s">
        <v>1304</v>
      </c>
      <c r="B10" s="1044" t="s">
        <v>1310</v>
      </c>
      <c r="C10" s="1043">
        <f>PriorYr905!J253</f>
        <v>-882532.79</v>
      </c>
      <c r="D10" s="1045">
        <v>2638</v>
      </c>
      <c r="E10" s="1061" t="s">
        <v>4963</v>
      </c>
      <c r="F10" s="1043"/>
    </row>
    <row r="11" spans="1:7" ht="15.75" x14ac:dyDescent="0.25">
      <c r="A11" s="1051" t="s">
        <v>1399</v>
      </c>
      <c r="B11" s="1044" t="s">
        <v>1463</v>
      </c>
      <c r="C11" s="1043">
        <f>PriorYr905!K253</f>
        <v>37257576.869999997</v>
      </c>
      <c r="D11" s="1045">
        <v>2639</v>
      </c>
      <c r="E11" s="1061" t="s">
        <v>4963</v>
      </c>
      <c r="F11" s="1043"/>
    </row>
    <row r="12" spans="1:7" ht="15.75" x14ac:dyDescent="0.25">
      <c r="A12" s="1051" t="s">
        <v>3524</v>
      </c>
      <c r="B12" s="1044" t="s">
        <v>3527</v>
      </c>
      <c r="C12" s="1043">
        <f>PriorYr905!L253</f>
        <v>0</v>
      </c>
      <c r="D12" s="1044" t="s">
        <v>1462</v>
      </c>
      <c r="E12" s="1061" t="s">
        <v>4963</v>
      </c>
      <c r="F12" s="1043"/>
    </row>
    <row r="13" spans="1:7" ht="15.75" x14ac:dyDescent="0.25">
      <c r="A13" s="1051" t="s">
        <v>4581</v>
      </c>
      <c r="B13" s="1044" t="s">
        <v>4584</v>
      </c>
      <c r="C13" s="1043">
        <f>PriorYr905!M253</f>
        <v>14154557.119999999</v>
      </c>
      <c r="D13" s="1044" t="s">
        <v>1462</v>
      </c>
      <c r="E13" s="1061" t="s">
        <v>4963</v>
      </c>
      <c r="F13" s="1043"/>
    </row>
    <row r="14" spans="1:7" ht="15.75" x14ac:dyDescent="0.25">
      <c r="A14" s="1051" t="s">
        <v>3525</v>
      </c>
      <c r="B14" s="1044" t="s">
        <v>3528</v>
      </c>
      <c r="C14" s="1043">
        <f>PriorYr905!N253</f>
        <v>72429723.359999999</v>
      </c>
      <c r="D14" s="1044" t="s">
        <v>1462</v>
      </c>
      <c r="E14" s="1061" t="s">
        <v>4963</v>
      </c>
      <c r="F14" s="1043"/>
    </row>
    <row r="15" spans="1:7" ht="15.75" x14ac:dyDescent="0.25">
      <c r="A15" s="1062" t="s">
        <v>1472</v>
      </c>
      <c r="B15" s="1044" t="s">
        <v>1286</v>
      </c>
      <c r="C15" s="1821">
        <v>60492780.799999997</v>
      </c>
      <c r="D15" s="1044" t="s">
        <v>351</v>
      </c>
      <c r="E15" s="1061" t="s">
        <v>1287</v>
      </c>
      <c r="F15" s="1821" t="s">
        <v>4358</v>
      </c>
    </row>
    <row r="16" spans="1:7" ht="15.75" x14ac:dyDescent="0.25">
      <c r="A16" s="1051" t="s">
        <v>401</v>
      </c>
      <c r="B16" s="1044" t="s">
        <v>4613</v>
      </c>
      <c r="C16" s="1043">
        <f>PriorYr905!O253</f>
        <v>173202299.74000001</v>
      </c>
      <c r="D16" s="1044" t="s">
        <v>351</v>
      </c>
      <c r="E16" s="1061" t="s">
        <v>4963</v>
      </c>
      <c r="F16" s="1043"/>
    </row>
    <row r="17" spans="1:6" ht="15.75" x14ac:dyDescent="0.25">
      <c r="A17" s="1051" t="s">
        <v>402</v>
      </c>
      <c r="B17" s="1044" t="s">
        <v>725</v>
      </c>
      <c r="C17" s="1043">
        <f>PriorYr905!P253</f>
        <v>3649932301.9200001</v>
      </c>
      <c r="D17" s="1044" t="s">
        <v>351</v>
      </c>
      <c r="E17" s="1061" t="s">
        <v>4963</v>
      </c>
      <c r="F17" s="1043"/>
    </row>
    <row r="18" spans="1:6" ht="15.75" x14ac:dyDescent="0.25">
      <c r="A18" s="1051" t="s">
        <v>403</v>
      </c>
      <c r="B18" s="1044" t="s">
        <v>171</v>
      </c>
      <c r="C18" s="1043">
        <f>PriorYr905!Q253</f>
        <v>1061545624.92</v>
      </c>
      <c r="D18" s="1044" t="s">
        <v>351</v>
      </c>
      <c r="E18" s="1061" t="s">
        <v>4963</v>
      </c>
      <c r="F18" s="1043"/>
    </row>
    <row r="19" spans="1:6" ht="15.75" x14ac:dyDescent="0.25">
      <c r="A19" s="1051" t="s">
        <v>404</v>
      </c>
      <c r="B19" s="1044" t="s">
        <v>726</v>
      </c>
      <c r="C19" s="1043">
        <f>PriorYr905!R253</f>
        <v>669910957.38999999</v>
      </c>
      <c r="D19" s="1044" t="s">
        <v>351</v>
      </c>
      <c r="E19" s="1061" t="s">
        <v>4963</v>
      </c>
      <c r="F19" s="1043"/>
    </row>
    <row r="20" spans="1:6" ht="15.75" x14ac:dyDescent="0.25">
      <c r="A20" s="1051" t="s">
        <v>405</v>
      </c>
      <c r="B20" s="1044" t="s">
        <v>178</v>
      </c>
      <c r="C20" s="1043">
        <f>PriorYr905!S253</f>
        <v>796165342.10000002</v>
      </c>
      <c r="D20" s="1044" t="s">
        <v>351</v>
      </c>
      <c r="E20" s="1061" t="s">
        <v>4963</v>
      </c>
      <c r="F20" s="1043"/>
    </row>
    <row r="21" spans="1:6" ht="15.75" x14ac:dyDescent="0.25">
      <c r="A21" s="1051" t="s">
        <v>406</v>
      </c>
      <c r="B21" s="1044" t="s">
        <v>179</v>
      </c>
      <c r="C21" s="1043">
        <f>PriorYr905!T253</f>
        <v>104151342.52</v>
      </c>
      <c r="D21" s="1044" t="s">
        <v>351</v>
      </c>
      <c r="E21" s="1061" t="s">
        <v>4963</v>
      </c>
      <c r="F21" s="1043"/>
    </row>
    <row r="22" spans="1:6" ht="15.75" x14ac:dyDescent="0.25">
      <c r="A22" s="1051" t="s">
        <v>64</v>
      </c>
      <c r="B22" s="1044" t="s">
        <v>180</v>
      </c>
      <c r="C22" s="1043">
        <f>PriorYr905!U253</f>
        <v>437395921.66000003</v>
      </c>
      <c r="D22" s="1044" t="s">
        <v>351</v>
      </c>
      <c r="E22" s="1061" t="s">
        <v>4963</v>
      </c>
      <c r="F22" s="1043"/>
    </row>
    <row r="23" spans="1:6" ht="15.75" x14ac:dyDescent="0.25">
      <c r="A23" s="1051" t="s">
        <v>65</v>
      </c>
      <c r="B23" s="1044" t="s">
        <v>6</v>
      </c>
      <c r="C23" s="1043">
        <f>PriorYr905!V253</f>
        <v>226019103.31</v>
      </c>
      <c r="D23" s="1044" t="s">
        <v>351</v>
      </c>
      <c r="E23" s="1061" t="s">
        <v>4963</v>
      </c>
      <c r="F23" s="1043"/>
    </row>
    <row r="24" spans="1:6" ht="15.75" x14ac:dyDescent="0.25">
      <c r="A24" s="1051" t="s">
        <v>66</v>
      </c>
      <c r="B24" s="1044" t="s">
        <v>1285</v>
      </c>
      <c r="C24" s="1043">
        <f>PriorYr905!W253</f>
        <v>401717872.48000002</v>
      </c>
      <c r="D24" s="1044" t="s">
        <v>351</v>
      </c>
      <c r="E24" s="1061" t="s">
        <v>4963</v>
      </c>
      <c r="F24" s="1043"/>
    </row>
    <row r="25" spans="1:6" ht="15.75" x14ac:dyDescent="0.25">
      <c r="A25" s="1051" t="s">
        <v>67</v>
      </c>
      <c r="B25" s="1044" t="s">
        <v>173</v>
      </c>
      <c r="C25" s="1043">
        <f>PriorYr905!X253</f>
        <v>465406821.81</v>
      </c>
      <c r="D25" s="1044" t="s">
        <v>351</v>
      </c>
      <c r="E25" s="1061" t="s">
        <v>4963</v>
      </c>
      <c r="F25" s="1043"/>
    </row>
    <row r="26" spans="1:6" ht="15.75" x14ac:dyDescent="0.25">
      <c r="A26" s="1051" t="s">
        <v>741</v>
      </c>
      <c r="B26" s="1044" t="s">
        <v>172</v>
      </c>
      <c r="C26" s="1043">
        <f>PriorYr905!Y253</f>
        <v>377408368.13</v>
      </c>
      <c r="D26" s="1044" t="s">
        <v>351</v>
      </c>
      <c r="E26" s="1061" t="s">
        <v>4963</v>
      </c>
      <c r="F26" s="1043"/>
    </row>
    <row r="27" spans="1:6" ht="15.75" x14ac:dyDescent="0.25">
      <c r="A27" s="1051" t="s">
        <v>742</v>
      </c>
      <c r="B27" s="1044" t="s">
        <v>181</v>
      </c>
      <c r="C27" s="1043">
        <f>PriorYr905!Z253</f>
        <v>92361512.469999999</v>
      </c>
      <c r="D27" s="1044" t="s">
        <v>351</v>
      </c>
      <c r="E27" s="1061" t="s">
        <v>4963</v>
      </c>
      <c r="F27" s="1043"/>
    </row>
    <row r="28" spans="1:6" ht="15.75" x14ac:dyDescent="0.25">
      <c r="A28" s="1051" t="s">
        <v>743</v>
      </c>
      <c r="B28" s="1044" t="s">
        <v>174</v>
      </c>
      <c r="C28" s="1043">
        <f>PriorYr905!AA253</f>
        <v>107970245.63</v>
      </c>
      <c r="D28" s="1044" t="s">
        <v>351</v>
      </c>
      <c r="E28" s="1061" t="s">
        <v>4963</v>
      </c>
      <c r="F28" s="1043"/>
    </row>
    <row r="29" spans="1:6" ht="15.75" x14ac:dyDescent="0.25">
      <c r="A29" s="1051" t="s">
        <v>744</v>
      </c>
      <c r="B29" s="1044" t="s">
        <v>68</v>
      </c>
      <c r="C29" s="1043">
        <f>PriorYr905!AB253</f>
        <v>126811235.59</v>
      </c>
      <c r="D29" s="1044" t="s">
        <v>351</v>
      </c>
      <c r="E29" s="1061" t="s">
        <v>4963</v>
      </c>
      <c r="F29" s="1043"/>
    </row>
    <row r="30" spans="1:6" ht="15.75" x14ac:dyDescent="0.25">
      <c r="A30" s="1051" t="s">
        <v>745</v>
      </c>
      <c r="B30" s="1044" t="s">
        <v>69</v>
      </c>
      <c r="C30" s="1043">
        <f>PriorYr905!AC253</f>
        <v>65704689.509999998</v>
      </c>
      <c r="D30" s="1044" t="s">
        <v>351</v>
      </c>
      <c r="E30" s="1061" t="s">
        <v>4963</v>
      </c>
      <c r="F30" s="1043"/>
    </row>
    <row r="31" spans="1:6" ht="15.75" x14ac:dyDescent="0.25">
      <c r="A31" s="1051" t="s">
        <v>746</v>
      </c>
      <c r="B31" s="1044" t="s">
        <v>7</v>
      </c>
      <c r="C31" s="1043">
        <f>PriorYr905!AD253</f>
        <v>90397312.549999997</v>
      </c>
      <c r="D31" s="1044" t="s">
        <v>351</v>
      </c>
      <c r="E31" s="1061" t="s">
        <v>4963</v>
      </c>
      <c r="F31" s="1043"/>
    </row>
    <row r="32" spans="1:6" ht="15.75" x14ac:dyDescent="0.25">
      <c r="A32" s="1051" t="s">
        <v>747</v>
      </c>
      <c r="B32" s="1044" t="s">
        <v>1284</v>
      </c>
      <c r="C32" s="1043">
        <f>PriorYr905!AE253</f>
        <v>132255439.87</v>
      </c>
      <c r="D32" s="1044" t="s">
        <v>351</v>
      </c>
      <c r="E32" s="1061" t="s">
        <v>4963</v>
      </c>
      <c r="F32" s="1043"/>
    </row>
    <row r="33" spans="1:9" ht="15.75" x14ac:dyDescent="0.25">
      <c r="A33" s="1051" t="s">
        <v>1689</v>
      </c>
      <c r="B33" s="1044" t="s">
        <v>1690</v>
      </c>
      <c r="C33" s="1043">
        <f>PriorYr905!AF253</f>
        <v>53943742.270000003</v>
      </c>
      <c r="D33" s="1044" t="s">
        <v>351</v>
      </c>
      <c r="E33" s="1061" t="s">
        <v>4963</v>
      </c>
      <c r="F33" s="1043"/>
    </row>
    <row r="34" spans="1:9" ht="15.75" x14ac:dyDescent="0.25">
      <c r="A34" s="1215" t="s">
        <v>399</v>
      </c>
      <c r="B34" s="1044" t="s">
        <v>724</v>
      </c>
      <c r="C34" s="1211">
        <f>PriorYr905!AG253</f>
        <v>9646312.3399999999</v>
      </c>
      <c r="D34" s="1045">
        <v>2517</v>
      </c>
      <c r="E34" s="1061" t="s">
        <v>4963</v>
      </c>
      <c r="F34" s="1043"/>
    </row>
    <row r="35" spans="1:9" ht="15.75" x14ac:dyDescent="0.25">
      <c r="A35" s="1050" t="s">
        <v>1093</v>
      </c>
      <c r="B35" s="1044" t="s">
        <v>148</v>
      </c>
      <c r="C35" s="1210">
        <v>1796027273.3099999</v>
      </c>
      <c r="D35" s="1045">
        <v>3324</v>
      </c>
      <c r="E35" s="1061" t="s">
        <v>4963</v>
      </c>
      <c r="F35" s="1043" t="s">
        <v>1926</v>
      </c>
      <c r="I35" s="1987"/>
    </row>
    <row r="36" spans="1:9" ht="15.75" x14ac:dyDescent="0.25">
      <c r="A36" s="1050" t="s">
        <v>149</v>
      </c>
      <c r="B36" s="1044" t="s">
        <v>1020</v>
      </c>
      <c r="C36" s="1210">
        <v>13095577599.01</v>
      </c>
      <c r="D36" s="1045">
        <v>3318</v>
      </c>
      <c r="E36" s="1061" t="s">
        <v>4963</v>
      </c>
      <c r="F36" s="1043" t="s">
        <v>1926</v>
      </c>
      <c r="I36" s="1987"/>
    </row>
    <row r="37" spans="1:9" ht="15.75" x14ac:dyDescent="0.25">
      <c r="A37" s="1041"/>
      <c r="B37" s="1044"/>
      <c r="C37" s="1043"/>
      <c r="D37" s="1045"/>
      <c r="F37" s="1043"/>
    </row>
    <row r="38" spans="1:9" ht="15.75" x14ac:dyDescent="0.25">
      <c r="A38" s="1041"/>
      <c r="B38" s="1044" t="s">
        <v>1925</v>
      </c>
      <c r="C38" s="1043">
        <f>SUM(C6:C33)-C15</f>
        <v>11226539706.07</v>
      </c>
      <c r="D38" s="1045"/>
      <c r="F38" s="1350" t="str">
        <f>IF((C38-PriorYr905!AH186=0),"ok","problem-check PY balances")</f>
        <v>ok</v>
      </c>
    </row>
    <row r="39" spans="1:9" ht="15.75" x14ac:dyDescent="0.25">
      <c r="A39" s="1052" t="s">
        <v>1465</v>
      </c>
      <c r="B39" s="1044" t="s">
        <v>1927</v>
      </c>
      <c r="C39" s="1049">
        <f>SUM(C6:C33)</f>
        <v>11287032486.870001</v>
      </c>
      <c r="D39" s="1045"/>
      <c r="F39" s="1043" t="s">
        <v>5665</v>
      </c>
    </row>
    <row r="41" spans="1:9" ht="29.25" customHeight="1" x14ac:dyDescent="0.2">
      <c r="B41" s="3028" t="s">
        <v>5666</v>
      </c>
      <c r="C41" s="3028"/>
      <c r="D41" s="3028"/>
      <c r="E41" s="3028"/>
    </row>
    <row r="42" spans="1:9" x14ac:dyDescent="0.2">
      <c r="C42" s="1046"/>
    </row>
    <row r="43" spans="1:9" x14ac:dyDescent="0.2">
      <c r="A43" s="1061" t="s">
        <v>5668</v>
      </c>
      <c r="C43" s="1046"/>
    </row>
    <row r="44" spans="1:9" x14ac:dyDescent="0.2">
      <c r="A44" s="1061" t="s">
        <v>5667</v>
      </c>
      <c r="C44" s="1046"/>
    </row>
    <row r="45" spans="1:9" x14ac:dyDescent="0.2">
      <c r="A45" s="1061" t="s">
        <v>4964</v>
      </c>
    </row>
    <row r="46" spans="1:9" x14ac:dyDescent="0.2">
      <c r="A46" s="1061"/>
    </row>
    <row r="47" spans="1:9" x14ac:dyDescent="0.2">
      <c r="A47" s="1061"/>
    </row>
    <row r="48" spans="1:9" x14ac:dyDescent="0.2">
      <c r="A48" s="1061"/>
    </row>
  </sheetData>
  <sheetProtection algorithmName="SHA-512" hashValue="uOZOUJ9AsfJ/VyduTzUM/KWyz/Y2bIvk/Z6A9uUePxBverDcvecfv9D0lTU/p+9oywPI5eIR0BRMIsQoK4uv+g==" saltValue="ORn61Yg+RTZ5DxzCfR5xVQ==" spinCount="100000" sheet="1" objects="1" scenarios="1" autoFilter="0"/>
  <customSheetViews>
    <customSheetView guid="{B08879A4-635B-4C39-9937-AC7883D562FC}" topLeftCell="A25">
      <pageMargins left="0.2" right="0.2" top="0.5" bottom="0.5" header="0.3" footer="0.3"/>
      <printOptions headings="1"/>
      <pageSetup orientation="portrait" r:id="rId1"/>
    </customSheetView>
    <customSheetView guid="{9FCFC836-1CA5-48BF-958D-24D2EA94B219}" topLeftCell="A25">
      <pageMargins left="0.2" right="0.2" top="0.5" bottom="0.5" header="0.3" footer="0.3"/>
      <printOptions headings="1"/>
      <pageSetup orientation="portrait" r:id="rId2"/>
    </customSheetView>
  </customSheetViews>
  <mergeCells count="1">
    <mergeCell ref="B41:E41"/>
  </mergeCells>
  <hyperlinks>
    <hyperlink ref="B1" location="Index!A1" display="NC Office of the State Controller " xr:uid="{00000000-0004-0000-5900-000000000000}"/>
  </hyperlinks>
  <printOptions headings="1" gridLines="1"/>
  <pageMargins left="0.2" right="0.2" top="0.5" bottom="0.5" header="0.3" footer="0.3"/>
  <pageSetup scale="95" orientation="portrait" r:id="rId3"/>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tabColor rgb="FFFFFF00"/>
  </sheetPr>
  <dimension ref="A1:AI341"/>
  <sheetViews>
    <sheetView zoomScaleNormal="100" workbookViewId="0">
      <pane xSplit="4" ySplit="11" topLeftCell="AA12" activePane="bottomRight" state="frozen"/>
      <selection sqref="A1:E1"/>
      <selection pane="topRight" sqref="A1:E1"/>
      <selection pane="bottomLeft" sqref="A1:E1"/>
      <selection pane="bottomRight" activeCell="AH186" sqref="AH186"/>
    </sheetView>
  </sheetViews>
  <sheetFormatPr defaultRowHeight="12.75" x14ac:dyDescent="0.2"/>
  <cols>
    <col min="1" max="1" width="4.42578125" customWidth="1"/>
    <col min="2" max="2" width="22" customWidth="1"/>
    <col min="3" max="3" width="18.5703125" customWidth="1"/>
    <col min="4" max="4" width="4" customWidth="1"/>
    <col min="5" max="5" width="17.5703125" customWidth="1"/>
    <col min="6" max="6" width="18.42578125" customWidth="1"/>
    <col min="7" max="8" width="16.5703125" customWidth="1"/>
    <col min="9" max="9" width="19.42578125" customWidth="1"/>
    <col min="10" max="11" width="16.5703125" customWidth="1"/>
    <col min="12" max="12" width="7.140625" customWidth="1"/>
    <col min="13" max="14" width="16.5703125" customWidth="1"/>
    <col min="15" max="15" width="16.5703125" style="272" customWidth="1"/>
    <col min="16" max="16" width="17.7109375" customWidth="1"/>
    <col min="17" max="17" width="17.28515625" customWidth="1"/>
    <col min="18" max="33" width="16.5703125" customWidth="1"/>
    <col min="34" max="34" width="18.42578125" customWidth="1"/>
    <col min="35" max="35" width="17.5703125" bestFit="1" customWidth="1"/>
  </cols>
  <sheetData>
    <row r="1" spans="1:34" ht="15.75" x14ac:dyDescent="0.25">
      <c r="B1" s="2449" t="str">
        <f>+Index!$A$1</f>
        <v xml:space="preserve">                                                               Office of the State Controller                                                                </v>
      </c>
      <c r="C1" s="2449"/>
      <c r="D1" s="2449"/>
      <c r="E1" s="2449"/>
      <c r="F1" s="2449"/>
      <c r="G1" s="2449"/>
      <c r="H1" s="2449"/>
      <c r="I1" s="272"/>
      <c r="J1" s="272"/>
      <c r="K1" s="272"/>
      <c r="L1" s="272"/>
      <c r="M1" s="272"/>
      <c r="N1" s="272"/>
      <c r="P1" s="272"/>
      <c r="Q1" s="1368"/>
      <c r="R1" s="272"/>
      <c r="S1" s="272"/>
      <c r="T1" s="1368"/>
      <c r="U1" s="272"/>
      <c r="V1" s="272"/>
      <c r="W1" s="272"/>
      <c r="X1" s="272"/>
      <c r="Y1" s="272"/>
      <c r="Z1" s="272"/>
      <c r="AA1" s="272"/>
      <c r="AB1" s="272"/>
      <c r="AC1" s="272"/>
      <c r="AD1" s="272"/>
      <c r="AE1" s="272"/>
      <c r="AF1" s="272"/>
      <c r="AG1" s="272"/>
    </row>
    <row r="2" spans="1:34" ht="15.75" x14ac:dyDescent="0.25">
      <c r="B2" s="2431" t="str">
        <f>+Index!$A$2</f>
        <v>2022 ACFR Worksheets</v>
      </c>
      <c r="C2" s="2431"/>
      <c r="D2" s="2431"/>
      <c r="E2" s="2431"/>
      <c r="F2" s="2431"/>
      <c r="G2" s="2431"/>
      <c r="H2" s="2431"/>
      <c r="I2" s="272"/>
      <c r="J2" s="272"/>
      <c r="K2" s="272"/>
      <c r="L2" s="272"/>
      <c r="M2" s="272"/>
      <c r="N2" s="272"/>
      <c r="P2" s="272"/>
      <c r="Q2" s="272"/>
      <c r="R2" s="272"/>
      <c r="S2" s="272"/>
      <c r="T2" s="272"/>
      <c r="U2" s="272"/>
      <c r="X2" s="272"/>
      <c r="Y2" s="272"/>
      <c r="Z2" s="272"/>
      <c r="AA2" s="272"/>
      <c r="AB2" s="272"/>
      <c r="AC2" s="272"/>
      <c r="AE2" s="272"/>
      <c r="AG2" s="272"/>
    </row>
    <row r="3" spans="1:34" ht="15.75" x14ac:dyDescent="0.25">
      <c r="B3" s="2993" t="s">
        <v>1914</v>
      </c>
      <c r="C3" s="2993"/>
      <c r="D3" s="2993"/>
      <c r="E3" s="2993"/>
      <c r="F3" s="2993"/>
      <c r="G3" s="2993"/>
      <c r="H3" s="2993"/>
      <c r="P3" s="272"/>
      <c r="U3" s="272"/>
      <c r="AG3" s="272"/>
    </row>
    <row r="4" spans="1:34" x14ac:dyDescent="0.2">
      <c r="B4" s="2972" t="s">
        <v>4951</v>
      </c>
      <c r="C4" s="2972"/>
      <c r="D4" s="2972"/>
      <c r="E4" s="2972"/>
      <c r="F4" s="2972"/>
      <c r="G4" s="2972"/>
      <c r="H4" s="2972"/>
      <c r="P4" s="272"/>
    </row>
    <row r="5" spans="1:34" x14ac:dyDescent="0.2">
      <c r="B5" s="200" t="s">
        <v>327</v>
      </c>
      <c r="C5" s="1217" t="str">
        <f>+Index!$E$10</f>
        <v>01</v>
      </c>
      <c r="E5" s="799" t="s">
        <v>972</v>
      </c>
      <c r="F5" s="2992" t="str">
        <f>+CONCATENATE(Index!$E$12," ",Index!$E$14)</f>
        <v xml:space="preserve"> </v>
      </c>
      <c r="G5" s="2992"/>
      <c r="H5" s="2992"/>
      <c r="P5" s="272"/>
    </row>
    <row r="6" spans="1:34" x14ac:dyDescent="0.2">
      <c r="B6" s="200" t="s">
        <v>1154</v>
      </c>
      <c r="C6" s="2973" t="str">
        <f>+Index!$E$11</f>
        <v>North Carolina General Assembly</v>
      </c>
      <c r="D6" s="2973"/>
      <c r="E6" s="2973"/>
      <c r="F6" s="800" t="s">
        <v>348</v>
      </c>
      <c r="G6" s="3038">
        <f>+Index!$E$13</f>
        <v>0</v>
      </c>
      <c r="H6" s="3038"/>
      <c r="P6" s="1610"/>
    </row>
    <row r="7" spans="1:34" ht="13.5" thickBot="1" x14ac:dyDescent="0.25">
      <c r="B7" s="1218"/>
      <c r="C7" s="1214"/>
      <c r="D7" s="838"/>
      <c r="E7" s="1218"/>
      <c r="F7" s="1218"/>
      <c r="G7" s="1219"/>
      <c r="H7" s="1218"/>
      <c r="L7" s="1610" t="s">
        <v>4700</v>
      </c>
      <c r="R7" s="272"/>
      <c r="S7" s="272"/>
      <c r="T7" s="272"/>
      <c r="X7" s="272"/>
      <c r="Y7" s="272"/>
      <c r="Z7" s="272"/>
      <c r="AA7" s="272"/>
      <c r="AB7" s="272"/>
      <c r="AC7" s="272"/>
      <c r="AD7" s="272"/>
      <c r="AE7" s="272"/>
    </row>
    <row r="8" spans="1:34" x14ac:dyDescent="0.2">
      <c r="B8" s="1220"/>
      <c r="C8" s="38" t="s">
        <v>1755</v>
      </c>
      <c r="D8" s="122"/>
      <c r="E8" s="1221" t="s">
        <v>1461</v>
      </c>
      <c r="F8" s="1233" t="s">
        <v>1473</v>
      </c>
      <c r="G8" s="1221" t="s">
        <v>896</v>
      </c>
      <c r="H8" s="1221" t="s">
        <v>169</v>
      </c>
      <c r="I8" s="1221" t="s">
        <v>168</v>
      </c>
      <c r="J8" s="1221" t="s">
        <v>1304</v>
      </c>
      <c r="K8" s="1221" t="s">
        <v>1399</v>
      </c>
      <c r="L8" s="1221" t="s">
        <v>3524</v>
      </c>
      <c r="M8" s="1968" t="s">
        <v>4581</v>
      </c>
      <c r="N8" s="1221" t="s">
        <v>3525</v>
      </c>
      <c r="O8" s="1968" t="s">
        <v>401</v>
      </c>
      <c r="P8" s="1221" t="s">
        <v>402</v>
      </c>
      <c r="Q8" s="1221" t="s">
        <v>403</v>
      </c>
      <c r="R8" s="1221" t="s">
        <v>404</v>
      </c>
      <c r="S8" s="1221" t="s">
        <v>405</v>
      </c>
      <c r="T8" s="1221" t="s">
        <v>406</v>
      </c>
      <c r="U8" s="1221" t="s">
        <v>64</v>
      </c>
      <c r="V8" s="1221" t="s">
        <v>65</v>
      </c>
      <c r="W8" s="1221" t="s">
        <v>66</v>
      </c>
      <c r="X8" s="1221" t="s">
        <v>67</v>
      </c>
      <c r="Y8" s="1221" t="s">
        <v>741</v>
      </c>
      <c r="Z8" s="1221" t="s">
        <v>742</v>
      </c>
      <c r="AA8" s="1221" t="s">
        <v>743</v>
      </c>
      <c r="AB8" s="1221" t="s">
        <v>744</v>
      </c>
      <c r="AC8" s="1221" t="s">
        <v>745</v>
      </c>
      <c r="AD8" s="1221" t="s">
        <v>746</v>
      </c>
      <c r="AE8" s="1221" t="s">
        <v>747</v>
      </c>
      <c r="AF8" s="1221" t="s">
        <v>1689</v>
      </c>
      <c r="AG8" s="1234" t="s">
        <v>399</v>
      </c>
    </row>
    <row r="9" spans="1:34" x14ac:dyDescent="0.2">
      <c r="C9" t="s">
        <v>1756</v>
      </c>
      <c r="E9" s="357" t="s">
        <v>1480</v>
      </c>
      <c r="F9" s="357" t="s">
        <v>1143</v>
      </c>
      <c r="G9" s="357" t="s">
        <v>1757</v>
      </c>
      <c r="H9" s="357" t="s">
        <v>1757</v>
      </c>
      <c r="I9" s="357" t="s">
        <v>1477</v>
      </c>
      <c r="J9" s="357" t="s">
        <v>1759</v>
      </c>
      <c r="K9" s="357" t="s">
        <v>4323</v>
      </c>
      <c r="L9" s="357" t="s">
        <v>3691</v>
      </c>
      <c r="M9" s="357" t="s">
        <v>4585</v>
      </c>
      <c r="N9" s="357" t="s">
        <v>3693</v>
      </c>
      <c r="O9" s="357" t="s">
        <v>1786</v>
      </c>
      <c r="P9" s="357" t="s">
        <v>1760</v>
      </c>
      <c r="Q9" s="357" t="s">
        <v>1762</v>
      </c>
      <c r="R9" s="357" t="s">
        <v>1760</v>
      </c>
      <c r="S9" s="357" t="s">
        <v>1760</v>
      </c>
      <c r="T9" s="357" t="s">
        <v>1760</v>
      </c>
      <c r="U9" s="357" t="s">
        <v>1760</v>
      </c>
      <c r="V9" s="357" t="s">
        <v>1767</v>
      </c>
      <c r="W9" s="357" t="s">
        <v>1768</v>
      </c>
      <c r="X9" s="357" t="s">
        <v>1770</v>
      </c>
      <c r="Y9" s="357" t="s">
        <v>1771</v>
      </c>
      <c r="Z9" s="357" t="s">
        <v>1760</v>
      </c>
      <c r="AA9" s="357" t="s">
        <v>1774</v>
      </c>
      <c r="AB9" s="357" t="s">
        <v>1789</v>
      </c>
      <c r="AC9" s="357" t="s">
        <v>1775</v>
      </c>
      <c r="AD9" s="357" t="s">
        <v>1776</v>
      </c>
      <c r="AE9" s="357" t="s">
        <v>1777</v>
      </c>
      <c r="AF9" s="357" t="s">
        <v>1785</v>
      </c>
      <c r="AG9" s="357" t="s">
        <v>1779</v>
      </c>
    </row>
    <row r="10" spans="1:34" x14ac:dyDescent="0.2">
      <c r="B10" s="394" t="s">
        <v>1904</v>
      </c>
      <c r="E10" s="357" t="s">
        <v>1781</v>
      </c>
      <c r="F10" s="357" t="s">
        <v>1810</v>
      </c>
      <c r="G10" s="357" t="s">
        <v>1758</v>
      </c>
      <c r="H10" s="357" t="s">
        <v>1790</v>
      </c>
      <c r="I10" s="357" t="s">
        <v>1478</v>
      </c>
      <c r="J10" s="357" t="s">
        <v>1479</v>
      </c>
      <c r="K10" s="357" t="s">
        <v>1788</v>
      </c>
      <c r="L10" s="357" t="s">
        <v>3692</v>
      </c>
      <c r="M10" s="357" t="s">
        <v>4583</v>
      </c>
      <c r="N10" s="357" t="s">
        <v>3694</v>
      </c>
      <c r="O10" s="357" t="s">
        <v>1787</v>
      </c>
      <c r="P10" s="357" t="s">
        <v>1761</v>
      </c>
      <c r="Q10" s="357" t="s">
        <v>1130</v>
      </c>
      <c r="R10" s="357" t="s">
        <v>1763</v>
      </c>
      <c r="S10" s="357" t="s">
        <v>1764</v>
      </c>
      <c r="T10" s="357" t="s">
        <v>1765</v>
      </c>
      <c r="U10" s="357" t="s">
        <v>1766</v>
      </c>
      <c r="V10" s="357" t="s">
        <v>1772</v>
      </c>
      <c r="W10" s="357" t="s">
        <v>1769</v>
      </c>
      <c r="X10" s="357" t="s">
        <v>1772</v>
      </c>
      <c r="Y10" s="357" t="s">
        <v>1769</v>
      </c>
      <c r="Z10" s="357" t="s">
        <v>1773</v>
      </c>
      <c r="AA10" s="357" t="s">
        <v>1769</v>
      </c>
      <c r="AB10" s="357" t="s">
        <v>1769</v>
      </c>
      <c r="AC10" s="357" t="s">
        <v>1769</v>
      </c>
      <c r="AD10" s="357" t="s">
        <v>1130</v>
      </c>
      <c r="AE10" s="357" t="s">
        <v>1778</v>
      </c>
      <c r="AF10" s="357" t="s">
        <v>1784</v>
      </c>
      <c r="AG10" s="357" t="s">
        <v>1780</v>
      </c>
    </row>
    <row r="11" spans="1:34" x14ac:dyDescent="0.2">
      <c r="B11" s="783" t="s">
        <v>628</v>
      </c>
      <c r="E11" s="1087" t="str">
        <f>TEXT(Data!$A$4,"mmmm d,yyyy")</f>
        <v>June 30,2021</v>
      </c>
      <c r="F11" s="1087" t="str">
        <f>TEXT(Data!$A$4,"mmmm d,yyyy")</f>
        <v>June 30,2021</v>
      </c>
      <c r="G11" s="1087" t="str">
        <f>TEXT(Data!$A$4,"mmmm d,yyyy")</f>
        <v>June 30,2021</v>
      </c>
      <c r="H11" s="1087" t="str">
        <f>TEXT(Data!$A$4,"mmmm d,yyyy")</f>
        <v>June 30,2021</v>
      </c>
      <c r="I11" s="1087" t="str">
        <f>TEXT(Data!$A$4,"mmmm d,yyyy")</f>
        <v>June 30,2021</v>
      </c>
      <c r="J11" s="1087" t="str">
        <f>TEXT(Data!$A$4,"mmmm d,yyyy")</f>
        <v>June 30,2021</v>
      </c>
      <c r="K11" s="1087" t="str">
        <f>TEXT(Data!$A$4,"mmmm d,yyyy")</f>
        <v>June 30,2021</v>
      </c>
      <c r="L11" s="1087" t="str">
        <f>TEXT(Data!$A$4,"mmmm d,yyyy")</f>
        <v>June 30,2021</v>
      </c>
      <c r="M11" s="1087" t="str">
        <f>TEXT(Data!$A$4,"mmmm d,yyyy")</f>
        <v>June 30,2021</v>
      </c>
      <c r="N11" s="1087" t="str">
        <f>TEXT(Data!$A$4,"mmmm d,yyyy")</f>
        <v>June 30,2021</v>
      </c>
      <c r="O11" s="1087" t="str">
        <f>TEXT(Data!$A$4,"mmmm d,yyyy")</f>
        <v>June 30,2021</v>
      </c>
      <c r="P11" s="1087" t="str">
        <f>TEXT(Data!$A$4,"mmmm d,yyyy")</f>
        <v>June 30,2021</v>
      </c>
      <c r="Q11" s="1087" t="str">
        <f>TEXT(Data!$A$4,"mmmm d,yyyy")</f>
        <v>June 30,2021</v>
      </c>
      <c r="R11" s="1087" t="str">
        <f>TEXT(Data!$A$4,"mmmm d,yyyy")</f>
        <v>June 30,2021</v>
      </c>
      <c r="S11" s="1087" t="str">
        <f>TEXT(Data!$A$4,"mmmm d,yyyy")</f>
        <v>June 30,2021</v>
      </c>
      <c r="T11" s="1087" t="str">
        <f>TEXT(Data!$A$4,"mmmm d,yyyy")</f>
        <v>June 30,2021</v>
      </c>
      <c r="U11" s="1087" t="str">
        <f>TEXT(Data!$A$4,"mmmm d,yyyy")</f>
        <v>June 30,2021</v>
      </c>
      <c r="V11" s="1087" t="str">
        <f>TEXT(Data!$A$4,"mmmm d,yyyy")</f>
        <v>June 30,2021</v>
      </c>
      <c r="W11" s="1087" t="str">
        <f>TEXT(Data!$A$4,"mmmm d,yyyy")</f>
        <v>June 30,2021</v>
      </c>
      <c r="X11" s="1087" t="str">
        <f>TEXT(Data!$A$4,"mmmm d,yyyy")</f>
        <v>June 30,2021</v>
      </c>
      <c r="Y11" s="1087" t="str">
        <f>TEXT(Data!$A$4,"mmmm d,yyyy")</f>
        <v>June 30,2021</v>
      </c>
      <c r="Z11" s="1087" t="str">
        <f>TEXT(Data!$A$4,"mmmm d,yyyy")</f>
        <v>June 30,2021</v>
      </c>
      <c r="AA11" s="1087" t="str">
        <f>TEXT(Data!$A$4,"mmmm d,yyyy")</f>
        <v>June 30,2021</v>
      </c>
      <c r="AB11" s="1087" t="str">
        <f>TEXT(Data!$A$4,"mmmm d,yyyy")</f>
        <v>June 30,2021</v>
      </c>
      <c r="AC11" s="1087" t="str">
        <f>TEXT(Data!$A$4,"mmmm d,yyyy")</f>
        <v>June 30,2021</v>
      </c>
      <c r="AD11" s="1087" t="str">
        <f>TEXT(Data!$A$4,"mmmm d,yyyy")</f>
        <v>June 30,2021</v>
      </c>
      <c r="AE11" s="1087" t="str">
        <f>TEXT(Data!$A$4,"mmmm d,yyyy")</f>
        <v>June 30,2021</v>
      </c>
      <c r="AF11" s="1087" t="str">
        <f>TEXT(Data!$A$4,"mmmm d,yyyy")</f>
        <v>June 30,2021</v>
      </c>
      <c r="AG11" s="1087" t="str">
        <f>TEXT(Data!$A$4,"mmmm d,yyyy")</f>
        <v>June 30,2021</v>
      </c>
    </row>
    <row r="12" spans="1:34" x14ac:dyDescent="0.2">
      <c r="B12" s="784" t="s">
        <v>629</v>
      </c>
      <c r="C12" s="395"/>
    </row>
    <row r="13" spans="1:34" x14ac:dyDescent="0.2">
      <c r="A13" s="335">
        <v>1000</v>
      </c>
      <c r="B13" s="3009" t="s">
        <v>630</v>
      </c>
      <c r="C13" s="3009"/>
      <c r="D13" t="str">
        <f>IF(SUM(F13:N13)=E13,"OK","prob")</f>
        <v>OK</v>
      </c>
      <c r="E13" s="650">
        <v>347732983.58999997</v>
      </c>
      <c r="F13" s="649">
        <v>-45116560.07</v>
      </c>
      <c r="G13" s="649">
        <v>124028640</v>
      </c>
      <c r="H13" s="649">
        <v>0</v>
      </c>
      <c r="I13" s="649">
        <v>221396074.38</v>
      </c>
      <c r="J13" s="649">
        <v>251784.94</v>
      </c>
      <c r="K13" s="649">
        <v>21910018.789999999</v>
      </c>
      <c r="L13" s="649"/>
      <c r="M13" s="649">
        <v>10108236.640000001</v>
      </c>
      <c r="N13" s="649">
        <v>15154788.91</v>
      </c>
      <c r="O13" s="650">
        <v>2312172.15</v>
      </c>
      <c r="P13" s="650">
        <v>98749275.700000003</v>
      </c>
      <c r="Q13" s="650">
        <v>320240.3</v>
      </c>
      <c r="R13" s="650">
        <v>6704597.4199999999</v>
      </c>
      <c r="S13" s="650">
        <v>939297.26</v>
      </c>
      <c r="T13" s="650">
        <v>25203.29</v>
      </c>
      <c r="U13" s="650">
        <v>144381.03</v>
      </c>
      <c r="V13" s="650">
        <v>185286.37</v>
      </c>
      <c r="W13" s="650">
        <v>8399</v>
      </c>
      <c r="X13" s="650">
        <v>34015</v>
      </c>
      <c r="Y13" s="650">
        <v>10091685.1</v>
      </c>
      <c r="Z13" s="650">
        <v>8757.43</v>
      </c>
      <c r="AA13" s="650">
        <v>0</v>
      </c>
      <c r="AB13" s="650">
        <v>0</v>
      </c>
      <c r="AC13" s="650">
        <v>17173648.390000001</v>
      </c>
      <c r="AD13" s="650">
        <v>2400</v>
      </c>
      <c r="AE13" s="650">
        <v>720.7</v>
      </c>
      <c r="AF13" s="650">
        <v>2458460.25</v>
      </c>
      <c r="AG13" s="650">
        <v>4031821.64</v>
      </c>
    </row>
    <row r="14" spans="1:34" x14ac:dyDescent="0.2">
      <c r="A14" s="335">
        <v>1010</v>
      </c>
      <c r="B14" s="2876" t="s">
        <v>270</v>
      </c>
      <c r="C14" s="2876"/>
      <c r="D14" t="str">
        <f>IF(SUM(F14:N14)-E14=0,"OK","prob")</f>
        <v>OK</v>
      </c>
      <c r="E14" s="649">
        <v>103253374</v>
      </c>
      <c r="F14" s="649">
        <v>98056564</v>
      </c>
      <c r="G14" s="649">
        <v>0</v>
      </c>
      <c r="H14" s="649">
        <v>5196810</v>
      </c>
      <c r="I14" s="649">
        <v>0</v>
      </c>
      <c r="J14" s="649">
        <v>0</v>
      </c>
      <c r="K14" s="649">
        <v>0</v>
      </c>
      <c r="L14" s="649"/>
      <c r="M14" s="649">
        <v>0</v>
      </c>
      <c r="N14" s="649">
        <v>0</v>
      </c>
      <c r="O14" s="1829">
        <v>12211268.310000001</v>
      </c>
      <c r="P14" s="1829">
        <v>556664868.38</v>
      </c>
      <c r="Q14" s="1829">
        <v>192639506.62</v>
      </c>
      <c r="R14" s="1829">
        <v>127452848.67</v>
      </c>
      <c r="S14" s="1829">
        <v>320460934.55000001</v>
      </c>
      <c r="T14" s="1829">
        <v>17767771.210000001</v>
      </c>
      <c r="U14" s="1829">
        <v>124979505.63</v>
      </c>
      <c r="V14" s="1829">
        <v>270202489.25999999</v>
      </c>
      <c r="W14" s="1829">
        <v>111919302.79000001</v>
      </c>
      <c r="X14" s="1829">
        <v>129626126.77</v>
      </c>
      <c r="Y14" s="1829">
        <v>109752012.78</v>
      </c>
      <c r="Z14" s="1829">
        <v>23752990.57</v>
      </c>
      <c r="AA14" s="1829">
        <v>35778077.299999997</v>
      </c>
      <c r="AB14" s="1829">
        <v>19262635.829999998</v>
      </c>
      <c r="AC14" s="1829">
        <v>739321.57</v>
      </c>
      <c r="AD14" s="1829">
        <v>23046990.539999999</v>
      </c>
      <c r="AE14" s="1829">
        <v>23989955</v>
      </c>
      <c r="AF14" s="1829">
        <v>0</v>
      </c>
      <c r="AG14" s="649">
        <v>0</v>
      </c>
    </row>
    <row r="15" spans="1:34" x14ac:dyDescent="0.2">
      <c r="A15" s="335">
        <v>1050</v>
      </c>
      <c r="B15" s="2876" t="s">
        <v>425</v>
      </c>
      <c r="C15" s="2876"/>
      <c r="D15" t="str">
        <f>IF(ROUND(SUM(F15:N15),2)-ROUND(E15,2)=0,"OK","prob")</f>
        <v>OK</v>
      </c>
      <c r="E15" s="649">
        <v>0</v>
      </c>
      <c r="F15" s="649">
        <v>0</v>
      </c>
      <c r="G15" s="649">
        <v>0</v>
      </c>
      <c r="H15" s="649">
        <v>0</v>
      </c>
      <c r="I15" s="649">
        <v>0</v>
      </c>
      <c r="J15" s="649">
        <v>0</v>
      </c>
      <c r="K15" s="649">
        <v>0</v>
      </c>
      <c r="L15" s="649"/>
      <c r="M15" s="649">
        <v>0</v>
      </c>
      <c r="N15" s="649">
        <v>0</v>
      </c>
      <c r="O15" s="1829">
        <v>0</v>
      </c>
      <c r="P15" s="1829">
        <v>412695265.22000003</v>
      </c>
      <c r="Q15" s="1829">
        <v>0</v>
      </c>
      <c r="R15" s="1829">
        <v>307018.83</v>
      </c>
      <c r="S15" s="1829">
        <v>0</v>
      </c>
      <c r="T15" s="1829">
        <v>0</v>
      </c>
      <c r="U15" s="1829">
        <v>0</v>
      </c>
      <c r="V15" s="1829">
        <v>0</v>
      </c>
      <c r="W15" s="1829">
        <v>0</v>
      </c>
      <c r="X15" s="1829">
        <v>0</v>
      </c>
      <c r="Y15" s="1829">
        <v>0</v>
      </c>
      <c r="Z15" s="1829">
        <v>0</v>
      </c>
      <c r="AA15" s="1829">
        <v>0</v>
      </c>
      <c r="AB15" s="1829">
        <v>0</v>
      </c>
      <c r="AC15" s="1829">
        <v>0</v>
      </c>
      <c r="AD15" s="1829">
        <v>0</v>
      </c>
      <c r="AE15" s="1829">
        <v>0</v>
      </c>
      <c r="AF15" s="1829">
        <v>0</v>
      </c>
      <c r="AG15" s="649">
        <v>0</v>
      </c>
    </row>
    <row r="16" spans="1:34" x14ac:dyDescent="0.2">
      <c r="A16" s="335">
        <v>1060</v>
      </c>
      <c r="B16" s="2876" t="s">
        <v>1223</v>
      </c>
      <c r="C16" s="2876"/>
      <c r="D16" t="str">
        <f>IF(SUM(F16:N16)-E16=0,"OK","prob")</f>
        <v>OK</v>
      </c>
      <c r="E16" s="649">
        <v>0</v>
      </c>
      <c r="F16" s="649">
        <v>0</v>
      </c>
      <c r="G16" s="649">
        <v>0</v>
      </c>
      <c r="H16" s="649">
        <v>0</v>
      </c>
      <c r="I16" s="649">
        <v>0</v>
      </c>
      <c r="J16" s="649">
        <v>0</v>
      </c>
      <c r="K16" s="649">
        <v>0</v>
      </c>
      <c r="L16" s="649"/>
      <c r="M16" s="649">
        <v>0</v>
      </c>
      <c r="N16" s="649">
        <v>0</v>
      </c>
      <c r="O16" s="1829">
        <v>0</v>
      </c>
      <c r="P16" s="1829">
        <v>0</v>
      </c>
      <c r="Q16" s="1829">
        <v>0</v>
      </c>
      <c r="R16" s="1829">
        <v>0</v>
      </c>
      <c r="S16" s="1829">
        <v>0</v>
      </c>
      <c r="T16" s="1829">
        <v>0</v>
      </c>
      <c r="U16" s="1829">
        <v>0</v>
      </c>
      <c r="V16" s="1829">
        <v>0</v>
      </c>
      <c r="W16" s="1829">
        <v>0</v>
      </c>
      <c r="X16" s="1829">
        <v>0</v>
      </c>
      <c r="Y16" s="1829">
        <v>0</v>
      </c>
      <c r="Z16" s="1829">
        <v>0</v>
      </c>
      <c r="AA16" s="1829">
        <v>0</v>
      </c>
      <c r="AB16" s="1829">
        <v>0</v>
      </c>
      <c r="AC16" s="1829">
        <v>0</v>
      </c>
      <c r="AD16" s="1829">
        <v>0</v>
      </c>
      <c r="AE16" s="1829">
        <v>0</v>
      </c>
      <c r="AF16" s="1829">
        <v>0</v>
      </c>
      <c r="AG16" s="393">
        <v>0</v>
      </c>
      <c r="AH16" s="397"/>
    </row>
    <row r="17" spans="1:34" x14ac:dyDescent="0.2">
      <c r="A17" s="335">
        <v>1090</v>
      </c>
      <c r="B17" s="2876" t="s">
        <v>1403</v>
      </c>
      <c r="C17" s="2876"/>
      <c r="D17" t="str">
        <f>IF(SUM(F17:N17)-E17=0,"OK","prob")</f>
        <v>OK</v>
      </c>
      <c r="E17" s="649">
        <v>0</v>
      </c>
      <c r="F17" s="649">
        <v>0</v>
      </c>
      <c r="G17" s="649">
        <v>0</v>
      </c>
      <c r="H17" s="649">
        <v>0</v>
      </c>
      <c r="I17" s="649">
        <v>0</v>
      </c>
      <c r="J17" s="649">
        <v>0</v>
      </c>
      <c r="K17" s="649">
        <v>0</v>
      </c>
      <c r="L17" s="649"/>
      <c r="M17" s="649">
        <v>0</v>
      </c>
      <c r="N17" s="649">
        <v>0</v>
      </c>
      <c r="O17" s="1829">
        <v>0</v>
      </c>
      <c r="P17" s="1829">
        <v>0</v>
      </c>
      <c r="Q17" s="1829">
        <v>0</v>
      </c>
      <c r="R17" s="1829">
        <v>0</v>
      </c>
      <c r="S17" s="1829">
        <v>0</v>
      </c>
      <c r="T17" s="1829">
        <v>0</v>
      </c>
      <c r="U17" s="1829">
        <v>0</v>
      </c>
      <c r="V17" s="1829">
        <v>0</v>
      </c>
      <c r="W17" s="1829">
        <v>0</v>
      </c>
      <c r="X17" s="1829">
        <v>0</v>
      </c>
      <c r="Y17" s="1829">
        <v>0</v>
      </c>
      <c r="Z17" s="1829">
        <v>0</v>
      </c>
      <c r="AA17" s="1829">
        <v>0</v>
      </c>
      <c r="AB17" s="1829">
        <v>0</v>
      </c>
      <c r="AC17" s="1829">
        <v>0</v>
      </c>
      <c r="AD17" s="1829">
        <v>0</v>
      </c>
      <c r="AE17" s="1829">
        <v>0</v>
      </c>
      <c r="AF17" s="1829">
        <v>0</v>
      </c>
      <c r="AG17" s="393">
        <v>0</v>
      </c>
      <c r="AH17" s="397"/>
    </row>
    <row r="18" spans="1:34" x14ac:dyDescent="0.2">
      <c r="A18" s="335"/>
      <c r="B18" s="335" t="s">
        <v>198</v>
      </c>
      <c r="C18" s="335"/>
      <c r="E18" s="649"/>
      <c r="F18" s="649"/>
      <c r="G18" s="649"/>
      <c r="H18" s="649"/>
      <c r="I18" s="649"/>
      <c r="J18" s="649"/>
      <c r="K18" s="649"/>
      <c r="L18" s="649"/>
      <c r="M18" s="649"/>
      <c r="N18" s="649"/>
      <c r="O18" s="2011"/>
      <c r="P18" s="1987"/>
      <c r="Q18" s="1987"/>
      <c r="R18" s="1829"/>
      <c r="S18" s="1829"/>
      <c r="T18" s="1829"/>
      <c r="U18" s="1829"/>
      <c r="V18" s="649"/>
      <c r="W18" s="649"/>
      <c r="X18" s="649"/>
      <c r="Y18" s="649"/>
      <c r="Z18" s="649"/>
      <c r="AA18" s="649"/>
      <c r="AB18" s="649"/>
      <c r="AC18" s="649"/>
      <c r="AD18" s="649"/>
      <c r="AE18" s="649"/>
      <c r="AF18" s="649"/>
      <c r="AG18" s="649"/>
    </row>
    <row r="19" spans="1:34" x14ac:dyDescent="0.2">
      <c r="A19" s="335">
        <v>1110</v>
      </c>
      <c r="B19" s="3007" t="s">
        <v>199</v>
      </c>
      <c r="C19" s="3007"/>
      <c r="D19" t="str">
        <f>IF(ROUND(SUM(F19:N19),2)-ROUND(E19,2)=0,"OK","prob")</f>
        <v>OK</v>
      </c>
      <c r="E19" s="649">
        <v>436155307.06999999</v>
      </c>
      <c r="F19" s="649">
        <v>247546044.11000001</v>
      </c>
      <c r="G19" s="649">
        <v>35456780</v>
      </c>
      <c r="H19" s="649">
        <v>0</v>
      </c>
      <c r="I19" s="649">
        <v>121468438.2</v>
      </c>
      <c r="J19" s="649">
        <v>3707675.98</v>
      </c>
      <c r="K19" s="649">
        <v>11827923.08</v>
      </c>
      <c r="L19" s="649"/>
      <c r="M19" s="649">
        <v>4490348.91</v>
      </c>
      <c r="N19" s="649">
        <v>11658096.789999999</v>
      </c>
      <c r="O19" s="1829">
        <v>3560856.84</v>
      </c>
      <c r="P19" s="1829">
        <v>145410579.75</v>
      </c>
      <c r="Q19" s="1829">
        <v>62704834.82</v>
      </c>
      <c r="R19" s="1829">
        <v>7296952.4199999999</v>
      </c>
      <c r="S19" s="1829">
        <v>6411934.8700000001</v>
      </c>
      <c r="T19" s="1829">
        <v>1657236.07</v>
      </c>
      <c r="U19" s="1829">
        <v>5242082.84</v>
      </c>
      <c r="V19" s="1829">
        <v>36662522.640000001</v>
      </c>
      <c r="W19" s="1829">
        <v>2236818.44</v>
      </c>
      <c r="X19" s="1829">
        <v>3111919.47</v>
      </c>
      <c r="Y19" s="1829">
        <v>7828316.6299999999</v>
      </c>
      <c r="Z19" s="1829">
        <v>945810.77</v>
      </c>
      <c r="AA19" s="1829">
        <v>1545013.01</v>
      </c>
      <c r="AB19" s="1829">
        <v>384251.08</v>
      </c>
      <c r="AC19" s="1829">
        <v>6323551.5</v>
      </c>
      <c r="AD19" s="1829">
        <v>15079830.27</v>
      </c>
      <c r="AE19" s="1829">
        <v>7821.4</v>
      </c>
      <c r="AF19" s="1829">
        <v>303946.71999999997</v>
      </c>
      <c r="AG19" s="649">
        <v>116839.22</v>
      </c>
    </row>
    <row r="20" spans="1:34" x14ac:dyDescent="0.2">
      <c r="A20" s="335">
        <v>1120</v>
      </c>
      <c r="B20" s="3007" t="s">
        <v>312</v>
      </c>
      <c r="C20" s="3007"/>
      <c r="D20" t="str">
        <f>IF(SUM(F20:N20)-E20=0,"OK","prob")</f>
        <v>OK</v>
      </c>
      <c r="E20" s="649">
        <v>0</v>
      </c>
      <c r="F20" s="649">
        <v>0</v>
      </c>
      <c r="G20" s="649">
        <v>0</v>
      </c>
      <c r="H20" s="649">
        <v>0</v>
      </c>
      <c r="I20" s="649">
        <v>0</v>
      </c>
      <c r="J20" s="649">
        <v>0</v>
      </c>
      <c r="K20" s="649">
        <v>0</v>
      </c>
      <c r="L20" s="649"/>
      <c r="M20" s="649">
        <v>0</v>
      </c>
      <c r="N20" s="649">
        <v>0</v>
      </c>
      <c r="O20" s="1829">
        <v>2537400.91</v>
      </c>
      <c r="P20" s="1829">
        <v>83049008.680000007</v>
      </c>
      <c r="Q20" s="1829">
        <v>38112159.770000003</v>
      </c>
      <c r="R20" s="1829">
        <v>8626364.8800000008</v>
      </c>
      <c r="S20" s="1829">
        <v>15951602.390000001</v>
      </c>
      <c r="T20" s="1829">
        <v>269452.52</v>
      </c>
      <c r="U20" s="1829">
        <v>960185.87</v>
      </c>
      <c r="V20" s="1829">
        <v>2891755.24</v>
      </c>
      <c r="W20" s="1829">
        <v>10532172.42</v>
      </c>
      <c r="X20" s="1829">
        <v>1422230.68</v>
      </c>
      <c r="Y20" s="1829">
        <v>5142469.2300000004</v>
      </c>
      <c r="Z20" s="1829">
        <v>2851556.03</v>
      </c>
      <c r="AA20" s="1829">
        <v>2497743.0499999998</v>
      </c>
      <c r="AB20" s="1829">
        <v>1510412.27</v>
      </c>
      <c r="AC20" s="1829">
        <v>6920086.6799999997</v>
      </c>
      <c r="AD20" s="1829">
        <v>0</v>
      </c>
      <c r="AE20" s="1829">
        <v>0</v>
      </c>
      <c r="AF20" s="1829">
        <v>0</v>
      </c>
      <c r="AG20" s="649">
        <v>0</v>
      </c>
    </row>
    <row r="21" spans="1:34" x14ac:dyDescent="0.2">
      <c r="A21" s="335">
        <v>1130</v>
      </c>
      <c r="B21" s="3007" t="s">
        <v>200</v>
      </c>
      <c r="C21" s="3007"/>
      <c r="D21" t="str">
        <f>IF(SUM(F21:N21)-E21=0,"OK","prob")</f>
        <v>OK</v>
      </c>
      <c r="E21" s="649">
        <v>0</v>
      </c>
      <c r="F21" s="649">
        <v>0</v>
      </c>
      <c r="G21" s="649">
        <v>0</v>
      </c>
      <c r="H21" s="649">
        <v>0</v>
      </c>
      <c r="I21" s="649">
        <v>0</v>
      </c>
      <c r="J21" s="649">
        <v>0</v>
      </c>
      <c r="K21" s="649">
        <v>0</v>
      </c>
      <c r="L21" s="649"/>
      <c r="M21" s="649">
        <v>0</v>
      </c>
      <c r="N21" s="649">
        <v>0</v>
      </c>
      <c r="O21" s="1829">
        <v>0</v>
      </c>
      <c r="P21" s="1829">
        <v>1220589.25</v>
      </c>
      <c r="Q21" s="1829">
        <v>26996.04</v>
      </c>
      <c r="R21" s="1829">
        <v>106236.23</v>
      </c>
      <c r="S21" s="1829">
        <v>83225.45</v>
      </c>
      <c r="T21" s="1829">
        <v>155908.56</v>
      </c>
      <c r="U21" s="1829">
        <v>79126.399999999994</v>
      </c>
      <c r="V21" s="1829">
        <v>627057.30000000005</v>
      </c>
      <c r="W21" s="1829">
        <v>16198.01</v>
      </c>
      <c r="X21" s="1829">
        <v>78216.33</v>
      </c>
      <c r="Y21" s="1829">
        <v>36578.720000000001</v>
      </c>
      <c r="Z21" s="1829">
        <v>0</v>
      </c>
      <c r="AA21" s="1829">
        <v>247952.09</v>
      </c>
      <c r="AB21" s="1829">
        <v>0</v>
      </c>
      <c r="AC21" s="1829">
        <v>7929.62</v>
      </c>
      <c r="AD21" s="1829">
        <v>423052.83</v>
      </c>
      <c r="AE21" s="1829">
        <v>0</v>
      </c>
      <c r="AF21" s="1829">
        <v>0</v>
      </c>
      <c r="AG21" s="649">
        <v>0</v>
      </c>
    </row>
    <row r="22" spans="1:34" x14ac:dyDescent="0.2">
      <c r="A22" s="335">
        <v>1160</v>
      </c>
      <c r="B22" s="3007" t="s">
        <v>637</v>
      </c>
      <c r="C22" s="3007"/>
      <c r="D22" t="str">
        <f>IF(SUM(F22:N22)-E22=0,"OK","prob")</f>
        <v>OK</v>
      </c>
      <c r="E22" s="649">
        <v>158280210.78</v>
      </c>
      <c r="F22" s="649">
        <v>54453258.399999999</v>
      </c>
      <c r="G22" s="649">
        <v>14372110</v>
      </c>
      <c r="H22" s="649">
        <v>0</v>
      </c>
      <c r="I22" s="649">
        <v>10588662.050000001</v>
      </c>
      <c r="J22" s="649">
        <v>647181.94999999995</v>
      </c>
      <c r="K22" s="649">
        <v>73588591.180000007</v>
      </c>
      <c r="L22" s="649"/>
      <c r="M22" s="649">
        <v>1962343.19</v>
      </c>
      <c r="N22" s="649">
        <v>2668064.0099999998</v>
      </c>
      <c r="O22" s="1829">
        <v>120145.46</v>
      </c>
      <c r="P22" s="1829">
        <v>43822791.579999998</v>
      </c>
      <c r="Q22" s="1829">
        <v>21060.89</v>
      </c>
      <c r="R22" s="1829">
        <v>2632351.6800000002</v>
      </c>
      <c r="S22" s="1829">
        <v>37517.25</v>
      </c>
      <c r="T22" s="1829">
        <v>743.67</v>
      </c>
      <c r="U22" s="1829">
        <v>3164926.49</v>
      </c>
      <c r="V22" s="1829">
        <v>11313634.630000001</v>
      </c>
      <c r="W22" s="1829">
        <v>1893507.28</v>
      </c>
      <c r="X22" s="1829">
        <v>983910.3</v>
      </c>
      <c r="Y22" s="1829">
        <v>6832111.2699999996</v>
      </c>
      <c r="Z22" s="1829">
        <v>69282.28</v>
      </c>
      <c r="AA22" s="1829">
        <v>512.20000000000005</v>
      </c>
      <c r="AB22" s="1829">
        <v>94435.64</v>
      </c>
      <c r="AC22" s="1829">
        <v>305056.01</v>
      </c>
      <c r="AD22" s="1829">
        <v>1351600.08</v>
      </c>
      <c r="AE22" s="1829">
        <v>31668.32</v>
      </c>
      <c r="AF22" s="1829">
        <v>0</v>
      </c>
      <c r="AG22" s="649">
        <v>0</v>
      </c>
    </row>
    <row r="23" spans="1:34" x14ac:dyDescent="0.2">
      <c r="A23" s="335">
        <v>1175</v>
      </c>
      <c r="B23" s="2876" t="s">
        <v>4815</v>
      </c>
      <c r="C23" s="2876"/>
      <c r="D23" t="str">
        <f>IF(SUM(F23:N23)-E23=0,"OK","prob")</f>
        <v>OK</v>
      </c>
      <c r="E23" s="649">
        <v>0</v>
      </c>
      <c r="F23" s="649">
        <v>0</v>
      </c>
      <c r="G23" s="649">
        <v>0</v>
      </c>
      <c r="H23" s="649">
        <v>0</v>
      </c>
      <c r="I23" s="649">
        <v>0</v>
      </c>
      <c r="J23" s="649">
        <v>0</v>
      </c>
      <c r="K23" s="649">
        <v>0</v>
      </c>
      <c r="L23" s="649"/>
      <c r="M23" s="649">
        <v>0</v>
      </c>
      <c r="N23" s="649">
        <v>0</v>
      </c>
      <c r="O23" s="2086">
        <v>205690.75</v>
      </c>
      <c r="P23" s="1829">
        <v>0</v>
      </c>
      <c r="Q23" s="1829">
        <v>0</v>
      </c>
      <c r="R23" s="1829">
        <v>0</v>
      </c>
      <c r="S23" s="1829">
        <v>0</v>
      </c>
      <c r="T23" s="1829">
        <v>0</v>
      </c>
      <c r="U23" s="1829">
        <v>0</v>
      </c>
      <c r="V23" s="1829">
        <v>0</v>
      </c>
      <c r="W23" s="1829">
        <v>0</v>
      </c>
      <c r="X23" s="1829">
        <v>0</v>
      </c>
      <c r="Y23" s="1829">
        <v>0</v>
      </c>
      <c r="Z23" s="1829">
        <v>0</v>
      </c>
      <c r="AA23" s="1829">
        <v>0</v>
      </c>
      <c r="AB23" s="1829">
        <v>0</v>
      </c>
      <c r="AC23" s="1829">
        <v>0</v>
      </c>
      <c r="AD23" s="1829">
        <v>0</v>
      </c>
      <c r="AE23" s="1829">
        <v>0</v>
      </c>
      <c r="AF23" s="1829">
        <v>0</v>
      </c>
      <c r="AG23" s="649">
        <v>0</v>
      </c>
    </row>
    <row r="24" spans="1:34" x14ac:dyDescent="0.2">
      <c r="A24" s="1129">
        <v>1190</v>
      </c>
      <c r="B24" s="2876" t="s">
        <v>638</v>
      </c>
      <c r="C24" s="2876"/>
      <c r="D24" t="str">
        <f>IF(ROUND(SUM(F24:N24),2)-ROUND(E24,2)=0,"OK","prob")</f>
        <v>OK</v>
      </c>
      <c r="E24" s="1823">
        <v>308879930.94999999</v>
      </c>
      <c r="F24" s="1823">
        <v>170739520.5</v>
      </c>
      <c r="G24" s="1823">
        <v>87221028.930000007</v>
      </c>
      <c r="H24" s="1823">
        <v>0</v>
      </c>
      <c r="I24" s="1823">
        <v>40365436.609999999</v>
      </c>
      <c r="J24" s="1823">
        <v>1159085.8899999999</v>
      </c>
      <c r="K24" s="1823">
        <v>4922426.2</v>
      </c>
      <c r="L24" s="1823"/>
      <c r="M24" s="1823">
        <v>0</v>
      </c>
      <c r="N24" s="1823">
        <v>4472432.82</v>
      </c>
      <c r="O24" s="2021">
        <v>1150969.17</v>
      </c>
      <c r="P24" s="2021">
        <v>156987721.56999999</v>
      </c>
      <c r="Q24" s="2021">
        <v>1687334.85</v>
      </c>
      <c r="R24" s="2021">
        <v>0</v>
      </c>
      <c r="S24" s="2021">
        <v>0</v>
      </c>
      <c r="T24" s="2021">
        <v>0</v>
      </c>
      <c r="U24" s="2021">
        <v>0</v>
      </c>
      <c r="V24" s="2021">
        <v>0</v>
      </c>
      <c r="W24" s="2021">
        <v>0</v>
      </c>
      <c r="X24" s="2021">
        <v>0</v>
      </c>
      <c r="Y24" s="2021">
        <v>0</v>
      </c>
      <c r="Z24" s="2021">
        <v>0</v>
      </c>
      <c r="AA24" s="2021">
        <v>0</v>
      </c>
      <c r="AB24" s="2021">
        <v>0</v>
      </c>
      <c r="AC24" s="2021">
        <v>0</v>
      </c>
      <c r="AD24" s="2021">
        <v>0</v>
      </c>
      <c r="AE24" s="2021">
        <v>0</v>
      </c>
      <c r="AF24" s="2021">
        <v>0</v>
      </c>
      <c r="AG24" s="1036">
        <v>0</v>
      </c>
    </row>
    <row r="25" spans="1:34" x14ac:dyDescent="0.2">
      <c r="A25" s="1129">
        <v>1195</v>
      </c>
      <c r="B25" s="2876" t="s">
        <v>1531</v>
      </c>
      <c r="C25" s="2876"/>
      <c r="D25" t="str">
        <f t="shared" ref="D25:D37" si="0">IF(SUM(F25:N25)-E25=0,"OK","prob")</f>
        <v>OK</v>
      </c>
      <c r="E25" s="1823">
        <v>0</v>
      </c>
      <c r="F25" s="1823">
        <v>0</v>
      </c>
      <c r="G25" s="1823">
        <v>0</v>
      </c>
      <c r="H25" s="1823">
        <v>0</v>
      </c>
      <c r="I25" s="1823">
        <v>0</v>
      </c>
      <c r="J25" s="1823">
        <v>0</v>
      </c>
      <c r="K25" s="1823">
        <v>0</v>
      </c>
      <c r="L25" s="1823"/>
      <c r="M25" s="1823">
        <v>0</v>
      </c>
      <c r="N25" s="1823">
        <v>0</v>
      </c>
      <c r="O25" s="2021">
        <v>0</v>
      </c>
      <c r="P25" s="2021">
        <v>0</v>
      </c>
      <c r="Q25" s="2021">
        <v>3674049.77</v>
      </c>
      <c r="R25" s="2021">
        <v>0</v>
      </c>
      <c r="S25" s="2021">
        <v>0</v>
      </c>
      <c r="T25" s="2021">
        <v>0</v>
      </c>
      <c r="U25" s="2021">
        <v>0</v>
      </c>
      <c r="V25" s="2021">
        <v>47867.32</v>
      </c>
      <c r="W25" s="2021">
        <v>1382676.52</v>
      </c>
      <c r="X25" s="2021">
        <v>0</v>
      </c>
      <c r="Y25" s="2021">
        <v>0</v>
      </c>
      <c r="Z25" s="2021">
        <v>0</v>
      </c>
      <c r="AA25" s="2021">
        <v>0</v>
      </c>
      <c r="AB25" s="2021">
        <v>0</v>
      </c>
      <c r="AC25" s="2021">
        <v>0</v>
      </c>
      <c r="AD25" s="2021">
        <v>125595.73</v>
      </c>
      <c r="AE25" s="2021">
        <v>47465.97</v>
      </c>
      <c r="AF25" s="2021">
        <v>0</v>
      </c>
      <c r="AG25" s="1036">
        <v>0</v>
      </c>
    </row>
    <row r="26" spans="1:34" x14ac:dyDescent="0.2">
      <c r="A26" s="1129">
        <v>1200</v>
      </c>
      <c r="B26" s="2876" t="s">
        <v>361</v>
      </c>
      <c r="C26" s="2876"/>
      <c r="D26" t="str">
        <f t="shared" si="0"/>
        <v>OK</v>
      </c>
      <c r="E26" s="1823">
        <v>3074845</v>
      </c>
      <c r="F26" s="1823">
        <v>3074845</v>
      </c>
      <c r="G26" s="1823">
        <v>0</v>
      </c>
      <c r="H26" s="1823">
        <v>0</v>
      </c>
      <c r="I26" s="1823">
        <v>0</v>
      </c>
      <c r="J26" s="1823">
        <v>0</v>
      </c>
      <c r="K26" s="1823">
        <v>0</v>
      </c>
      <c r="L26" s="1823"/>
      <c r="M26" s="1823">
        <v>0</v>
      </c>
      <c r="N26" s="1823">
        <v>0</v>
      </c>
      <c r="O26" s="2021">
        <v>0</v>
      </c>
      <c r="P26" s="2021">
        <v>2636894.39</v>
      </c>
      <c r="Q26" s="2021">
        <v>2179535</v>
      </c>
      <c r="R26" s="2021">
        <v>0</v>
      </c>
      <c r="S26" s="2021">
        <v>0</v>
      </c>
      <c r="T26" s="2021">
        <v>0</v>
      </c>
      <c r="U26" s="2021">
        <v>26324753</v>
      </c>
      <c r="V26" s="2021">
        <v>0</v>
      </c>
      <c r="W26" s="2021">
        <v>0</v>
      </c>
      <c r="X26" s="2021">
        <v>0</v>
      </c>
      <c r="Y26" s="2021">
        <v>0</v>
      </c>
      <c r="Z26" s="2021">
        <v>0</v>
      </c>
      <c r="AA26" s="2021">
        <v>0</v>
      </c>
      <c r="AB26" s="2021">
        <v>0</v>
      </c>
      <c r="AC26" s="2021">
        <v>0</v>
      </c>
      <c r="AD26" s="2021">
        <v>0</v>
      </c>
      <c r="AE26" s="2021">
        <v>0</v>
      </c>
      <c r="AF26" s="2021">
        <v>0</v>
      </c>
      <c r="AG26" s="1036">
        <v>0</v>
      </c>
    </row>
    <row r="27" spans="1:34" x14ac:dyDescent="0.2">
      <c r="A27" s="335">
        <v>1220</v>
      </c>
      <c r="B27" s="2876" t="s">
        <v>931</v>
      </c>
      <c r="C27" s="2876"/>
      <c r="D27" t="str">
        <f t="shared" si="0"/>
        <v>OK</v>
      </c>
      <c r="E27" s="649">
        <v>123587374.59</v>
      </c>
      <c r="F27" s="649">
        <v>95691405.209999993</v>
      </c>
      <c r="G27" s="649">
        <v>199783</v>
      </c>
      <c r="H27" s="649">
        <v>0</v>
      </c>
      <c r="I27" s="649">
        <v>22048451.510000002</v>
      </c>
      <c r="J27" s="649">
        <v>669347.01</v>
      </c>
      <c r="K27" s="649">
        <v>0</v>
      </c>
      <c r="L27" s="649"/>
      <c r="M27" s="649">
        <v>1044053.73</v>
      </c>
      <c r="N27" s="649">
        <v>3934334.13</v>
      </c>
      <c r="O27" s="1829">
        <v>31913.68</v>
      </c>
      <c r="P27" s="1829">
        <v>21516297.539999999</v>
      </c>
      <c r="Q27" s="1829">
        <v>6777945.0099999998</v>
      </c>
      <c r="R27" s="1829">
        <v>582571.43000000005</v>
      </c>
      <c r="S27" s="1829">
        <v>377146.21</v>
      </c>
      <c r="T27" s="1829">
        <v>410117.61</v>
      </c>
      <c r="U27" s="1829">
        <v>454727.26</v>
      </c>
      <c r="V27" s="1829">
        <v>2740304.67</v>
      </c>
      <c r="W27" s="1829">
        <v>703096.21</v>
      </c>
      <c r="X27" s="1829">
        <v>7128388.3799999999</v>
      </c>
      <c r="Y27" s="1829">
        <v>12539690.67</v>
      </c>
      <c r="Z27" s="1829">
        <v>35510.9</v>
      </c>
      <c r="AA27" s="1829">
        <v>232777</v>
      </c>
      <c r="AB27" s="1829">
        <v>94843.06</v>
      </c>
      <c r="AC27" s="1829">
        <v>211794.57</v>
      </c>
      <c r="AD27" s="1829">
        <v>812612.72</v>
      </c>
      <c r="AE27" s="1829">
        <v>136030.73000000001</v>
      </c>
      <c r="AF27" s="1829">
        <v>0</v>
      </c>
      <c r="AG27" s="649">
        <v>278898.24</v>
      </c>
    </row>
    <row r="28" spans="1:34" x14ac:dyDescent="0.2">
      <c r="A28" s="335">
        <v>1230</v>
      </c>
      <c r="B28" s="2876" t="s">
        <v>631</v>
      </c>
      <c r="C28" s="2876"/>
      <c r="D28" s="2025" t="str">
        <f t="shared" si="0"/>
        <v>prob</v>
      </c>
      <c r="E28" s="649">
        <v>61220717.149999999</v>
      </c>
      <c r="F28" s="649">
        <v>192484316.96000001</v>
      </c>
      <c r="G28" s="649">
        <v>35305550.130000003</v>
      </c>
      <c r="H28" s="649">
        <v>0</v>
      </c>
      <c r="I28" s="649">
        <v>18472178.109999999</v>
      </c>
      <c r="J28" s="649">
        <v>517500.2</v>
      </c>
      <c r="K28" s="649">
        <v>2454001.6</v>
      </c>
      <c r="L28" s="649"/>
      <c r="M28" s="649">
        <v>605783.02</v>
      </c>
      <c r="N28" s="649">
        <v>2747276.13</v>
      </c>
      <c r="O28" s="1829">
        <v>2747974.09</v>
      </c>
      <c r="P28" s="1829">
        <v>21004536.460000001</v>
      </c>
      <c r="Q28" s="1829">
        <v>0</v>
      </c>
      <c r="R28" s="1829">
        <v>0</v>
      </c>
      <c r="S28" s="1829">
        <v>14019657.550000001</v>
      </c>
      <c r="T28" s="1829">
        <v>436058.5</v>
      </c>
      <c r="U28" s="1829">
        <v>56371.07</v>
      </c>
      <c r="V28" s="1829">
        <v>4315843.95</v>
      </c>
      <c r="W28" s="1829">
        <v>0</v>
      </c>
      <c r="X28" s="1829">
        <v>178832.22</v>
      </c>
      <c r="Y28" s="1829">
        <v>3202685.26</v>
      </c>
      <c r="Z28" s="1829">
        <v>0</v>
      </c>
      <c r="AA28" s="1829">
        <v>0</v>
      </c>
      <c r="AB28" s="1829">
        <v>379567.93</v>
      </c>
      <c r="AC28" s="1829">
        <v>294528.89</v>
      </c>
      <c r="AD28" s="1829">
        <v>0</v>
      </c>
      <c r="AE28" s="1829">
        <v>28282.32</v>
      </c>
      <c r="AF28" s="1829">
        <v>71347.460000000006</v>
      </c>
      <c r="AG28" s="649">
        <v>190535.99</v>
      </c>
    </row>
    <row r="29" spans="1:34" x14ac:dyDescent="0.2">
      <c r="A29" s="335">
        <v>1210</v>
      </c>
      <c r="B29" s="2876" t="s">
        <v>549</v>
      </c>
      <c r="C29" s="2876"/>
      <c r="D29" t="str">
        <f t="shared" si="0"/>
        <v>OK</v>
      </c>
      <c r="E29" s="649">
        <v>25583793.710000001</v>
      </c>
      <c r="F29" s="649">
        <v>0</v>
      </c>
      <c r="G29" s="649">
        <v>25460680</v>
      </c>
      <c r="H29" s="649">
        <v>0</v>
      </c>
      <c r="I29" s="649">
        <v>123113.71</v>
      </c>
      <c r="J29" s="649">
        <v>0</v>
      </c>
      <c r="K29" s="649">
        <v>0</v>
      </c>
      <c r="L29" s="649"/>
      <c r="M29" s="649">
        <v>0</v>
      </c>
      <c r="N29" s="649">
        <v>0</v>
      </c>
      <c r="O29" s="2086">
        <v>0</v>
      </c>
      <c r="P29" s="1829">
        <v>4143935.12</v>
      </c>
      <c r="Q29" s="1829">
        <v>2513071</v>
      </c>
      <c r="R29" s="1829">
        <v>862574.93</v>
      </c>
      <c r="S29" s="1829">
        <v>397019.77</v>
      </c>
      <c r="T29" s="1829">
        <v>310298.90000000002</v>
      </c>
      <c r="U29" s="1829">
        <v>547956.17000000004</v>
      </c>
      <c r="V29" s="1829">
        <v>1293812.23</v>
      </c>
      <c r="W29" s="1829">
        <v>25668.63</v>
      </c>
      <c r="X29" s="1829">
        <v>931800.6</v>
      </c>
      <c r="Y29" s="1829">
        <v>630389.06000000006</v>
      </c>
      <c r="Z29" s="1829">
        <v>14207.76</v>
      </c>
      <c r="AA29" s="1829">
        <v>4225.62</v>
      </c>
      <c r="AB29" s="1829">
        <v>6026.6</v>
      </c>
      <c r="AC29" s="1829">
        <v>0</v>
      </c>
      <c r="AD29" s="1829">
        <v>0</v>
      </c>
      <c r="AE29" s="1829">
        <v>0</v>
      </c>
      <c r="AF29" s="1829">
        <v>0</v>
      </c>
      <c r="AG29" s="649">
        <v>0</v>
      </c>
    </row>
    <row r="30" spans="1:34" x14ac:dyDescent="0.2">
      <c r="A30" s="2051">
        <v>1211</v>
      </c>
      <c r="B30" s="2974" t="s">
        <v>5517</v>
      </c>
      <c r="C30" s="2974"/>
      <c r="D30" t="str">
        <f t="shared" si="0"/>
        <v>OK</v>
      </c>
      <c r="E30" s="649">
        <v>0</v>
      </c>
      <c r="F30" s="649">
        <v>0</v>
      </c>
      <c r="G30" s="649">
        <v>0</v>
      </c>
      <c r="H30" s="649">
        <v>0</v>
      </c>
      <c r="I30" s="649">
        <v>0</v>
      </c>
      <c r="J30" s="649">
        <v>0</v>
      </c>
      <c r="K30" s="649">
        <v>0</v>
      </c>
      <c r="L30" s="649">
        <v>0</v>
      </c>
      <c r="M30" s="649">
        <v>0</v>
      </c>
      <c r="N30" s="649">
        <v>0</v>
      </c>
      <c r="O30" s="2086">
        <v>0</v>
      </c>
      <c r="P30" s="1829">
        <v>0</v>
      </c>
      <c r="Q30" s="1829">
        <v>0</v>
      </c>
      <c r="R30" s="1829">
        <v>0</v>
      </c>
      <c r="S30" s="1829">
        <v>0</v>
      </c>
      <c r="T30" s="1829">
        <v>0</v>
      </c>
      <c r="U30" s="1829">
        <v>0</v>
      </c>
      <c r="V30" s="1829">
        <v>0</v>
      </c>
      <c r="W30" s="1829">
        <v>0</v>
      </c>
      <c r="X30" s="1829">
        <v>0</v>
      </c>
      <c r="Y30" s="1829">
        <v>0</v>
      </c>
      <c r="Z30" s="1829">
        <v>0</v>
      </c>
      <c r="AA30" s="1829">
        <v>0</v>
      </c>
      <c r="AB30" s="1829">
        <v>0</v>
      </c>
      <c r="AC30" s="1829">
        <v>0</v>
      </c>
      <c r="AD30" s="1829">
        <v>0</v>
      </c>
      <c r="AE30" s="1829">
        <v>0</v>
      </c>
      <c r="AF30" s="1829">
        <v>0</v>
      </c>
      <c r="AG30" s="649">
        <v>0</v>
      </c>
    </row>
    <row r="31" spans="1:34" x14ac:dyDescent="0.2">
      <c r="A31" s="335">
        <v>1020</v>
      </c>
      <c r="B31" s="3009" t="s">
        <v>641</v>
      </c>
      <c r="C31" s="3009"/>
      <c r="D31" t="str">
        <f t="shared" si="0"/>
        <v>OK</v>
      </c>
      <c r="E31" s="649">
        <v>14534478.619999999</v>
      </c>
      <c r="F31" s="649">
        <v>99361</v>
      </c>
      <c r="G31" s="649">
        <v>0</v>
      </c>
      <c r="H31" s="649">
        <v>0</v>
      </c>
      <c r="I31" s="649">
        <v>14435117.619999999</v>
      </c>
      <c r="J31" s="649">
        <v>0</v>
      </c>
      <c r="K31" s="649">
        <v>0</v>
      </c>
      <c r="L31" s="649"/>
      <c r="M31" s="649">
        <v>0</v>
      </c>
      <c r="N31" s="649">
        <v>0</v>
      </c>
      <c r="O31" s="1829">
        <v>5257601.57</v>
      </c>
      <c r="P31" s="1829">
        <v>7766672.3899999997</v>
      </c>
      <c r="Q31" s="1829">
        <v>3612021.52</v>
      </c>
      <c r="R31" s="1829">
        <v>4222452.6900000004</v>
      </c>
      <c r="S31" s="1829">
        <v>854205.02</v>
      </c>
      <c r="T31" s="1829">
        <v>4419.0200000000004</v>
      </c>
      <c r="U31" s="1829">
        <v>455020.93</v>
      </c>
      <c r="V31" s="1829">
        <v>0</v>
      </c>
      <c r="W31" s="1829">
        <v>48904.03</v>
      </c>
      <c r="X31" s="1829">
        <v>763452.06</v>
      </c>
      <c r="Y31" s="1829">
        <v>15329.14</v>
      </c>
      <c r="Z31" s="1829">
        <v>15963696</v>
      </c>
      <c r="AA31" s="1829">
        <v>0</v>
      </c>
      <c r="AB31" s="1829">
        <v>0</v>
      </c>
      <c r="AC31" s="1829">
        <v>0</v>
      </c>
      <c r="AD31" s="1829">
        <v>262533.3</v>
      </c>
      <c r="AE31" s="1829">
        <v>1873222.67</v>
      </c>
      <c r="AF31" s="1829">
        <v>0</v>
      </c>
      <c r="AG31" s="649">
        <v>2698512.82</v>
      </c>
    </row>
    <row r="32" spans="1:34" x14ac:dyDescent="0.2">
      <c r="A32" s="335">
        <v>1030</v>
      </c>
      <c r="B32" s="2876" t="s">
        <v>1532</v>
      </c>
      <c r="C32" s="3009"/>
      <c r="D32" t="str">
        <f t="shared" si="0"/>
        <v>OK</v>
      </c>
      <c r="E32" s="649">
        <v>1382273</v>
      </c>
      <c r="F32" s="649">
        <v>1382273</v>
      </c>
      <c r="G32" s="649">
        <v>0</v>
      </c>
      <c r="H32" s="649">
        <v>0</v>
      </c>
      <c r="I32" s="649">
        <v>0</v>
      </c>
      <c r="J32" s="649">
        <v>0</v>
      </c>
      <c r="K32" s="649">
        <v>0</v>
      </c>
      <c r="L32" s="649"/>
      <c r="M32" s="649">
        <v>0</v>
      </c>
      <c r="N32" s="649">
        <v>0</v>
      </c>
      <c r="O32" s="1829">
        <v>121485152.22</v>
      </c>
      <c r="P32" s="1829">
        <v>346373702.19</v>
      </c>
      <c r="Q32" s="1829">
        <v>173545741.25999999</v>
      </c>
      <c r="R32" s="1829">
        <v>23385750.620000001</v>
      </c>
      <c r="S32" s="1829">
        <v>39722628.219999999</v>
      </c>
      <c r="T32" s="1829">
        <v>2121657.7200000002</v>
      </c>
      <c r="U32" s="1829">
        <v>37620786.270000003</v>
      </c>
      <c r="V32" s="1829">
        <v>50464306.060000002</v>
      </c>
      <c r="W32" s="1829">
        <v>24074781.079999998</v>
      </c>
      <c r="X32" s="1829">
        <v>34090529.450000003</v>
      </c>
      <c r="Y32" s="1829">
        <v>36455774.619999997</v>
      </c>
      <c r="Z32" s="1829">
        <v>0</v>
      </c>
      <c r="AA32" s="1829">
        <v>9340705.1799999997</v>
      </c>
      <c r="AB32" s="1829">
        <v>5150537.67</v>
      </c>
      <c r="AC32" s="1829">
        <v>7596800.7000000002</v>
      </c>
      <c r="AD32" s="1829">
        <v>13265243.58</v>
      </c>
      <c r="AE32" s="1829">
        <v>11377900.49</v>
      </c>
      <c r="AF32" s="1829">
        <v>0</v>
      </c>
      <c r="AG32" s="649">
        <v>0</v>
      </c>
    </row>
    <row r="33" spans="1:35" x14ac:dyDescent="0.2">
      <c r="A33" s="335">
        <v>1070</v>
      </c>
      <c r="B33" s="2876" t="s">
        <v>426</v>
      </c>
      <c r="C33" s="2876"/>
      <c r="D33" t="str">
        <f t="shared" si="0"/>
        <v>OK</v>
      </c>
      <c r="E33" s="649">
        <v>0</v>
      </c>
      <c r="F33" s="649">
        <v>0</v>
      </c>
      <c r="G33" s="649">
        <v>0</v>
      </c>
      <c r="H33" s="649">
        <v>0</v>
      </c>
      <c r="I33" s="649">
        <v>0</v>
      </c>
      <c r="J33" s="649">
        <v>0</v>
      </c>
      <c r="K33" s="649">
        <v>0</v>
      </c>
      <c r="L33" s="649"/>
      <c r="M33" s="649">
        <v>0</v>
      </c>
      <c r="N33" s="649">
        <v>0</v>
      </c>
      <c r="O33" s="1829">
        <v>0</v>
      </c>
      <c r="P33" s="1829">
        <v>152658924.02000001</v>
      </c>
      <c r="Q33" s="1829">
        <v>0</v>
      </c>
      <c r="R33" s="1829">
        <v>9366418.4499999993</v>
      </c>
      <c r="S33" s="1829">
        <v>0</v>
      </c>
      <c r="T33" s="1829">
        <v>402.48</v>
      </c>
      <c r="U33" s="1829">
        <v>0</v>
      </c>
      <c r="V33" s="1829">
        <v>0</v>
      </c>
      <c r="W33" s="1829">
        <v>90539</v>
      </c>
      <c r="X33" s="1829">
        <v>0</v>
      </c>
      <c r="Y33" s="1829">
        <v>0</v>
      </c>
      <c r="Z33" s="1829">
        <v>1462258.84</v>
      </c>
      <c r="AA33" s="1829">
        <v>2.78</v>
      </c>
      <c r="AB33" s="1829">
        <v>0</v>
      </c>
      <c r="AC33" s="1829">
        <v>0</v>
      </c>
      <c r="AD33" s="1829">
        <v>1899725.12</v>
      </c>
      <c r="AE33" s="1829">
        <v>0</v>
      </c>
      <c r="AF33" s="1829">
        <v>0</v>
      </c>
      <c r="AG33" s="649">
        <v>0</v>
      </c>
    </row>
    <row r="34" spans="1:35" x14ac:dyDescent="0.2">
      <c r="A34" s="335">
        <v>1232</v>
      </c>
      <c r="B34" s="2876" t="s">
        <v>1928</v>
      </c>
      <c r="C34" s="2876"/>
      <c r="D34" t="str">
        <f t="shared" si="0"/>
        <v>OK</v>
      </c>
      <c r="E34" s="649">
        <v>0</v>
      </c>
      <c r="F34" s="649">
        <v>0</v>
      </c>
      <c r="G34" s="649">
        <v>0</v>
      </c>
      <c r="H34" s="649">
        <v>0</v>
      </c>
      <c r="I34" s="649">
        <v>0</v>
      </c>
      <c r="J34" s="649">
        <v>0</v>
      </c>
      <c r="K34" s="649">
        <v>0</v>
      </c>
      <c r="L34" s="649"/>
      <c r="M34" s="649">
        <v>0</v>
      </c>
      <c r="N34" s="649">
        <v>0</v>
      </c>
      <c r="O34" s="1829">
        <v>0</v>
      </c>
      <c r="P34" s="1829">
        <v>0</v>
      </c>
      <c r="Q34" s="1829">
        <v>0</v>
      </c>
      <c r="R34" s="1829">
        <v>0</v>
      </c>
      <c r="S34" s="1829">
        <v>0</v>
      </c>
      <c r="T34" s="1829">
        <v>0</v>
      </c>
      <c r="U34" s="1829">
        <v>0</v>
      </c>
      <c r="V34" s="1829">
        <v>0</v>
      </c>
      <c r="W34" s="1829">
        <v>0</v>
      </c>
      <c r="X34" s="1829">
        <v>0</v>
      </c>
      <c r="Y34" s="1829">
        <v>0</v>
      </c>
      <c r="Z34" s="1829">
        <v>0</v>
      </c>
      <c r="AA34" s="1829">
        <v>0</v>
      </c>
      <c r="AB34" s="1829">
        <v>0</v>
      </c>
      <c r="AC34" s="1829">
        <v>0</v>
      </c>
      <c r="AD34" s="1829">
        <v>0</v>
      </c>
      <c r="AE34" s="1829">
        <v>0</v>
      </c>
      <c r="AF34" s="1829">
        <v>0</v>
      </c>
      <c r="AG34" s="649">
        <v>0</v>
      </c>
      <c r="AH34" s="649">
        <f>SUM(E34:AG34)</f>
        <v>0</v>
      </c>
    </row>
    <row r="35" spans="1:35" x14ac:dyDescent="0.2">
      <c r="A35" s="335">
        <v>1235</v>
      </c>
      <c r="B35" s="2876" t="s">
        <v>4445</v>
      </c>
      <c r="C35" s="2876"/>
      <c r="D35" t="str">
        <f t="shared" si="0"/>
        <v>OK</v>
      </c>
      <c r="E35" s="649">
        <v>0</v>
      </c>
      <c r="F35" s="649">
        <v>0</v>
      </c>
      <c r="G35" s="649">
        <v>0</v>
      </c>
      <c r="H35" s="649">
        <v>0</v>
      </c>
      <c r="I35" s="649">
        <v>0</v>
      </c>
      <c r="J35" s="649">
        <v>0</v>
      </c>
      <c r="K35" s="649">
        <v>0</v>
      </c>
      <c r="L35" s="649"/>
      <c r="M35" s="649">
        <v>0</v>
      </c>
      <c r="N35" s="649">
        <v>0</v>
      </c>
      <c r="O35" s="1829">
        <v>0</v>
      </c>
      <c r="P35" s="1829">
        <v>0</v>
      </c>
      <c r="Q35" s="1829">
        <v>0</v>
      </c>
      <c r="R35" s="1829">
        <v>0</v>
      </c>
      <c r="S35" s="1829">
        <v>0</v>
      </c>
      <c r="T35" s="1829">
        <v>0</v>
      </c>
      <c r="U35" s="1829">
        <v>0</v>
      </c>
      <c r="V35" s="1829">
        <v>0</v>
      </c>
      <c r="W35" s="1829">
        <v>0</v>
      </c>
      <c r="X35" s="1829">
        <v>0</v>
      </c>
      <c r="Y35" s="1829">
        <v>0</v>
      </c>
      <c r="Z35" s="1829">
        <v>0</v>
      </c>
      <c r="AA35" s="1829">
        <v>0</v>
      </c>
      <c r="AB35" s="1829">
        <v>0</v>
      </c>
      <c r="AC35" s="1829">
        <v>0</v>
      </c>
      <c r="AD35" s="1829">
        <v>0</v>
      </c>
      <c r="AE35" s="1829">
        <v>0</v>
      </c>
      <c r="AF35" s="1829">
        <v>0</v>
      </c>
      <c r="AG35" s="649">
        <v>0</v>
      </c>
      <c r="AH35" s="649"/>
    </row>
    <row r="36" spans="1:35" x14ac:dyDescent="0.2">
      <c r="A36" s="335">
        <v>1233</v>
      </c>
      <c r="B36" s="2876" t="s">
        <v>4441</v>
      </c>
      <c r="C36" s="2876"/>
      <c r="D36" t="str">
        <f t="shared" si="0"/>
        <v>OK</v>
      </c>
      <c r="E36" s="649">
        <v>0</v>
      </c>
      <c r="F36" s="649">
        <v>0</v>
      </c>
      <c r="G36" s="649">
        <v>0</v>
      </c>
      <c r="H36" s="649">
        <v>0</v>
      </c>
      <c r="I36" s="649">
        <v>0</v>
      </c>
      <c r="J36" s="649">
        <v>0</v>
      </c>
      <c r="K36" s="649">
        <v>0</v>
      </c>
      <c r="L36" s="649"/>
      <c r="M36" s="649">
        <v>0</v>
      </c>
      <c r="N36" s="649">
        <v>0</v>
      </c>
      <c r="O36" s="1829">
        <v>0</v>
      </c>
      <c r="P36" s="1829">
        <v>0</v>
      </c>
      <c r="Q36" s="1829">
        <v>0</v>
      </c>
      <c r="R36" s="1829">
        <v>0</v>
      </c>
      <c r="S36" s="1829">
        <v>0</v>
      </c>
      <c r="T36" s="1829">
        <v>0</v>
      </c>
      <c r="U36" s="1829">
        <v>0</v>
      </c>
      <c r="V36" s="1829">
        <v>0</v>
      </c>
      <c r="W36" s="1829">
        <v>0</v>
      </c>
      <c r="X36" s="1829">
        <v>0</v>
      </c>
      <c r="Y36" s="1829">
        <v>0</v>
      </c>
      <c r="Z36" s="1829">
        <v>0</v>
      </c>
      <c r="AA36" s="1829">
        <v>0</v>
      </c>
      <c r="AB36" s="1829">
        <v>0</v>
      </c>
      <c r="AC36" s="1829">
        <v>0</v>
      </c>
      <c r="AD36" s="1829">
        <v>0</v>
      </c>
      <c r="AE36" s="1829">
        <v>0</v>
      </c>
      <c r="AF36" s="1829">
        <v>0</v>
      </c>
      <c r="AG36" s="649">
        <v>0</v>
      </c>
      <c r="AH36" s="649"/>
    </row>
    <row r="37" spans="1:35" x14ac:dyDescent="0.2">
      <c r="B37" s="2876" t="s">
        <v>639</v>
      </c>
      <c r="C37" s="2876"/>
      <c r="D37" s="2025" t="str">
        <f t="shared" si="0"/>
        <v>prob</v>
      </c>
      <c r="E37" s="661">
        <f t="shared" ref="E37:AG37" si="1">SUM(E12:E36)</f>
        <v>1583685288.46</v>
      </c>
      <c r="F37" s="661">
        <f t="shared" si="1"/>
        <v>818411028.11000001</v>
      </c>
      <c r="G37" s="661">
        <f t="shared" si="1"/>
        <v>322044572.06</v>
      </c>
      <c r="H37" s="661">
        <f t="shared" si="1"/>
        <v>5196810</v>
      </c>
      <c r="I37" s="661">
        <f t="shared" si="1"/>
        <v>448897472.19</v>
      </c>
      <c r="J37" s="661">
        <f t="shared" si="1"/>
        <v>6952575.9699999997</v>
      </c>
      <c r="K37" s="661">
        <f t="shared" si="1"/>
        <v>114702960.84999999</v>
      </c>
      <c r="L37" s="661">
        <f t="shared" si="1"/>
        <v>0</v>
      </c>
      <c r="M37" s="661">
        <f t="shared" si="1"/>
        <v>18210765.489999998</v>
      </c>
      <c r="N37" s="661">
        <f t="shared" si="1"/>
        <v>40634992.789999999</v>
      </c>
      <c r="O37" s="706">
        <f t="shared" si="1"/>
        <v>151621145.15000001</v>
      </c>
      <c r="P37" s="661">
        <f t="shared" si="1"/>
        <v>2054701062.24</v>
      </c>
      <c r="Q37" s="661">
        <f t="shared" si="1"/>
        <v>487814496.85000002</v>
      </c>
      <c r="R37" s="661">
        <f t="shared" si="1"/>
        <v>191546138.25</v>
      </c>
      <c r="S37" s="661">
        <f t="shared" si="1"/>
        <v>399255168.54000002</v>
      </c>
      <c r="T37" s="661">
        <f t="shared" si="1"/>
        <v>23159269.550000001</v>
      </c>
      <c r="U37" s="661">
        <f t="shared" si="1"/>
        <v>200029822.96000001</v>
      </c>
      <c r="V37" s="661">
        <f t="shared" si="1"/>
        <v>380744879.67000002</v>
      </c>
      <c r="W37" s="661">
        <f t="shared" si="1"/>
        <v>152932063.41</v>
      </c>
      <c r="X37" s="661">
        <f t="shared" si="1"/>
        <v>178349421.25999999</v>
      </c>
      <c r="Y37" s="661">
        <f t="shared" si="1"/>
        <v>192527042.47999999</v>
      </c>
      <c r="Z37" s="661">
        <f t="shared" si="1"/>
        <v>45104070.579999998</v>
      </c>
      <c r="AA37" s="661">
        <f t="shared" si="1"/>
        <v>49647008.229999997</v>
      </c>
      <c r="AB37" s="661">
        <f t="shared" si="1"/>
        <v>26882710.079999998</v>
      </c>
      <c r="AC37" s="661">
        <f t="shared" si="1"/>
        <v>39572717.93</v>
      </c>
      <c r="AD37" s="661">
        <f t="shared" si="1"/>
        <v>56269584.170000002</v>
      </c>
      <c r="AE37" s="661">
        <f t="shared" si="1"/>
        <v>37493067.600000001</v>
      </c>
      <c r="AF37" s="661">
        <f t="shared" si="1"/>
        <v>2833754.43</v>
      </c>
      <c r="AG37" s="661">
        <f t="shared" si="1"/>
        <v>7316607.9100000001</v>
      </c>
    </row>
    <row r="38" spans="1:35" x14ac:dyDescent="0.2">
      <c r="B38" s="415"/>
      <c r="C38" s="415"/>
      <c r="E38" s="649"/>
      <c r="F38" s="649"/>
      <c r="G38" s="649"/>
      <c r="H38" s="649"/>
      <c r="I38" s="649"/>
      <c r="J38" s="649"/>
      <c r="K38" s="649"/>
      <c r="L38" s="649"/>
      <c r="M38" s="649"/>
      <c r="N38" s="649"/>
      <c r="O38" s="393"/>
      <c r="P38" s="649"/>
      <c r="Q38" s="649"/>
      <c r="R38" s="649"/>
      <c r="S38" s="649"/>
      <c r="T38" s="649"/>
      <c r="U38" s="649"/>
      <c r="V38" s="649"/>
      <c r="W38" s="649"/>
      <c r="X38" s="649"/>
      <c r="Y38" s="649"/>
      <c r="Z38" s="649"/>
      <c r="AA38" s="649"/>
      <c r="AB38" s="649"/>
      <c r="AC38" s="649"/>
      <c r="AD38" s="649"/>
      <c r="AE38" s="649"/>
      <c r="AF38" s="649"/>
      <c r="AG38" s="649"/>
    </row>
    <row r="39" spans="1:35" x14ac:dyDescent="0.2">
      <c r="B39" s="395" t="s">
        <v>640</v>
      </c>
      <c r="C39" s="395"/>
      <c r="E39" s="649"/>
      <c r="F39" s="649"/>
      <c r="G39" s="649"/>
      <c r="H39" s="649"/>
      <c r="I39" s="649"/>
      <c r="J39" s="649"/>
      <c r="K39" s="649"/>
      <c r="L39" s="649"/>
      <c r="M39" s="649"/>
      <c r="N39" s="649"/>
      <c r="O39" s="393"/>
      <c r="P39" s="649"/>
      <c r="Q39" s="649"/>
      <c r="R39" s="649"/>
      <c r="S39" s="649"/>
      <c r="T39" s="649"/>
      <c r="U39" s="649"/>
      <c r="V39" s="649"/>
      <c r="W39" s="649"/>
      <c r="X39" s="649"/>
      <c r="Y39" s="649"/>
      <c r="Z39" s="649"/>
      <c r="AA39" s="649"/>
      <c r="AB39" s="649"/>
      <c r="AC39" s="649"/>
      <c r="AD39" s="649"/>
      <c r="AE39" s="649"/>
      <c r="AF39" s="649"/>
      <c r="AG39" s="649"/>
    </row>
    <row r="40" spans="1:35" x14ac:dyDescent="0.2">
      <c r="A40" s="335">
        <v>1300</v>
      </c>
      <c r="B40" s="2876" t="s">
        <v>548</v>
      </c>
      <c r="C40" s="2876"/>
      <c r="D40" t="str">
        <f>IF(SUM(F40:N40)-E40=0,"OK","prob")</f>
        <v>OK</v>
      </c>
      <c r="E40" s="649">
        <v>2462081437.96</v>
      </c>
      <c r="F40" s="649">
        <v>1285584995.7</v>
      </c>
      <c r="G40" s="649">
        <v>543561770</v>
      </c>
      <c r="H40" s="649">
        <v>49321998</v>
      </c>
      <c r="I40" s="649">
        <v>583045987.16999996</v>
      </c>
      <c r="J40" s="649">
        <v>566687.09</v>
      </c>
      <c r="K40" s="649">
        <v>0</v>
      </c>
      <c r="L40" s="649"/>
      <c r="M40" s="649">
        <v>0</v>
      </c>
      <c r="N40" s="649">
        <v>0</v>
      </c>
      <c r="O40" s="2012">
        <v>0</v>
      </c>
      <c r="P40" s="2012">
        <v>41403893.549999997</v>
      </c>
      <c r="Q40" s="2012">
        <v>176462653.19</v>
      </c>
      <c r="R40" s="2012">
        <v>1507836.7</v>
      </c>
      <c r="S40" s="2012">
        <v>47149.32</v>
      </c>
      <c r="T40" s="2012">
        <v>0</v>
      </c>
      <c r="U40" s="2012">
        <v>6027739.7599999998</v>
      </c>
      <c r="V40" s="2012">
        <v>0</v>
      </c>
      <c r="W40" s="2012">
        <v>3174.85</v>
      </c>
      <c r="X40" s="2012">
        <v>1767473.61</v>
      </c>
      <c r="Y40" s="2012">
        <v>11250699.720000001</v>
      </c>
      <c r="Z40" s="2012">
        <v>0</v>
      </c>
      <c r="AA40" s="2012">
        <v>0</v>
      </c>
      <c r="AB40" s="2012">
        <v>11677247.17</v>
      </c>
      <c r="AC40" s="2012">
        <v>0</v>
      </c>
      <c r="AD40" s="2012">
        <v>0</v>
      </c>
      <c r="AE40" s="2012">
        <v>0</v>
      </c>
      <c r="AF40" s="2012">
        <v>0</v>
      </c>
      <c r="AG40" s="649">
        <v>0</v>
      </c>
      <c r="AI40" s="649">
        <f t="shared" ref="AI40:AI67" si="2">SUM(F40:AF40)</f>
        <v>2712229305.8299999</v>
      </c>
    </row>
    <row r="41" spans="1:35" x14ac:dyDescent="0.2">
      <c r="A41" s="335">
        <v>1310</v>
      </c>
      <c r="B41" s="2876" t="s">
        <v>1297</v>
      </c>
      <c r="C41" s="2876"/>
      <c r="D41" t="str">
        <f>IF(SUM(F41:N41)-E41=0,"OK","prob")</f>
        <v>OK</v>
      </c>
      <c r="E41" s="649">
        <v>0</v>
      </c>
      <c r="F41" s="649">
        <v>0</v>
      </c>
      <c r="G41" s="649">
        <v>0</v>
      </c>
      <c r="H41" s="649">
        <v>0</v>
      </c>
      <c r="I41" s="649">
        <v>0</v>
      </c>
      <c r="J41" s="649">
        <v>0</v>
      </c>
      <c r="K41" s="649">
        <v>0</v>
      </c>
      <c r="L41" s="649"/>
      <c r="M41" s="649">
        <v>0</v>
      </c>
      <c r="N41" s="649">
        <v>0</v>
      </c>
      <c r="O41" s="2012">
        <v>0</v>
      </c>
      <c r="P41" s="2012">
        <v>0</v>
      </c>
      <c r="Q41" s="2012">
        <v>0</v>
      </c>
      <c r="R41" s="2012">
        <v>0</v>
      </c>
      <c r="S41" s="2012">
        <v>0</v>
      </c>
      <c r="T41" s="2012">
        <v>0</v>
      </c>
      <c r="U41" s="2012">
        <v>0</v>
      </c>
      <c r="V41" s="2012">
        <v>0</v>
      </c>
      <c r="W41" s="2012">
        <v>0</v>
      </c>
      <c r="X41" s="2012">
        <v>0</v>
      </c>
      <c r="Y41" s="2012">
        <v>0</v>
      </c>
      <c r="Z41" s="2012">
        <v>0</v>
      </c>
      <c r="AA41" s="2012">
        <v>0</v>
      </c>
      <c r="AB41" s="2012">
        <v>0</v>
      </c>
      <c r="AC41" s="2012">
        <v>0</v>
      </c>
      <c r="AD41" s="2012">
        <v>0</v>
      </c>
      <c r="AE41" s="2012">
        <v>0</v>
      </c>
      <c r="AF41" s="2012">
        <v>0</v>
      </c>
      <c r="AG41" s="393">
        <v>0</v>
      </c>
      <c r="AI41" s="649">
        <f t="shared" si="2"/>
        <v>0</v>
      </c>
    </row>
    <row r="42" spans="1:35" x14ac:dyDescent="0.2">
      <c r="A42" s="335"/>
      <c r="B42" s="335" t="s">
        <v>198</v>
      </c>
      <c r="C42" s="335"/>
      <c r="E42" s="649"/>
      <c r="F42" s="649"/>
      <c r="G42" s="649"/>
      <c r="H42" s="649"/>
      <c r="I42" s="649"/>
      <c r="J42" s="649"/>
      <c r="K42" s="649"/>
      <c r="L42" s="649"/>
      <c r="M42" s="649"/>
      <c r="N42" s="649"/>
      <c r="O42" s="2012"/>
      <c r="P42" s="568"/>
      <c r="Q42" s="568"/>
      <c r="R42" s="568"/>
      <c r="S42" s="568"/>
      <c r="T42" s="568"/>
      <c r="U42" s="568"/>
      <c r="V42" s="568"/>
      <c r="W42" s="568"/>
      <c r="X42" s="568"/>
      <c r="Y42" s="568"/>
      <c r="Z42" s="568"/>
      <c r="AA42" s="568"/>
      <c r="AB42" s="568"/>
      <c r="AC42" s="568"/>
      <c r="AD42" s="568"/>
      <c r="AE42" s="568"/>
      <c r="AF42" s="568"/>
      <c r="AG42" s="649"/>
      <c r="AI42" s="649">
        <f t="shared" si="2"/>
        <v>0</v>
      </c>
    </row>
    <row r="43" spans="1:35" x14ac:dyDescent="0.2">
      <c r="A43" s="335">
        <v>1340</v>
      </c>
      <c r="B43" s="3007" t="s">
        <v>199</v>
      </c>
      <c r="C43" s="3007"/>
      <c r="D43" t="str">
        <f t="shared" ref="D43:D59" si="3">IF(SUM(F43:N43)-E43=0,"OK","prob")</f>
        <v>OK</v>
      </c>
      <c r="E43" s="649">
        <v>4728910.1100000003</v>
      </c>
      <c r="F43" s="649">
        <v>4728910.1100000003</v>
      </c>
      <c r="G43" s="649">
        <v>0</v>
      </c>
      <c r="H43" s="649">
        <v>0</v>
      </c>
      <c r="I43" s="649">
        <v>0</v>
      </c>
      <c r="J43" s="649">
        <v>0</v>
      </c>
      <c r="K43" s="649">
        <v>0</v>
      </c>
      <c r="L43" s="649"/>
      <c r="M43" s="649">
        <v>0</v>
      </c>
      <c r="N43" s="649">
        <v>0</v>
      </c>
      <c r="O43" s="2012">
        <v>0</v>
      </c>
      <c r="P43" s="2012">
        <v>0</v>
      </c>
      <c r="Q43" s="2012">
        <v>0</v>
      </c>
      <c r="R43" s="2012">
        <v>0</v>
      </c>
      <c r="S43" s="2012">
        <v>0</v>
      </c>
      <c r="T43" s="2012">
        <v>0</v>
      </c>
      <c r="U43" s="2012">
        <v>0</v>
      </c>
      <c r="V43" s="2012">
        <v>0</v>
      </c>
      <c r="W43" s="2012">
        <v>1894071.91</v>
      </c>
      <c r="X43" s="2012">
        <v>0</v>
      </c>
      <c r="Y43" s="2012">
        <v>0</v>
      </c>
      <c r="Z43" s="2012">
        <v>0</v>
      </c>
      <c r="AA43" s="2012">
        <v>0</v>
      </c>
      <c r="AB43" s="2012">
        <v>0</v>
      </c>
      <c r="AC43" s="2012">
        <v>16615</v>
      </c>
      <c r="AD43" s="2012">
        <v>0</v>
      </c>
      <c r="AE43" s="2012">
        <v>0</v>
      </c>
      <c r="AF43" s="2012">
        <v>0</v>
      </c>
      <c r="AG43" s="649">
        <v>0</v>
      </c>
      <c r="AI43" s="649">
        <f t="shared" si="2"/>
        <v>6639597.0199999996</v>
      </c>
    </row>
    <row r="44" spans="1:35" x14ac:dyDescent="0.2">
      <c r="A44" s="335">
        <v>1345</v>
      </c>
      <c r="B44" s="3007" t="s">
        <v>312</v>
      </c>
      <c r="C44" s="3007"/>
      <c r="D44" t="str">
        <f t="shared" si="3"/>
        <v>OK</v>
      </c>
      <c r="E44" s="649">
        <v>0</v>
      </c>
      <c r="F44" s="649">
        <v>0</v>
      </c>
      <c r="G44" s="649">
        <v>0</v>
      </c>
      <c r="H44" s="649">
        <v>0</v>
      </c>
      <c r="I44" s="649">
        <v>0</v>
      </c>
      <c r="J44" s="649">
        <v>0</v>
      </c>
      <c r="K44" s="649">
        <v>0</v>
      </c>
      <c r="L44" s="649"/>
      <c r="M44" s="649">
        <v>0</v>
      </c>
      <c r="N44" s="649">
        <v>0</v>
      </c>
      <c r="O44" s="2012">
        <v>0</v>
      </c>
      <c r="P44" s="2012">
        <v>0</v>
      </c>
      <c r="Q44" s="2012">
        <v>0</v>
      </c>
      <c r="R44" s="2012">
        <v>0</v>
      </c>
      <c r="S44" s="2012">
        <v>0</v>
      </c>
      <c r="T44" s="2012">
        <v>0</v>
      </c>
      <c r="U44" s="2012">
        <v>0</v>
      </c>
      <c r="V44" s="2012">
        <v>0</v>
      </c>
      <c r="W44" s="2012">
        <v>0</v>
      </c>
      <c r="X44" s="2012">
        <v>0</v>
      </c>
      <c r="Y44" s="2012">
        <v>0</v>
      </c>
      <c r="Z44" s="2012">
        <v>0</v>
      </c>
      <c r="AA44" s="2012">
        <v>0</v>
      </c>
      <c r="AB44" s="2012">
        <v>0</v>
      </c>
      <c r="AC44" s="2012">
        <v>0</v>
      </c>
      <c r="AD44" s="2012">
        <v>0</v>
      </c>
      <c r="AE44" s="2012">
        <v>0</v>
      </c>
      <c r="AF44" s="2012">
        <v>0</v>
      </c>
      <c r="AG44" s="649">
        <v>0</v>
      </c>
      <c r="AI44" s="649">
        <f t="shared" si="2"/>
        <v>0</v>
      </c>
    </row>
    <row r="45" spans="1:35" x14ac:dyDescent="0.2">
      <c r="A45" s="335">
        <v>1350</v>
      </c>
      <c r="B45" s="3007" t="s">
        <v>200</v>
      </c>
      <c r="C45" s="3007"/>
      <c r="D45" t="str">
        <f t="shared" si="3"/>
        <v>OK</v>
      </c>
      <c r="E45" s="649">
        <v>0</v>
      </c>
      <c r="F45" s="649">
        <v>0</v>
      </c>
      <c r="G45" s="649">
        <v>0</v>
      </c>
      <c r="H45" s="649">
        <v>0</v>
      </c>
      <c r="I45" s="649">
        <v>0</v>
      </c>
      <c r="J45" s="649">
        <v>0</v>
      </c>
      <c r="K45" s="649">
        <v>0</v>
      </c>
      <c r="L45" s="649"/>
      <c r="M45" s="649">
        <v>0</v>
      </c>
      <c r="N45" s="649">
        <v>0</v>
      </c>
      <c r="O45" s="2012">
        <v>0</v>
      </c>
      <c r="P45" s="2012">
        <v>0</v>
      </c>
      <c r="Q45" s="2012">
        <v>0</v>
      </c>
      <c r="R45" s="2012">
        <v>0</v>
      </c>
      <c r="S45" s="2012">
        <v>0</v>
      </c>
      <c r="T45" s="2012">
        <v>0</v>
      </c>
      <c r="U45" s="2012">
        <v>0</v>
      </c>
      <c r="V45" s="2012">
        <v>0</v>
      </c>
      <c r="W45" s="2012">
        <v>0</v>
      </c>
      <c r="X45" s="2012">
        <v>0</v>
      </c>
      <c r="Y45" s="2012">
        <v>0</v>
      </c>
      <c r="Z45" s="2012">
        <v>0</v>
      </c>
      <c r="AA45" s="2012">
        <v>0</v>
      </c>
      <c r="AB45" s="2012">
        <v>0</v>
      </c>
      <c r="AC45" s="2012">
        <v>0</v>
      </c>
      <c r="AD45" s="2012">
        <v>0</v>
      </c>
      <c r="AE45" s="2012">
        <v>0</v>
      </c>
      <c r="AF45" s="2012">
        <v>0</v>
      </c>
      <c r="AG45" s="649">
        <v>0</v>
      </c>
      <c r="AI45" s="649">
        <f t="shared" si="2"/>
        <v>0</v>
      </c>
    </row>
    <row r="46" spans="1:35" x14ac:dyDescent="0.2">
      <c r="A46" s="335">
        <v>1370</v>
      </c>
      <c r="B46" s="3007" t="s">
        <v>637</v>
      </c>
      <c r="C46" s="3007"/>
      <c r="D46" t="str">
        <f t="shared" si="3"/>
        <v>OK</v>
      </c>
      <c r="E46" s="649">
        <v>20127824.170000002</v>
      </c>
      <c r="F46" s="649">
        <v>16713536.75</v>
      </c>
      <c r="G46" s="649">
        <v>0</v>
      </c>
      <c r="H46" s="649">
        <v>0</v>
      </c>
      <c r="I46" s="649">
        <v>1521693.42</v>
      </c>
      <c r="J46" s="649">
        <v>0</v>
      </c>
      <c r="K46" s="649">
        <v>0</v>
      </c>
      <c r="L46" s="649"/>
      <c r="M46" s="649">
        <v>0</v>
      </c>
      <c r="N46" s="649">
        <v>1892594</v>
      </c>
      <c r="O46" s="2012">
        <v>0</v>
      </c>
      <c r="P46" s="2012">
        <v>64744881.969999999</v>
      </c>
      <c r="Q46" s="2012">
        <v>0</v>
      </c>
      <c r="R46" s="2012">
        <v>2831914.26</v>
      </c>
      <c r="S46" s="2012">
        <v>0</v>
      </c>
      <c r="T46" s="2012">
        <v>0</v>
      </c>
      <c r="U46" s="2012">
        <v>4462754.5</v>
      </c>
      <c r="V46" s="2012">
        <v>9180195.8900000006</v>
      </c>
      <c r="W46" s="2012">
        <v>0</v>
      </c>
      <c r="X46" s="2012">
        <v>598012.5</v>
      </c>
      <c r="Y46" s="2012">
        <v>13332372</v>
      </c>
      <c r="Z46" s="2012">
        <v>192510.31</v>
      </c>
      <c r="AA46" s="2012">
        <v>0</v>
      </c>
      <c r="AB46" s="2012">
        <v>0</v>
      </c>
      <c r="AC46" s="2012">
        <v>0</v>
      </c>
      <c r="AD46" s="2012">
        <v>0</v>
      </c>
      <c r="AE46" s="2012">
        <v>0</v>
      </c>
      <c r="AF46" s="2012">
        <v>0</v>
      </c>
      <c r="AG46" s="649">
        <v>0</v>
      </c>
      <c r="AI46" s="649">
        <f t="shared" si="2"/>
        <v>115470465.59999999</v>
      </c>
    </row>
    <row r="47" spans="1:35" x14ac:dyDescent="0.2">
      <c r="A47" s="335">
        <v>1400</v>
      </c>
      <c r="B47" s="2876" t="s">
        <v>549</v>
      </c>
      <c r="C47" s="2876"/>
      <c r="D47" t="str">
        <f t="shared" si="3"/>
        <v>OK</v>
      </c>
      <c r="E47" s="649">
        <v>19558770.359999999</v>
      </c>
      <c r="F47" s="649">
        <v>0</v>
      </c>
      <c r="G47" s="649">
        <v>16217367</v>
      </c>
      <c r="H47" s="649">
        <v>0</v>
      </c>
      <c r="I47" s="649">
        <v>3341403.36</v>
      </c>
      <c r="J47" s="649">
        <v>0</v>
      </c>
      <c r="K47" s="649">
        <v>0</v>
      </c>
      <c r="L47" s="649"/>
      <c r="M47" s="649">
        <v>0</v>
      </c>
      <c r="N47" s="649">
        <v>0</v>
      </c>
      <c r="O47" s="2012">
        <v>0</v>
      </c>
      <c r="P47" s="2012">
        <v>28988341.609999999</v>
      </c>
      <c r="Q47" s="2012">
        <v>3290511.34</v>
      </c>
      <c r="R47" s="2012">
        <v>896721.59</v>
      </c>
      <c r="S47" s="2012">
        <v>1834377</v>
      </c>
      <c r="T47" s="2012">
        <v>110436.7</v>
      </c>
      <c r="U47" s="2012">
        <v>1984833.79</v>
      </c>
      <c r="V47" s="2012">
        <v>5805431.71</v>
      </c>
      <c r="W47" s="2012">
        <v>161606.54</v>
      </c>
      <c r="X47" s="2012">
        <v>1874306.76</v>
      </c>
      <c r="Y47" s="2012">
        <v>979504.64000000001</v>
      </c>
      <c r="Z47" s="2012">
        <v>116745.35</v>
      </c>
      <c r="AA47" s="2012">
        <v>236236.86</v>
      </c>
      <c r="AB47" s="2012">
        <v>0</v>
      </c>
      <c r="AC47" s="2012">
        <v>668606.57999999996</v>
      </c>
      <c r="AD47" s="2012">
        <v>634360.03</v>
      </c>
      <c r="AE47" s="2012">
        <v>0</v>
      </c>
      <c r="AF47" s="2012">
        <v>0</v>
      </c>
      <c r="AG47" s="649">
        <v>0</v>
      </c>
      <c r="AI47" s="649">
        <f t="shared" si="2"/>
        <v>67140790.859999999</v>
      </c>
    </row>
    <row r="48" spans="1:35" x14ac:dyDescent="0.2">
      <c r="A48" s="2051">
        <v>1401</v>
      </c>
      <c r="B48" s="2974" t="s">
        <v>5517</v>
      </c>
      <c r="C48" s="2974"/>
      <c r="D48" t="str">
        <f t="shared" si="3"/>
        <v>OK</v>
      </c>
      <c r="E48" s="649">
        <v>0</v>
      </c>
      <c r="F48" s="649">
        <v>0</v>
      </c>
      <c r="G48" s="649">
        <v>0</v>
      </c>
      <c r="H48" s="649">
        <v>0</v>
      </c>
      <c r="I48" s="649">
        <v>0</v>
      </c>
      <c r="J48" s="649">
        <v>0</v>
      </c>
      <c r="K48" s="649">
        <v>0</v>
      </c>
      <c r="L48" s="649">
        <v>0</v>
      </c>
      <c r="M48" s="649">
        <v>0</v>
      </c>
      <c r="N48" s="649">
        <v>0</v>
      </c>
      <c r="O48" s="2012">
        <v>0</v>
      </c>
      <c r="P48" s="2012">
        <v>0</v>
      </c>
      <c r="Q48" s="2012">
        <v>0</v>
      </c>
      <c r="R48" s="2012">
        <v>0</v>
      </c>
      <c r="S48" s="2012">
        <v>0</v>
      </c>
      <c r="T48" s="2012">
        <v>0</v>
      </c>
      <c r="U48" s="2012">
        <v>0</v>
      </c>
      <c r="V48" s="2012">
        <v>0</v>
      </c>
      <c r="W48" s="2012">
        <v>0</v>
      </c>
      <c r="X48" s="2012">
        <v>0</v>
      </c>
      <c r="Y48" s="2012">
        <v>0</v>
      </c>
      <c r="Z48" s="2012">
        <v>0</v>
      </c>
      <c r="AA48" s="2012">
        <v>0</v>
      </c>
      <c r="AB48" s="2012">
        <v>0</v>
      </c>
      <c r="AC48" s="2012">
        <v>0</v>
      </c>
      <c r="AD48" s="2012">
        <v>0</v>
      </c>
      <c r="AE48" s="2012">
        <v>0</v>
      </c>
      <c r="AF48" s="2012">
        <v>0</v>
      </c>
      <c r="AG48" s="649">
        <v>0</v>
      </c>
      <c r="AI48" s="649"/>
    </row>
    <row r="49" spans="1:35" x14ac:dyDescent="0.2">
      <c r="A49" s="335">
        <v>1415</v>
      </c>
      <c r="B49" s="2876" t="s">
        <v>1417</v>
      </c>
      <c r="C49" s="2876"/>
      <c r="D49" t="str">
        <f t="shared" si="3"/>
        <v>OK</v>
      </c>
      <c r="E49" s="649">
        <v>181850946.61000001</v>
      </c>
      <c r="F49" s="649">
        <v>27313776.59</v>
      </c>
      <c r="G49" s="649">
        <v>110975389</v>
      </c>
      <c r="H49" s="649">
        <v>0</v>
      </c>
      <c r="I49" s="649">
        <v>43327148.810000002</v>
      </c>
      <c r="J49" s="649">
        <v>0</v>
      </c>
      <c r="K49" s="649">
        <v>0</v>
      </c>
      <c r="L49" s="649"/>
      <c r="M49" s="649">
        <v>0</v>
      </c>
      <c r="N49" s="649">
        <v>234632.21</v>
      </c>
      <c r="O49" s="2012">
        <v>0</v>
      </c>
      <c r="P49" s="2012">
        <v>17516217.66</v>
      </c>
      <c r="Q49" s="2012">
        <v>0</v>
      </c>
      <c r="R49" s="2012">
        <v>0</v>
      </c>
      <c r="S49" s="2012">
        <v>0</v>
      </c>
      <c r="T49" s="2012">
        <v>0</v>
      </c>
      <c r="U49" s="2012">
        <v>0</v>
      </c>
      <c r="V49" s="2012">
        <v>267715.02</v>
      </c>
      <c r="W49" s="2012">
        <v>0</v>
      </c>
      <c r="X49" s="2012">
        <v>0</v>
      </c>
      <c r="Y49" s="2012">
        <v>0</v>
      </c>
      <c r="Z49" s="2012">
        <v>0</v>
      </c>
      <c r="AA49" s="2012">
        <v>0</v>
      </c>
      <c r="AB49" s="2012">
        <v>0</v>
      </c>
      <c r="AC49" s="2012">
        <v>0</v>
      </c>
      <c r="AD49" s="2012">
        <v>0</v>
      </c>
      <c r="AE49" s="2012">
        <v>0</v>
      </c>
      <c r="AF49" s="2012">
        <v>0</v>
      </c>
      <c r="AG49" s="649">
        <v>0</v>
      </c>
      <c r="AI49" s="649">
        <f t="shared" si="2"/>
        <v>199634879.28999999</v>
      </c>
    </row>
    <row r="50" spans="1:35" x14ac:dyDescent="0.2">
      <c r="A50" s="335">
        <v>1420</v>
      </c>
      <c r="B50" s="2876" t="s">
        <v>631</v>
      </c>
      <c r="C50" s="2876"/>
      <c r="D50" t="str">
        <f t="shared" si="3"/>
        <v>OK</v>
      </c>
      <c r="E50" s="649">
        <v>46280578.57</v>
      </c>
      <c r="F50" s="649">
        <v>292108.17</v>
      </c>
      <c r="G50" s="649">
        <v>0</v>
      </c>
      <c r="H50" s="649">
        <v>0</v>
      </c>
      <c r="I50" s="649">
        <v>34443015.719999999</v>
      </c>
      <c r="J50" s="649">
        <v>834601.03</v>
      </c>
      <c r="K50" s="649">
        <v>3985654.07</v>
      </c>
      <c r="L50" s="649"/>
      <c r="M50" s="649">
        <v>1054968</v>
      </c>
      <c r="N50" s="649">
        <v>5670231.5800000001</v>
      </c>
      <c r="O50" s="2012">
        <v>0</v>
      </c>
      <c r="P50" s="2012">
        <v>0</v>
      </c>
      <c r="Q50" s="2012">
        <v>0</v>
      </c>
      <c r="R50" s="2012">
        <v>0</v>
      </c>
      <c r="S50" s="2012">
        <v>0</v>
      </c>
      <c r="T50" s="2012">
        <v>0</v>
      </c>
      <c r="U50" s="2012">
        <v>0</v>
      </c>
      <c r="V50" s="2012">
        <v>0</v>
      </c>
      <c r="W50" s="2012">
        <v>0</v>
      </c>
      <c r="X50" s="2012">
        <v>85785.03</v>
      </c>
      <c r="Y50" s="2012">
        <v>728941.74</v>
      </c>
      <c r="Z50" s="2012">
        <v>0</v>
      </c>
      <c r="AA50" s="2012">
        <v>0</v>
      </c>
      <c r="AB50" s="2012">
        <v>0</v>
      </c>
      <c r="AC50" s="2012">
        <v>0</v>
      </c>
      <c r="AD50" s="2012">
        <v>0</v>
      </c>
      <c r="AE50" s="2012">
        <v>0</v>
      </c>
      <c r="AF50" s="2012">
        <v>13488.65</v>
      </c>
      <c r="AG50" s="649">
        <v>0</v>
      </c>
      <c r="AI50" s="649">
        <f t="shared" si="2"/>
        <v>47108793.990000002</v>
      </c>
    </row>
    <row r="51" spans="1:35" x14ac:dyDescent="0.2">
      <c r="A51" s="335">
        <v>1270</v>
      </c>
      <c r="B51" s="2876" t="s">
        <v>641</v>
      </c>
      <c r="C51" s="2876"/>
      <c r="D51" t="str">
        <f t="shared" si="3"/>
        <v>OK</v>
      </c>
      <c r="E51" s="649">
        <v>65795900.329999998</v>
      </c>
      <c r="F51" s="649">
        <v>0</v>
      </c>
      <c r="G51" s="649">
        <v>0</v>
      </c>
      <c r="H51" s="649">
        <v>0</v>
      </c>
      <c r="I51" s="649">
        <v>65795900.329999998</v>
      </c>
      <c r="J51" s="649">
        <v>0</v>
      </c>
      <c r="K51" s="649">
        <v>0</v>
      </c>
      <c r="L51" s="649"/>
      <c r="M51" s="649">
        <v>0</v>
      </c>
      <c r="N51" s="649">
        <v>0</v>
      </c>
      <c r="O51" s="2012">
        <v>0</v>
      </c>
      <c r="P51" s="2012">
        <v>0</v>
      </c>
      <c r="Q51" s="2012">
        <v>403.98</v>
      </c>
      <c r="R51" s="2012">
        <v>237970.9</v>
      </c>
      <c r="S51" s="2012">
        <v>2428338.71</v>
      </c>
      <c r="T51" s="2012">
        <v>0</v>
      </c>
      <c r="U51" s="2012">
        <v>0</v>
      </c>
      <c r="V51" s="2012">
        <v>0</v>
      </c>
      <c r="W51" s="2012">
        <v>0</v>
      </c>
      <c r="X51" s="2012">
        <v>4459634.51</v>
      </c>
      <c r="Y51" s="2012">
        <v>63888376.170000002</v>
      </c>
      <c r="Z51" s="2012">
        <v>6894511.71</v>
      </c>
      <c r="AA51" s="2012">
        <v>0</v>
      </c>
      <c r="AB51" s="2012">
        <v>3324169.39</v>
      </c>
      <c r="AC51" s="2012">
        <v>0</v>
      </c>
      <c r="AD51" s="2012">
        <v>0</v>
      </c>
      <c r="AE51" s="2012">
        <v>0</v>
      </c>
      <c r="AF51" s="2012">
        <v>0</v>
      </c>
      <c r="AG51" s="649">
        <v>0</v>
      </c>
      <c r="AI51" s="649">
        <f t="shared" si="2"/>
        <v>147029305.69999999</v>
      </c>
    </row>
    <row r="52" spans="1:35" x14ac:dyDescent="0.2">
      <c r="A52" s="335">
        <v>1280</v>
      </c>
      <c r="B52" s="2876" t="s">
        <v>1422</v>
      </c>
      <c r="C52" s="2876"/>
      <c r="D52" t="str">
        <f t="shared" si="3"/>
        <v>OK</v>
      </c>
      <c r="E52" s="649">
        <v>152903052</v>
      </c>
      <c r="F52" s="649">
        <v>152903052</v>
      </c>
      <c r="G52" s="649">
        <v>0</v>
      </c>
      <c r="H52" s="649">
        <v>0</v>
      </c>
      <c r="I52" s="649">
        <v>0</v>
      </c>
      <c r="J52" s="649">
        <v>0</v>
      </c>
      <c r="K52" s="649">
        <v>0</v>
      </c>
      <c r="L52" s="649"/>
      <c r="M52" s="649">
        <v>0</v>
      </c>
      <c r="N52" s="649">
        <v>0</v>
      </c>
      <c r="O52" s="2012">
        <v>4441416.24</v>
      </c>
      <c r="P52" s="2012">
        <v>122400846.38</v>
      </c>
      <c r="Q52" s="2012">
        <v>163699179.87</v>
      </c>
      <c r="R52" s="2012">
        <v>7786279.4299999997</v>
      </c>
      <c r="S52" s="2012">
        <v>34337327.609999999</v>
      </c>
      <c r="T52" s="2012">
        <v>1598106.57</v>
      </c>
      <c r="U52" s="2012">
        <v>25384583.079999998</v>
      </c>
      <c r="V52" s="2012">
        <v>47151406.530000001</v>
      </c>
      <c r="W52" s="2012">
        <v>11579557.84</v>
      </c>
      <c r="X52" s="2012">
        <v>96528298.909999996</v>
      </c>
      <c r="Y52" s="2012">
        <v>11686904.73</v>
      </c>
      <c r="Z52" s="2012">
        <v>0</v>
      </c>
      <c r="AA52" s="2012">
        <v>3143648.22</v>
      </c>
      <c r="AB52" s="2012">
        <v>12708718.960000001</v>
      </c>
      <c r="AC52" s="2012">
        <v>5985451.6299999999</v>
      </c>
      <c r="AD52" s="2012">
        <v>16169569.439999999</v>
      </c>
      <c r="AE52" s="2012">
        <v>25343513.93</v>
      </c>
      <c r="AF52" s="2012">
        <v>0</v>
      </c>
      <c r="AG52" s="649">
        <v>0</v>
      </c>
      <c r="AI52" s="649">
        <f t="shared" si="2"/>
        <v>742847861.37</v>
      </c>
    </row>
    <row r="53" spans="1:35" x14ac:dyDescent="0.2">
      <c r="A53" s="335">
        <v>1410</v>
      </c>
      <c r="B53" s="2876" t="s">
        <v>642</v>
      </c>
      <c r="C53" s="2876"/>
      <c r="D53" t="str">
        <f t="shared" si="3"/>
        <v>OK</v>
      </c>
      <c r="E53" s="649">
        <v>406976764.37</v>
      </c>
      <c r="F53" s="649">
        <v>401983458.38</v>
      </c>
      <c r="G53" s="649">
        <v>0</v>
      </c>
      <c r="H53" s="649">
        <v>0</v>
      </c>
      <c r="I53" s="649">
        <v>4993305.99</v>
      </c>
      <c r="J53" s="649">
        <v>0</v>
      </c>
      <c r="K53" s="649">
        <v>0</v>
      </c>
      <c r="L53" s="649"/>
      <c r="M53" s="649">
        <v>0</v>
      </c>
      <c r="N53" s="649">
        <v>0</v>
      </c>
      <c r="O53" s="2012">
        <v>121639333.23</v>
      </c>
      <c r="P53" s="2022">
        <v>3173504846.46</v>
      </c>
      <c r="Q53" s="2012">
        <v>522702478.19</v>
      </c>
      <c r="R53" s="2012">
        <v>394717536.45999998</v>
      </c>
      <c r="S53" s="2012">
        <v>189603049.33000001</v>
      </c>
      <c r="T53" s="2012">
        <v>22110209.440000001</v>
      </c>
      <c r="U53" s="2012">
        <v>128598867.59</v>
      </c>
      <c r="V53" s="2012">
        <v>75002377.719999999</v>
      </c>
      <c r="W53" s="2012">
        <v>143143941.03</v>
      </c>
      <c r="X53" s="2012">
        <v>122773384.51000001</v>
      </c>
      <c r="Y53" s="2012">
        <v>176023984.86000001</v>
      </c>
      <c r="Z53" s="2012">
        <v>32803274.420000002</v>
      </c>
      <c r="AA53" s="2012">
        <v>50570115.689999998</v>
      </c>
      <c r="AB53" s="2012">
        <v>16932732.260000002</v>
      </c>
      <c r="AC53" s="2012">
        <v>28927328.190000001</v>
      </c>
      <c r="AD53" s="2012">
        <v>53951354.380000003</v>
      </c>
      <c r="AE53" s="2012">
        <v>40335395.299999997</v>
      </c>
      <c r="AF53" s="2012">
        <v>0</v>
      </c>
      <c r="AG53" s="649">
        <v>0</v>
      </c>
      <c r="AI53" s="649">
        <f t="shared" si="2"/>
        <v>5700316973.4300003</v>
      </c>
    </row>
    <row r="54" spans="1:35" x14ac:dyDescent="0.2">
      <c r="A54" s="335"/>
      <c r="B54" s="2876" t="s">
        <v>1224</v>
      </c>
      <c r="C54" s="2876"/>
      <c r="D54" t="str">
        <f t="shared" si="3"/>
        <v>OK</v>
      </c>
      <c r="E54" s="649"/>
      <c r="F54" s="393"/>
      <c r="G54" s="393"/>
      <c r="H54" s="393"/>
      <c r="I54" s="393"/>
      <c r="J54" s="393"/>
      <c r="K54" s="393"/>
      <c r="L54" s="393"/>
      <c r="M54" s="393"/>
      <c r="N54" s="393"/>
      <c r="O54" s="2012"/>
      <c r="P54" s="568"/>
      <c r="Q54" s="568"/>
      <c r="R54" s="568"/>
      <c r="S54" s="568"/>
      <c r="T54" s="568"/>
      <c r="U54" s="568"/>
      <c r="V54" s="568"/>
      <c r="W54" s="568"/>
      <c r="X54" s="568"/>
      <c r="Y54" s="568"/>
      <c r="Z54" s="568"/>
      <c r="AA54" s="568"/>
      <c r="AB54" s="568"/>
      <c r="AC54" s="568"/>
      <c r="AD54" s="568"/>
      <c r="AE54" s="568"/>
      <c r="AF54" s="568"/>
      <c r="AG54" s="393"/>
      <c r="AI54" s="649">
        <f t="shared" si="2"/>
        <v>0</v>
      </c>
    </row>
    <row r="55" spans="1:35" x14ac:dyDescent="0.2">
      <c r="A55" s="1129">
        <v>1395</v>
      </c>
      <c r="B55" s="2876" t="s">
        <v>1213</v>
      </c>
      <c r="C55" s="2876"/>
      <c r="D55" t="str">
        <f t="shared" si="3"/>
        <v>OK</v>
      </c>
      <c r="E55" s="1823">
        <v>0</v>
      </c>
      <c r="F55" s="1823">
        <v>0</v>
      </c>
      <c r="G55" s="1823">
        <v>0</v>
      </c>
      <c r="H55" s="1823">
        <v>0</v>
      </c>
      <c r="I55" s="1823">
        <v>0</v>
      </c>
      <c r="J55" s="1823">
        <v>0</v>
      </c>
      <c r="K55" s="1823">
        <v>0</v>
      </c>
      <c r="L55" s="1823"/>
      <c r="M55" s="1823">
        <v>0</v>
      </c>
      <c r="N55" s="1823">
        <v>0</v>
      </c>
      <c r="O55" s="2015">
        <v>0</v>
      </c>
      <c r="P55" s="2015">
        <v>0</v>
      </c>
      <c r="Q55" s="2015">
        <v>0</v>
      </c>
      <c r="R55" s="2015">
        <v>0</v>
      </c>
      <c r="S55" s="2015">
        <v>0</v>
      </c>
      <c r="T55" s="2015">
        <v>0</v>
      </c>
      <c r="U55" s="2015">
        <v>0</v>
      </c>
      <c r="V55" s="2015">
        <v>0</v>
      </c>
      <c r="W55" s="2015">
        <v>0</v>
      </c>
      <c r="X55" s="2015">
        <v>0</v>
      </c>
      <c r="Y55" s="2015">
        <v>0</v>
      </c>
      <c r="Z55" s="2015">
        <v>0</v>
      </c>
      <c r="AA55" s="2015">
        <v>0</v>
      </c>
      <c r="AB55" s="2015">
        <v>0</v>
      </c>
      <c r="AC55" s="2015">
        <v>0</v>
      </c>
      <c r="AD55" s="2015">
        <v>0</v>
      </c>
      <c r="AE55" s="2015">
        <v>0</v>
      </c>
      <c r="AF55" s="2015">
        <v>0</v>
      </c>
      <c r="AG55" s="1823">
        <v>0</v>
      </c>
      <c r="AI55" s="649">
        <f t="shared" si="2"/>
        <v>0</v>
      </c>
    </row>
    <row r="56" spans="1:35" x14ac:dyDescent="0.2">
      <c r="A56" s="1129">
        <v>1390</v>
      </c>
      <c r="B56" s="2876" t="s">
        <v>646</v>
      </c>
      <c r="C56" s="2876"/>
      <c r="D56" t="str">
        <f t="shared" si="3"/>
        <v>OK</v>
      </c>
      <c r="E56" s="1823">
        <v>0</v>
      </c>
      <c r="F56" s="1823">
        <v>0</v>
      </c>
      <c r="G56" s="1823">
        <v>0</v>
      </c>
      <c r="H56" s="1823">
        <v>0</v>
      </c>
      <c r="I56" s="1823">
        <v>0</v>
      </c>
      <c r="J56" s="1823">
        <v>0</v>
      </c>
      <c r="K56" s="1823">
        <v>0</v>
      </c>
      <c r="L56" s="1823"/>
      <c r="M56" s="1823">
        <v>0</v>
      </c>
      <c r="N56" s="1823">
        <v>0</v>
      </c>
      <c r="O56" s="2015">
        <v>0</v>
      </c>
      <c r="P56" s="2015">
        <v>0</v>
      </c>
      <c r="Q56" s="2015">
        <v>0</v>
      </c>
      <c r="R56" s="2015">
        <v>0</v>
      </c>
      <c r="S56" s="2015">
        <v>0</v>
      </c>
      <c r="T56" s="2015">
        <v>0</v>
      </c>
      <c r="U56" s="2015">
        <v>0</v>
      </c>
      <c r="V56" s="2015">
        <v>0</v>
      </c>
      <c r="W56" s="2015">
        <v>0</v>
      </c>
      <c r="X56" s="2015">
        <v>0</v>
      </c>
      <c r="Y56" s="2015">
        <v>0</v>
      </c>
      <c r="Z56" s="2015">
        <v>0</v>
      </c>
      <c r="AA56" s="2015">
        <v>0</v>
      </c>
      <c r="AB56" s="2015">
        <v>0</v>
      </c>
      <c r="AC56" s="2015">
        <v>0</v>
      </c>
      <c r="AD56" s="2015">
        <v>0</v>
      </c>
      <c r="AE56" s="2015">
        <v>0</v>
      </c>
      <c r="AF56" s="2015">
        <v>0</v>
      </c>
      <c r="AG56" s="1823">
        <v>0</v>
      </c>
      <c r="AI56" s="649">
        <f t="shared" si="2"/>
        <v>0</v>
      </c>
    </row>
    <row r="57" spans="1:35" x14ac:dyDescent="0.2">
      <c r="A57" s="335">
        <v>1432</v>
      </c>
      <c r="B57" s="2876" t="s">
        <v>1346</v>
      </c>
      <c r="C57" s="2876"/>
      <c r="D57" t="str">
        <f t="shared" si="3"/>
        <v>OK</v>
      </c>
      <c r="E57" s="649">
        <v>0</v>
      </c>
      <c r="F57" s="649">
        <v>0</v>
      </c>
      <c r="G57" s="649">
        <v>0</v>
      </c>
      <c r="H57" s="649">
        <v>0</v>
      </c>
      <c r="I57" s="649">
        <v>0</v>
      </c>
      <c r="J57" s="649">
        <v>0</v>
      </c>
      <c r="K57" s="649">
        <v>0</v>
      </c>
      <c r="L57" s="649"/>
      <c r="M57" s="649">
        <v>0</v>
      </c>
      <c r="N57" s="649">
        <v>0</v>
      </c>
      <c r="O57" s="2012">
        <v>0</v>
      </c>
      <c r="P57" s="2012">
        <v>0</v>
      </c>
      <c r="Q57" s="2012">
        <v>0</v>
      </c>
      <c r="R57" s="2012">
        <v>0</v>
      </c>
      <c r="S57" s="2012">
        <v>0</v>
      </c>
      <c r="T57" s="2012">
        <v>0</v>
      </c>
      <c r="U57" s="2012">
        <v>0</v>
      </c>
      <c r="V57" s="2012">
        <v>0</v>
      </c>
      <c r="W57" s="2012">
        <v>0</v>
      </c>
      <c r="X57" s="2012">
        <v>0</v>
      </c>
      <c r="Y57" s="2012">
        <v>0</v>
      </c>
      <c r="Z57" s="2012">
        <v>0</v>
      </c>
      <c r="AA57" s="2012">
        <v>0</v>
      </c>
      <c r="AB57" s="2012">
        <v>0</v>
      </c>
      <c r="AC57" s="2012">
        <v>0</v>
      </c>
      <c r="AD57" s="2012">
        <v>0</v>
      </c>
      <c r="AE57" s="2012">
        <v>0</v>
      </c>
      <c r="AF57" s="2012">
        <v>0</v>
      </c>
      <c r="AG57" s="649">
        <v>0</v>
      </c>
      <c r="AI57" s="649">
        <f t="shared" si="2"/>
        <v>0</v>
      </c>
    </row>
    <row r="58" spans="1:35" x14ac:dyDescent="0.2">
      <c r="A58" s="335">
        <v>1434</v>
      </c>
      <c r="B58" s="2876" t="s">
        <v>4445</v>
      </c>
      <c r="C58" s="2876"/>
      <c r="D58" t="str">
        <f t="shared" si="3"/>
        <v>OK</v>
      </c>
      <c r="E58" s="649">
        <v>0</v>
      </c>
      <c r="F58" s="649">
        <v>0</v>
      </c>
      <c r="G58" s="649">
        <v>0</v>
      </c>
      <c r="H58" s="649">
        <v>0</v>
      </c>
      <c r="I58" s="649">
        <v>0</v>
      </c>
      <c r="J58" s="649">
        <v>0</v>
      </c>
      <c r="K58" s="649">
        <v>0</v>
      </c>
      <c r="L58" s="649"/>
      <c r="M58" s="649">
        <v>0</v>
      </c>
      <c r="N58" s="649">
        <v>0</v>
      </c>
      <c r="O58" s="2012">
        <v>179780.09</v>
      </c>
      <c r="P58" s="2012">
        <v>1283580.25</v>
      </c>
      <c r="Q58" s="2012">
        <v>0</v>
      </c>
      <c r="R58" s="2012">
        <v>0</v>
      </c>
      <c r="S58" s="2012">
        <v>0</v>
      </c>
      <c r="T58" s="2012">
        <v>0</v>
      </c>
      <c r="U58" s="2012">
        <v>0</v>
      </c>
      <c r="V58" s="2012">
        <v>0</v>
      </c>
      <c r="W58" s="2012">
        <v>0</v>
      </c>
      <c r="X58" s="2012">
        <v>0</v>
      </c>
      <c r="Y58" s="2012">
        <v>2003261</v>
      </c>
      <c r="Z58" s="2012">
        <v>0</v>
      </c>
      <c r="AA58" s="2012">
        <v>0</v>
      </c>
      <c r="AB58" s="2012">
        <v>0</v>
      </c>
      <c r="AC58" s="2012">
        <v>0</v>
      </c>
      <c r="AD58" s="2012">
        <v>0</v>
      </c>
      <c r="AE58" s="2012">
        <v>0</v>
      </c>
      <c r="AF58" s="2012">
        <v>0</v>
      </c>
      <c r="AG58" s="649">
        <v>0</v>
      </c>
      <c r="AI58" s="649">
        <f t="shared" si="2"/>
        <v>3466621.34</v>
      </c>
    </row>
    <row r="59" spans="1:35" x14ac:dyDescent="0.2">
      <c r="A59" s="335">
        <v>1433</v>
      </c>
      <c r="B59" s="2876" t="s">
        <v>4441</v>
      </c>
      <c r="C59" s="2876"/>
      <c r="D59" t="str">
        <f t="shared" si="3"/>
        <v>OK</v>
      </c>
      <c r="E59" s="649">
        <v>2176844.17</v>
      </c>
      <c r="F59" s="649">
        <v>1732999.17</v>
      </c>
      <c r="G59" s="649">
        <v>443845</v>
      </c>
      <c r="H59" s="649">
        <v>0</v>
      </c>
      <c r="I59" s="649">
        <v>0</v>
      </c>
      <c r="J59" s="649">
        <v>0</v>
      </c>
      <c r="K59" s="649">
        <v>0</v>
      </c>
      <c r="L59" s="649"/>
      <c r="M59" s="649">
        <v>0</v>
      </c>
      <c r="N59" s="649">
        <v>0</v>
      </c>
      <c r="O59" s="2012">
        <v>87014</v>
      </c>
      <c r="P59" s="2012">
        <v>3489129</v>
      </c>
      <c r="Q59" s="2012">
        <v>1946380</v>
      </c>
      <c r="R59" s="2012">
        <v>514850</v>
      </c>
      <c r="S59" s="2012">
        <v>787458</v>
      </c>
      <c r="T59" s="2012">
        <v>120697</v>
      </c>
      <c r="U59" s="2012">
        <v>415950</v>
      </c>
      <c r="V59" s="2012">
        <v>1221364</v>
      </c>
      <c r="W59" s="2012">
        <v>303429</v>
      </c>
      <c r="X59" s="2012">
        <v>291617</v>
      </c>
      <c r="Y59" s="2012">
        <v>532589</v>
      </c>
      <c r="Z59" s="2012">
        <v>157588.01</v>
      </c>
      <c r="AA59" s="2012">
        <v>140685</v>
      </c>
      <c r="AB59" s="2012">
        <v>58039</v>
      </c>
      <c r="AC59" s="2012">
        <v>132957</v>
      </c>
      <c r="AD59" s="2012">
        <v>219902</v>
      </c>
      <c r="AE59" s="2012">
        <v>77397</v>
      </c>
      <c r="AF59" s="2012">
        <v>0</v>
      </c>
      <c r="AG59" s="649">
        <v>1504</v>
      </c>
      <c r="AI59" s="649">
        <f t="shared" si="2"/>
        <v>12673889.18</v>
      </c>
    </row>
    <row r="60" spans="1:35" x14ac:dyDescent="0.2">
      <c r="A60" s="335"/>
      <c r="B60" s="335" t="s">
        <v>1533</v>
      </c>
      <c r="C60" s="335"/>
      <c r="E60" s="649"/>
      <c r="F60" s="649"/>
      <c r="G60" s="649"/>
      <c r="H60" s="649"/>
      <c r="I60" s="649"/>
      <c r="J60" s="649"/>
      <c r="K60" s="649"/>
      <c r="L60" s="649"/>
      <c r="M60" s="649"/>
      <c r="N60" s="649"/>
      <c r="O60" s="2012"/>
      <c r="P60" s="649"/>
      <c r="Q60" s="568"/>
      <c r="R60" s="568"/>
      <c r="S60" s="568"/>
      <c r="T60" s="568"/>
      <c r="AC60" s="568"/>
      <c r="AG60" s="649"/>
      <c r="AI60" s="649">
        <f t="shared" si="2"/>
        <v>0</v>
      </c>
    </row>
    <row r="61" spans="1:35" x14ac:dyDescent="0.2">
      <c r="A61" s="1129">
        <v>1480</v>
      </c>
      <c r="B61" s="3007" t="s">
        <v>1407</v>
      </c>
      <c r="C61" s="3007"/>
      <c r="D61" t="str">
        <f t="shared" ref="D61:D67" si="4">IF(SUM(F61:N61)-E61=0,"OK","prob")</f>
        <v>OK</v>
      </c>
      <c r="E61" s="1823">
        <v>97224772.5</v>
      </c>
      <c r="F61" s="1823">
        <v>37867360</v>
      </c>
      <c r="G61" s="1823">
        <v>22580955</v>
      </c>
      <c r="H61" s="1823">
        <v>0</v>
      </c>
      <c r="I61" s="1823">
        <v>28920644</v>
      </c>
      <c r="J61" s="1823">
        <v>402081</v>
      </c>
      <c r="K61" s="1823">
        <v>0</v>
      </c>
      <c r="L61" s="1823"/>
      <c r="M61" s="1823">
        <v>3221580</v>
      </c>
      <c r="N61" s="1823">
        <v>4232152.5</v>
      </c>
      <c r="O61" s="2015">
        <v>802658</v>
      </c>
      <c r="P61" s="2015">
        <v>70302204.019999996</v>
      </c>
      <c r="Q61" s="2015">
        <v>78542761.129999995</v>
      </c>
      <c r="R61" s="2015">
        <v>50637031.289999999</v>
      </c>
      <c r="S61" s="2015">
        <v>12884085.439999999</v>
      </c>
      <c r="T61" s="2015">
        <v>10275310.619999999</v>
      </c>
      <c r="U61" s="2015">
        <v>14848968.369999999</v>
      </c>
      <c r="V61" s="2015">
        <v>52713163.049999997</v>
      </c>
      <c r="W61" s="2015">
        <v>13367021.289999999</v>
      </c>
      <c r="X61" s="2015">
        <v>15155111.34</v>
      </c>
      <c r="Y61" s="2015">
        <v>67526348.280000001</v>
      </c>
      <c r="Z61" s="2015">
        <v>4460325.29</v>
      </c>
      <c r="AA61" s="2015">
        <v>5231051.5599999996</v>
      </c>
      <c r="AB61" s="2015">
        <v>2230872.2000000002</v>
      </c>
      <c r="AC61" s="2015">
        <v>1766577.98</v>
      </c>
      <c r="AD61" s="2015">
        <v>11213084.85</v>
      </c>
      <c r="AE61" s="2015">
        <v>4313652.83</v>
      </c>
      <c r="AF61" s="2015">
        <v>0</v>
      </c>
      <c r="AG61" s="1823">
        <v>97425.8</v>
      </c>
      <c r="AI61" s="649">
        <f t="shared" si="2"/>
        <v>513495000.04000002</v>
      </c>
    </row>
    <row r="62" spans="1:35" x14ac:dyDescent="0.2">
      <c r="A62" s="1129">
        <v>1490</v>
      </c>
      <c r="B62" s="3007" t="s">
        <v>1408</v>
      </c>
      <c r="C62" s="3007"/>
      <c r="D62" t="str">
        <f t="shared" si="4"/>
        <v>OK</v>
      </c>
      <c r="E62" s="1823">
        <v>0</v>
      </c>
      <c r="F62" s="1823">
        <v>0</v>
      </c>
      <c r="G62" s="1823">
        <v>0</v>
      </c>
      <c r="H62" s="1823">
        <v>0</v>
      </c>
      <c r="I62" s="1823">
        <v>0</v>
      </c>
      <c r="J62" s="1823">
        <v>0</v>
      </c>
      <c r="K62" s="1823">
        <v>0</v>
      </c>
      <c r="L62" s="1823"/>
      <c r="M62" s="1823">
        <v>0</v>
      </c>
      <c r="N62" s="1823">
        <v>0</v>
      </c>
      <c r="O62" s="2330">
        <v>0</v>
      </c>
      <c r="P62" s="2015">
        <v>165557993.84999999</v>
      </c>
      <c r="Q62" s="2015">
        <v>0</v>
      </c>
      <c r="R62" s="2015">
        <v>24513160.030000001</v>
      </c>
      <c r="S62" s="2015">
        <v>37244739.280000001</v>
      </c>
      <c r="T62" s="2015">
        <v>226100</v>
      </c>
      <c r="U62" s="2015">
        <v>2173325</v>
      </c>
      <c r="V62" s="2015">
        <v>0</v>
      </c>
      <c r="W62" s="2015">
        <v>2563797</v>
      </c>
      <c r="X62" s="2015">
        <v>1712368.83</v>
      </c>
      <c r="Y62" s="2015">
        <v>4082763.76</v>
      </c>
      <c r="Z62" s="2015">
        <v>178729.87</v>
      </c>
      <c r="AA62" s="2015">
        <v>953772</v>
      </c>
      <c r="AB62" s="2015">
        <v>0</v>
      </c>
      <c r="AC62" s="2015">
        <v>0</v>
      </c>
      <c r="AD62" s="2015">
        <v>864840</v>
      </c>
      <c r="AE62" s="2015">
        <v>1853008.62</v>
      </c>
      <c r="AF62" s="2015">
        <v>0</v>
      </c>
      <c r="AG62" s="1823">
        <v>0</v>
      </c>
      <c r="AI62" s="649">
        <f t="shared" si="2"/>
        <v>241924598.24000001</v>
      </c>
    </row>
    <row r="63" spans="1:35" x14ac:dyDescent="0.2">
      <c r="A63" s="1129">
        <v>1500</v>
      </c>
      <c r="B63" s="3007" t="s">
        <v>1409</v>
      </c>
      <c r="C63" s="3007"/>
      <c r="D63" t="str">
        <f t="shared" si="4"/>
        <v>OK</v>
      </c>
      <c r="E63" s="1823">
        <v>489024840.75999999</v>
      </c>
      <c r="F63" s="1823">
        <v>254397164</v>
      </c>
      <c r="G63" s="1823">
        <v>14690797.67</v>
      </c>
      <c r="H63" s="1823">
        <v>0</v>
      </c>
      <c r="I63" s="1823">
        <v>211490373</v>
      </c>
      <c r="J63" s="1823">
        <v>334222</v>
      </c>
      <c r="K63" s="1823">
        <v>5098651</v>
      </c>
      <c r="L63" s="1823"/>
      <c r="M63" s="1823">
        <v>2975985.39</v>
      </c>
      <c r="N63" s="1823">
        <v>37647.699999999997</v>
      </c>
      <c r="O63" s="2015">
        <v>11332.82</v>
      </c>
      <c r="P63" s="2015">
        <v>145373665.09999999</v>
      </c>
      <c r="Q63" s="2015">
        <v>122538599.48999999</v>
      </c>
      <c r="R63" s="2015">
        <v>584412.41</v>
      </c>
      <c r="S63" s="2015">
        <v>93656545.799999997</v>
      </c>
      <c r="T63" s="2015">
        <v>18343120.969999999</v>
      </c>
      <c r="U63" s="2015">
        <v>25951647.850000001</v>
      </c>
      <c r="V63" s="2015">
        <v>84980166.329999998</v>
      </c>
      <c r="W63" s="2015">
        <v>81522588.400000006</v>
      </c>
      <c r="X63" s="2015">
        <v>155021437.75999999</v>
      </c>
      <c r="Y63" s="2015">
        <v>28898499.02</v>
      </c>
      <c r="Z63" s="2015">
        <v>38605176.530000001</v>
      </c>
      <c r="AA63" s="2015">
        <v>1296077.69</v>
      </c>
      <c r="AB63" s="2015">
        <v>1274823.31</v>
      </c>
      <c r="AC63" s="2015">
        <v>10828198.720000001</v>
      </c>
      <c r="AD63" s="2015">
        <v>54603245.689999998</v>
      </c>
      <c r="AE63" s="2015">
        <v>31800470.050000001</v>
      </c>
      <c r="AF63" s="2015">
        <v>85959.11</v>
      </c>
      <c r="AG63" s="1823">
        <v>72010.7</v>
      </c>
      <c r="AI63" s="649">
        <f t="shared" si="2"/>
        <v>1384400807.8099999</v>
      </c>
    </row>
    <row r="64" spans="1:35" x14ac:dyDescent="0.2">
      <c r="A64" s="1129">
        <v>1503</v>
      </c>
      <c r="B64" s="3007" t="s">
        <v>1534</v>
      </c>
      <c r="C64" s="3007"/>
      <c r="D64" t="str">
        <f t="shared" si="4"/>
        <v>OK</v>
      </c>
      <c r="E64" s="1823">
        <v>0</v>
      </c>
      <c r="F64" s="1823">
        <v>0</v>
      </c>
      <c r="G64" s="1823">
        <v>0</v>
      </c>
      <c r="H64" s="1823">
        <v>0</v>
      </c>
      <c r="I64" s="1823">
        <v>0</v>
      </c>
      <c r="J64" s="1823">
        <v>0</v>
      </c>
      <c r="K64" s="1823">
        <v>0</v>
      </c>
      <c r="L64" s="1823"/>
      <c r="M64" s="1823">
        <v>0</v>
      </c>
      <c r="N64" s="1823">
        <v>0</v>
      </c>
      <c r="O64" s="2330">
        <v>0</v>
      </c>
      <c r="P64" s="2015">
        <v>0</v>
      </c>
      <c r="Q64" s="2015">
        <v>712725.88</v>
      </c>
      <c r="R64" s="2015">
        <v>0</v>
      </c>
      <c r="S64" s="2015">
        <v>0</v>
      </c>
      <c r="T64" s="2015">
        <v>0</v>
      </c>
      <c r="U64" s="2015">
        <v>0</v>
      </c>
      <c r="V64" s="2015">
        <v>0</v>
      </c>
      <c r="W64" s="2015">
        <v>0</v>
      </c>
      <c r="X64" s="2015">
        <v>0</v>
      </c>
      <c r="Y64" s="2015">
        <v>0</v>
      </c>
      <c r="Z64" s="2015">
        <v>0</v>
      </c>
      <c r="AA64" s="2015">
        <v>0</v>
      </c>
      <c r="AB64" s="2015">
        <v>0</v>
      </c>
      <c r="AC64" s="2015">
        <v>0</v>
      </c>
      <c r="AD64" s="2015">
        <v>0</v>
      </c>
      <c r="AE64" s="2015">
        <v>0</v>
      </c>
      <c r="AF64" s="2015">
        <v>0</v>
      </c>
      <c r="AG64" s="1823">
        <v>0</v>
      </c>
      <c r="AI64" s="649">
        <f t="shared" si="2"/>
        <v>712725.88</v>
      </c>
    </row>
    <row r="65" spans="1:35" x14ac:dyDescent="0.2">
      <c r="A65" s="1129">
        <v>1505</v>
      </c>
      <c r="B65" s="3007" t="s">
        <v>1410</v>
      </c>
      <c r="C65" s="3007"/>
      <c r="D65" t="str">
        <f t="shared" si="4"/>
        <v>OK</v>
      </c>
      <c r="E65" s="1823">
        <v>0</v>
      </c>
      <c r="F65" s="1823">
        <v>0</v>
      </c>
      <c r="G65" s="1823">
        <v>0</v>
      </c>
      <c r="H65" s="1823">
        <v>0</v>
      </c>
      <c r="I65" s="1823">
        <v>0</v>
      </c>
      <c r="J65" s="1823">
        <v>0</v>
      </c>
      <c r="K65" s="1823">
        <v>0</v>
      </c>
      <c r="L65" s="1823"/>
      <c r="M65" s="1823">
        <v>0</v>
      </c>
      <c r="N65" s="1823">
        <v>0</v>
      </c>
      <c r="O65" s="2330">
        <v>0</v>
      </c>
      <c r="P65" s="2015">
        <v>0</v>
      </c>
      <c r="Q65" s="2015">
        <v>0</v>
      </c>
      <c r="R65" s="2015">
        <v>0</v>
      </c>
      <c r="S65" s="2015">
        <v>0</v>
      </c>
      <c r="T65" s="2015">
        <v>0</v>
      </c>
      <c r="U65" s="2015">
        <v>0</v>
      </c>
      <c r="V65" s="2015">
        <v>0</v>
      </c>
      <c r="W65" s="2015">
        <v>0</v>
      </c>
      <c r="X65" s="2015">
        <v>0</v>
      </c>
      <c r="Y65" s="2015">
        <v>0</v>
      </c>
      <c r="Z65" s="2015">
        <v>0</v>
      </c>
      <c r="AA65" s="2015">
        <v>0</v>
      </c>
      <c r="AB65" s="2015">
        <v>0</v>
      </c>
      <c r="AC65" s="2015">
        <v>0</v>
      </c>
      <c r="AD65" s="2015">
        <v>0</v>
      </c>
      <c r="AE65" s="2015">
        <v>0</v>
      </c>
      <c r="AF65" s="2015">
        <v>0</v>
      </c>
      <c r="AG65" s="1823">
        <v>0</v>
      </c>
      <c r="AI65" s="649">
        <f t="shared" si="2"/>
        <v>0</v>
      </c>
    </row>
    <row r="66" spans="1:35" x14ac:dyDescent="0.2">
      <c r="A66" s="1129">
        <v>1506</v>
      </c>
      <c r="B66" s="3007" t="s">
        <v>1806</v>
      </c>
      <c r="C66" s="3007"/>
      <c r="D66" t="str">
        <f t="shared" si="4"/>
        <v>OK</v>
      </c>
      <c r="E66" s="1823">
        <v>7704529</v>
      </c>
      <c r="F66" s="1823">
        <v>7704529</v>
      </c>
      <c r="G66" s="1823">
        <v>0</v>
      </c>
      <c r="H66" s="1823">
        <v>0</v>
      </c>
      <c r="I66" s="1823">
        <v>0</v>
      </c>
      <c r="J66" s="1823">
        <v>0</v>
      </c>
      <c r="K66" s="1823">
        <v>0</v>
      </c>
      <c r="L66" s="1823"/>
      <c r="M66" s="1823">
        <v>0</v>
      </c>
      <c r="N66" s="1823">
        <v>0</v>
      </c>
      <c r="O66" s="2330">
        <v>0</v>
      </c>
      <c r="P66" s="2015">
        <v>2212777</v>
      </c>
      <c r="Q66" s="2015">
        <v>0</v>
      </c>
      <c r="R66" s="2015">
        <v>0</v>
      </c>
      <c r="S66" s="2015">
        <v>0</v>
      </c>
      <c r="T66" s="2015">
        <v>0</v>
      </c>
      <c r="U66" s="2015">
        <v>0</v>
      </c>
      <c r="V66" s="2015">
        <v>0</v>
      </c>
      <c r="W66" s="2015">
        <v>0</v>
      </c>
      <c r="X66" s="2015">
        <v>0</v>
      </c>
      <c r="Y66" s="2015">
        <v>0</v>
      </c>
      <c r="Z66" s="2015">
        <v>0</v>
      </c>
      <c r="AA66" s="2015">
        <v>0</v>
      </c>
      <c r="AB66" s="2015">
        <v>0</v>
      </c>
      <c r="AC66" s="2015">
        <v>0</v>
      </c>
      <c r="AD66" s="2015">
        <v>0</v>
      </c>
      <c r="AE66" s="2015">
        <v>0</v>
      </c>
      <c r="AF66" s="2015">
        <v>0</v>
      </c>
      <c r="AG66" s="1823">
        <v>0</v>
      </c>
      <c r="AI66" s="649">
        <f t="shared" si="2"/>
        <v>9917306</v>
      </c>
    </row>
    <row r="67" spans="1:35" x14ac:dyDescent="0.2">
      <c r="A67" s="335"/>
      <c r="B67" s="2876" t="s">
        <v>1535</v>
      </c>
      <c r="C67" s="2876"/>
      <c r="D67" t="str">
        <f t="shared" si="4"/>
        <v>prob</v>
      </c>
      <c r="E67" s="661">
        <f t="shared" ref="E67:U67" si="5">SUM(E61:E66)</f>
        <v>593954142.25999999</v>
      </c>
      <c r="F67" s="661">
        <f t="shared" si="5"/>
        <v>299969053</v>
      </c>
      <c r="G67" s="661">
        <f t="shared" si="5"/>
        <v>37271752.670000002</v>
      </c>
      <c r="H67" s="661">
        <f t="shared" si="5"/>
        <v>0</v>
      </c>
      <c r="I67" s="661">
        <f t="shared" si="5"/>
        <v>240411017</v>
      </c>
      <c r="J67" s="661">
        <f t="shared" si="5"/>
        <v>736303</v>
      </c>
      <c r="K67" s="661">
        <f t="shared" si="5"/>
        <v>5098651</v>
      </c>
      <c r="L67" s="661">
        <f>SUM(L61:L66)</f>
        <v>0</v>
      </c>
      <c r="M67" s="661">
        <f>SUM(M61:M66)</f>
        <v>6197565.3899999997</v>
      </c>
      <c r="N67" s="661">
        <f>SUM(N61:N66)</f>
        <v>4269800.2</v>
      </c>
      <c r="O67" s="706">
        <f t="shared" si="5"/>
        <v>813990.82</v>
      </c>
      <c r="P67" s="661">
        <f t="shared" si="5"/>
        <v>383446639.97000003</v>
      </c>
      <c r="Q67" s="661">
        <f t="shared" si="5"/>
        <v>201794086.5</v>
      </c>
      <c r="R67" s="661">
        <f t="shared" si="5"/>
        <v>75734603.730000004</v>
      </c>
      <c r="S67" s="661">
        <f t="shared" si="5"/>
        <v>143785370.52000001</v>
      </c>
      <c r="T67" s="661">
        <f t="shared" si="5"/>
        <v>28844531.59</v>
      </c>
      <c r="U67" s="661">
        <f t="shared" si="5"/>
        <v>42973941.219999999</v>
      </c>
      <c r="V67" s="661">
        <f>SUM(V61:V66)</f>
        <v>137693329.38</v>
      </c>
      <c r="W67" s="661">
        <f t="shared" ref="W67:AG67" si="6">SUM(W61:W66)</f>
        <v>97453406.689999998</v>
      </c>
      <c r="X67" s="661">
        <f t="shared" si="6"/>
        <v>171888917.93000001</v>
      </c>
      <c r="Y67" s="661">
        <f>SUM(Y61:Y66)</f>
        <v>100507611.06</v>
      </c>
      <c r="Z67" s="661">
        <f t="shared" si="6"/>
        <v>43244231.689999998</v>
      </c>
      <c r="AA67" s="661">
        <f t="shared" si="6"/>
        <v>7480901.25</v>
      </c>
      <c r="AB67" s="661">
        <f t="shared" si="6"/>
        <v>3505695.51</v>
      </c>
      <c r="AC67" s="661">
        <f t="shared" si="6"/>
        <v>12594776.699999999</v>
      </c>
      <c r="AD67" s="661">
        <f t="shared" si="6"/>
        <v>66681170.539999999</v>
      </c>
      <c r="AE67" s="661">
        <f t="shared" si="6"/>
        <v>37967131.5</v>
      </c>
      <c r="AF67" s="661">
        <f t="shared" si="6"/>
        <v>85959.11</v>
      </c>
      <c r="AG67" s="661">
        <f t="shared" si="6"/>
        <v>169436.5</v>
      </c>
      <c r="AI67" s="649">
        <f t="shared" si="2"/>
        <v>2150450437.9699998</v>
      </c>
    </row>
    <row r="68" spans="1:35" x14ac:dyDescent="0.2">
      <c r="A68" s="335"/>
      <c r="B68" s="335" t="s">
        <v>1536</v>
      </c>
      <c r="C68" s="335"/>
      <c r="E68" s="649"/>
      <c r="F68" s="649"/>
      <c r="G68" s="649"/>
      <c r="H68" s="649"/>
      <c r="I68" s="649"/>
      <c r="J68" s="649"/>
      <c r="K68" s="649"/>
      <c r="L68" s="649"/>
      <c r="M68" s="649"/>
      <c r="N68" s="649"/>
      <c r="O68" s="393"/>
      <c r="P68" s="649"/>
      <c r="Q68" s="649"/>
      <c r="R68" s="649"/>
      <c r="S68" s="649"/>
      <c r="T68" s="649"/>
      <c r="U68" s="649"/>
      <c r="V68" s="649"/>
      <c r="W68" s="649"/>
      <c r="X68" s="649"/>
      <c r="Y68" s="649"/>
      <c r="Z68" s="649"/>
      <c r="AA68" s="649"/>
      <c r="AB68" s="649"/>
      <c r="AC68" s="649"/>
      <c r="AD68" s="649"/>
      <c r="AE68" s="649"/>
      <c r="AF68" s="649"/>
      <c r="AG68" s="649"/>
    </row>
    <row r="69" spans="1:35" x14ac:dyDescent="0.2">
      <c r="A69" s="1129">
        <v>1520</v>
      </c>
      <c r="B69" s="3007" t="s">
        <v>617</v>
      </c>
      <c r="C69" s="3007"/>
      <c r="D69" t="str">
        <f t="shared" ref="D69:D79" si="7">IF(SUM(F69:N69)-E69=0,"OK","prob")</f>
        <v>prob</v>
      </c>
      <c r="E69" s="1823">
        <v>1768784212.22</v>
      </c>
      <c r="F69" s="1823">
        <v>940938710</v>
      </c>
      <c r="G69" s="1823">
        <v>185231789.77000001</v>
      </c>
      <c r="H69" s="1823">
        <v>0</v>
      </c>
      <c r="I69" s="1823">
        <v>518150388</v>
      </c>
      <c r="J69" s="1823">
        <v>19518068</v>
      </c>
      <c r="K69" s="1823">
        <v>5793459.8600000003</v>
      </c>
      <c r="L69" s="1823"/>
      <c r="M69" s="1823">
        <v>10583773.970000001</v>
      </c>
      <c r="N69" s="1823">
        <v>88568022.620000005</v>
      </c>
      <c r="O69" s="1065">
        <v>84444447.109999999</v>
      </c>
      <c r="P69" s="1065">
        <v>3461421672.04</v>
      </c>
      <c r="Q69" s="1065">
        <v>2610874413.1399999</v>
      </c>
      <c r="R69" s="1065">
        <v>916393529.73000002</v>
      </c>
      <c r="S69" s="1065">
        <v>1324352865.26</v>
      </c>
      <c r="T69" s="1065">
        <v>301029654.99000001</v>
      </c>
      <c r="U69" s="1065">
        <v>799208779.50999999</v>
      </c>
      <c r="V69" s="1065">
        <v>1191556995.3699999</v>
      </c>
      <c r="W69" s="1065">
        <v>474023350.92000002</v>
      </c>
      <c r="X69" s="1065">
        <v>499706883.79000002</v>
      </c>
      <c r="Y69" s="1065">
        <v>910993053.64999998</v>
      </c>
      <c r="Z69" s="1065">
        <v>209231572.72</v>
      </c>
      <c r="AA69" s="1065">
        <v>333009619.37</v>
      </c>
      <c r="AB69" s="1065">
        <v>189298958.47</v>
      </c>
      <c r="AC69" s="1065">
        <v>203533046.69999999</v>
      </c>
      <c r="AD69" s="1065">
        <v>395634689.08999997</v>
      </c>
      <c r="AE69" s="1065">
        <v>160416235.03999999</v>
      </c>
      <c r="AF69" s="1065">
        <v>90911460.799999997</v>
      </c>
      <c r="AG69" s="1823">
        <v>1172596.54</v>
      </c>
      <c r="AI69" s="649">
        <f t="shared" ref="AI69:AI81" si="8">SUM(F69:AF69)</f>
        <v>15924825439.92</v>
      </c>
    </row>
    <row r="70" spans="1:35" x14ac:dyDescent="0.2">
      <c r="A70" s="1129">
        <v>1530</v>
      </c>
      <c r="B70" s="3007" t="s">
        <v>1411</v>
      </c>
      <c r="C70" s="3007"/>
      <c r="D70" t="str">
        <f t="shared" si="7"/>
        <v>OK</v>
      </c>
      <c r="E70" s="1823">
        <v>1122910686.8299999</v>
      </c>
      <c r="F70" s="1823">
        <v>497508490</v>
      </c>
      <c r="G70" s="1823">
        <v>182314275.63</v>
      </c>
      <c r="H70" s="1823">
        <v>0</v>
      </c>
      <c r="I70" s="1823">
        <v>346306952</v>
      </c>
      <c r="J70" s="1823">
        <v>16718340</v>
      </c>
      <c r="K70" s="1823">
        <v>4665553.5</v>
      </c>
      <c r="L70" s="1823"/>
      <c r="M70" s="1823">
        <v>7316927.4299999997</v>
      </c>
      <c r="N70" s="1823">
        <v>68080148.269999996</v>
      </c>
      <c r="O70" s="1065">
        <v>36088862.969999999</v>
      </c>
      <c r="P70" s="1065">
        <v>496036414.75</v>
      </c>
      <c r="Q70" s="1065">
        <v>449495349.13999999</v>
      </c>
      <c r="R70" s="1065">
        <v>68505367.780000001</v>
      </c>
      <c r="S70" s="1065">
        <v>139087829.68000001</v>
      </c>
      <c r="T70" s="1065">
        <v>10838528.75</v>
      </c>
      <c r="U70" s="1065">
        <v>60124617.850000001</v>
      </c>
      <c r="V70" s="1065">
        <v>178562497.43000001</v>
      </c>
      <c r="W70" s="1065">
        <v>90151963.620000005</v>
      </c>
      <c r="X70" s="1065">
        <v>48804274.859999999</v>
      </c>
      <c r="Y70" s="1065">
        <v>61028362.93</v>
      </c>
      <c r="Z70" s="1065">
        <v>36345909.700000003</v>
      </c>
      <c r="AA70" s="1065">
        <v>22036896.899999999</v>
      </c>
      <c r="AB70" s="1065">
        <v>17836812.100000001</v>
      </c>
      <c r="AC70" s="1065">
        <v>23540097.07</v>
      </c>
      <c r="AD70" s="1065">
        <v>49340878.619999997</v>
      </c>
      <c r="AE70" s="1065">
        <v>17862422.48</v>
      </c>
      <c r="AF70" s="1065">
        <v>11511026.039999999</v>
      </c>
      <c r="AG70" s="1823">
        <v>332029.03000000003</v>
      </c>
      <c r="AI70" s="649">
        <f t="shared" si="8"/>
        <v>2940108799.5</v>
      </c>
    </row>
    <row r="71" spans="1:35" x14ac:dyDescent="0.2">
      <c r="A71" s="1129">
        <v>1540</v>
      </c>
      <c r="B71" s="3007" t="s">
        <v>1537</v>
      </c>
      <c r="C71" s="3007"/>
      <c r="D71" t="str">
        <f t="shared" si="7"/>
        <v>OK</v>
      </c>
      <c r="E71" s="1823">
        <v>0</v>
      </c>
      <c r="F71" s="1823">
        <v>0</v>
      </c>
      <c r="G71" s="1823">
        <v>0</v>
      </c>
      <c r="H71" s="1823">
        <v>0</v>
      </c>
      <c r="I71" s="1823">
        <v>0</v>
      </c>
      <c r="J71" s="1823">
        <v>0</v>
      </c>
      <c r="K71" s="1823">
        <v>0</v>
      </c>
      <c r="L71" s="1823"/>
      <c r="M71" s="1823">
        <v>0</v>
      </c>
      <c r="N71" s="1823">
        <v>0</v>
      </c>
      <c r="O71" s="2331">
        <v>0</v>
      </c>
      <c r="P71" s="1065">
        <v>0</v>
      </c>
      <c r="Q71" s="1065">
        <v>0</v>
      </c>
      <c r="R71" s="1065">
        <v>0</v>
      </c>
      <c r="S71" s="1065">
        <v>0</v>
      </c>
      <c r="T71" s="1065">
        <v>201500</v>
      </c>
      <c r="U71" s="1065">
        <v>0</v>
      </c>
      <c r="V71" s="1065">
        <v>0</v>
      </c>
      <c r="W71" s="1065">
        <v>0</v>
      </c>
      <c r="X71" s="1065">
        <v>0</v>
      </c>
      <c r="Y71" s="1065">
        <v>0</v>
      </c>
      <c r="Z71" s="1065">
        <v>0</v>
      </c>
      <c r="AA71" s="1065">
        <v>0</v>
      </c>
      <c r="AB71" s="1065">
        <v>0</v>
      </c>
      <c r="AC71" s="1065">
        <v>0</v>
      </c>
      <c r="AD71" s="1065">
        <v>0</v>
      </c>
      <c r="AE71" s="1065">
        <v>0</v>
      </c>
      <c r="AF71" s="1065">
        <v>0</v>
      </c>
      <c r="AG71" s="1823">
        <v>0</v>
      </c>
      <c r="AI71" s="649">
        <f t="shared" si="8"/>
        <v>201500</v>
      </c>
    </row>
    <row r="72" spans="1:35" x14ac:dyDescent="0.2">
      <c r="A72" s="1129">
        <v>1550</v>
      </c>
      <c r="B72" s="3007" t="s">
        <v>1412</v>
      </c>
      <c r="C72" s="3007"/>
      <c r="D72" t="str">
        <f t="shared" si="7"/>
        <v>OK</v>
      </c>
      <c r="E72" s="1823">
        <v>41692485</v>
      </c>
      <c r="F72" s="1823">
        <v>5254227</v>
      </c>
      <c r="G72" s="1823">
        <v>0</v>
      </c>
      <c r="H72" s="1823">
        <v>0</v>
      </c>
      <c r="I72" s="1823">
        <v>33966638</v>
      </c>
      <c r="J72" s="1823">
        <v>2434298</v>
      </c>
      <c r="K72" s="1823">
        <v>0</v>
      </c>
      <c r="L72" s="1823"/>
      <c r="M72" s="1823">
        <v>37322</v>
      </c>
      <c r="N72" s="1823">
        <v>0</v>
      </c>
      <c r="O72" s="1065">
        <v>25962324.390000001</v>
      </c>
      <c r="P72" s="1065">
        <v>998349179.23000002</v>
      </c>
      <c r="Q72" s="1065">
        <v>261249231.63</v>
      </c>
      <c r="R72" s="1065">
        <v>86209121.090000004</v>
      </c>
      <c r="S72" s="1065">
        <v>270979089.30000001</v>
      </c>
      <c r="T72" s="1065">
        <v>22137493.629999999</v>
      </c>
      <c r="U72" s="1065">
        <v>71065699.170000002</v>
      </c>
      <c r="V72" s="1065">
        <v>203362054.88</v>
      </c>
      <c r="W72" s="1065">
        <v>20402739.960000001</v>
      </c>
      <c r="X72" s="1065">
        <v>70426676.989999995</v>
      </c>
      <c r="Y72" s="1065">
        <v>89807902.219999999</v>
      </c>
      <c r="Z72" s="1065">
        <v>26800091.43</v>
      </c>
      <c r="AA72" s="1065">
        <v>19385761.149999999</v>
      </c>
      <c r="AB72" s="1065">
        <v>22823521.550000001</v>
      </c>
      <c r="AC72" s="1065">
        <v>20442473.370000001</v>
      </c>
      <c r="AD72" s="1065">
        <v>22319280.52</v>
      </c>
      <c r="AE72" s="1065">
        <v>7653979.4900000002</v>
      </c>
      <c r="AF72" s="1065">
        <v>134611.54999999999</v>
      </c>
      <c r="AG72" s="1823">
        <v>7104015.5</v>
      </c>
      <c r="AI72" s="649">
        <f t="shared" si="8"/>
        <v>2281203716.5500002</v>
      </c>
    </row>
    <row r="73" spans="1:35" x14ac:dyDescent="0.2">
      <c r="A73" s="1129">
        <v>1481</v>
      </c>
      <c r="B73" s="3006" t="s">
        <v>5652</v>
      </c>
      <c r="C73" s="3006"/>
      <c r="D73" t="str">
        <f t="shared" si="7"/>
        <v>OK</v>
      </c>
      <c r="E73" s="1823">
        <v>0</v>
      </c>
      <c r="F73" s="1823">
        <v>0</v>
      </c>
      <c r="G73" s="1823">
        <v>0</v>
      </c>
      <c r="H73" s="1823">
        <v>0</v>
      </c>
      <c r="I73" s="1823">
        <v>0</v>
      </c>
      <c r="J73" s="1823">
        <v>0</v>
      </c>
      <c r="K73" s="1823">
        <v>0</v>
      </c>
      <c r="L73" s="1823">
        <v>0</v>
      </c>
      <c r="M73" s="1823">
        <v>0</v>
      </c>
      <c r="N73" s="1823">
        <v>0</v>
      </c>
      <c r="O73" s="2331">
        <v>0</v>
      </c>
      <c r="P73" s="1065">
        <v>0</v>
      </c>
      <c r="Q73" s="1065">
        <v>0</v>
      </c>
      <c r="R73" s="1065">
        <v>0</v>
      </c>
      <c r="S73" s="1065">
        <v>0</v>
      </c>
      <c r="T73" s="1065">
        <v>0</v>
      </c>
      <c r="U73" s="1065">
        <v>0</v>
      </c>
      <c r="V73" s="1065">
        <v>0</v>
      </c>
      <c r="W73" s="1065">
        <v>0</v>
      </c>
      <c r="X73" s="1065">
        <v>0</v>
      </c>
      <c r="Y73" s="1065">
        <v>0</v>
      </c>
      <c r="Z73" s="1065">
        <v>0</v>
      </c>
      <c r="AA73" s="1065">
        <v>0</v>
      </c>
      <c r="AB73" s="1065">
        <v>0</v>
      </c>
      <c r="AC73" s="1065">
        <v>0</v>
      </c>
      <c r="AD73" s="1065">
        <v>0</v>
      </c>
      <c r="AE73" s="1065">
        <v>0</v>
      </c>
      <c r="AF73" s="1065">
        <v>0</v>
      </c>
      <c r="AG73" s="1823">
        <v>0</v>
      </c>
      <c r="AI73" s="649"/>
    </row>
    <row r="74" spans="1:35" x14ac:dyDescent="0.2">
      <c r="A74" s="1129">
        <v>1521</v>
      </c>
      <c r="B74" s="3006" t="s">
        <v>5653</v>
      </c>
      <c r="C74" s="3006"/>
      <c r="D74" t="str">
        <f t="shared" si="7"/>
        <v>OK</v>
      </c>
      <c r="E74" s="1823">
        <v>0</v>
      </c>
      <c r="F74" s="1823">
        <v>0</v>
      </c>
      <c r="G74" s="1823">
        <v>0</v>
      </c>
      <c r="H74" s="1823">
        <v>0</v>
      </c>
      <c r="I74" s="1823">
        <v>0</v>
      </c>
      <c r="J74" s="1823">
        <v>0</v>
      </c>
      <c r="K74" s="1823">
        <v>0</v>
      </c>
      <c r="L74" s="1823">
        <v>0</v>
      </c>
      <c r="M74" s="1823">
        <v>0</v>
      </c>
      <c r="N74" s="1823">
        <v>0</v>
      </c>
      <c r="O74" s="2331">
        <v>0</v>
      </c>
      <c r="P74" s="1065">
        <v>0</v>
      </c>
      <c r="Q74" s="1065">
        <v>0</v>
      </c>
      <c r="R74" s="1065">
        <v>0</v>
      </c>
      <c r="S74" s="1065">
        <v>0</v>
      </c>
      <c r="T74" s="1065">
        <v>0</v>
      </c>
      <c r="U74" s="1065">
        <v>0</v>
      </c>
      <c r="V74" s="1065">
        <v>0</v>
      </c>
      <c r="W74" s="1065">
        <v>0</v>
      </c>
      <c r="X74" s="1065">
        <v>0</v>
      </c>
      <c r="Y74" s="1065">
        <v>0</v>
      </c>
      <c r="Z74" s="1065">
        <v>0</v>
      </c>
      <c r="AA74" s="1065">
        <v>0</v>
      </c>
      <c r="AB74" s="1065">
        <v>0</v>
      </c>
      <c r="AC74" s="1065">
        <v>0</v>
      </c>
      <c r="AD74" s="1065">
        <v>0</v>
      </c>
      <c r="AE74" s="1065">
        <v>0</v>
      </c>
      <c r="AF74" s="1065">
        <v>0</v>
      </c>
      <c r="AG74" s="1823">
        <v>0</v>
      </c>
      <c r="AI74" s="649"/>
    </row>
    <row r="75" spans="1:35" x14ac:dyDescent="0.2">
      <c r="A75" s="1129">
        <v>1531</v>
      </c>
      <c r="B75" s="3006" t="s">
        <v>5654</v>
      </c>
      <c r="C75" s="3006"/>
      <c r="D75" t="str">
        <f t="shared" si="7"/>
        <v>OK</v>
      </c>
      <c r="E75" s="1823">
        <v>0</v>
      </c>
      <c r="F75" s="1823">
        <v>0</v>
      </c>
      <c r="G75" s="1823">
        <v>0</v>
      </c>
      <c r="H75" s="1823">
        <v>0</v>
      </c>
      <c r="I75" s="1823">
        <v>0</v>
      </c>
      <c r="J75" s="1823">
        <v>0</v>
      </c>
      <c r="K75" s="1823">
        <v>0</v>
      </c>
      <c r="L75" s="1823">
        <v>0</v>
      </c>
      <c r="M75" s="1823">
        <v>0</v>
      </c>
      <c r="N75" s="1823">
        <v>0</v>
      </c>
      <c r="O75" s="2331">
        <v>0</v>
      </c>
      <c r="P75" s="1065">
        <v>0</v>
      </c>
      <c r="Q75" s="1065">
        <v>0</v>
      </c>
      <c r="R75" s="1065">
        <v>0</v>
      </c>
      <c r="S75" s="1065">
        <v>0</v>
      </c>
      <c r="T75" s="1065">
        <v>0</v>
      </c>
      <c r="U75" s="1065">
        <v>0</v>
      </c>
      <c r="V75" s="1065">
        <v>0</v>
      </c>
      <c r="W75" s="1065">
        <v>0</v>
      </c>
      <c r="X75" s="1065">
        <v>0</v>
      </c>
      <c r="Y75" s="1065">
        <v>0</v>
      </c>
      <c r="Z75" s="1065">
        <v>0</v>
      </c>
      <c r="AA75" s="1065">
        <v>0</v>
      </c>
      <c r="AB75" s="1065">
        <v>0</v>
      </c>
      <c r="AC75" s="1065">
        <v>0</v>
      </c>
      <c r="AD75" s="1065">
        <v>0</v>
      </c>
      <c r="AE75" s="1065">
        <v>0</v>
      </c>
      <c r="AF75" s="1065">
        <v>0</v>
      </c>
      <c r="AG75" s="1823">
        <v>0</v>
      </c>
      <c r="AI75" s="649"/>
    </row>
    <row r="76" spans="1:35" x14ac:dyDescent="0.2">
      <c r="A76" s="1129">
        <v>1551</v>
      </c>
      <c r="B76" s="3006" t="s">
        <v>5655</v>
      </c>
      <c r="C76" s="3006"/>
      <c r="D76" t="str">
        <f t="shared" si="7"/>
        <v>OK</v>
      </c>
      <c r="E76" s="1823">
        <v>0</v>
      </c>
      <c r="F76" s="1823">
        <v>0</v>
      </c>
      <c r="G76" s="1823">
        <v>0</v>
      </c>
      <c r="H76" s="1823">
        <v>0</v>
      </c>
      <c r="I76" s="1823">
        <v>0</v>
      </c>
      <c r="J76" s="1823">
        <v>0</v>
      </c>
      <c r="K76" s="1823">
        <v>0</v>
      </c>
      <c r="L76" s="1823">
        <v>0</v>
      </c>
      <c r="M76" s="1823">
        <v>0</v>
      </c>
      <c r="N76" s="1823">
        <v>0</v>
      </c>
      <c r="O76" s="2331">
        <v>0</v>
      </c>
      <c r="P76" s="1065">
        <v>0</v>
      </c>
      <c r="Q76" s="1065">
        <v>0</v>
      </c>
      <c r="R76" s="1065">
        <v>0</v>
      </c>
      <c r="S76" s="1065">
        <v>0</v>
      </c>
      <c r="T76" s="1065">
        <v>0</v>
      </c>
      <c r="U76" s="1065">
        <v>0</v>
      </c>
      <c r="V76" s="1065">
        <v>0</v>
      </c>
      <c r="W76" s="1065">
        <v>0</v>
      </c>
      <c r="X76" s="1065">
        <v>0</v>
      </c>
      <c r="Y76" s="1065">
        <v>0</v>
      </c>
      <c r="Z76" s="1065">
        <v>0</v>
      </c>
      <c r="AA76" s="1065">
        <v>0</v>
      </c>
      <c r="AB76" s="1065">
        <v>0</v>
      </c>
      <c r="AC76" s="1065">
        <v>0</v>
      </c>
      <c r="AD76" s="1065">
        <v>0</v>
      </c>
      <c r="AE76" s="1065">
        <v>0</v>
      </c>
      <c r="AF76" s="1065">
        <v>0</v>
      </c>
      <c r="AG76" s="1823">
        <v>0</v>
      </c>
      <c r="AI76" s="649"/>
    </row>
    <row r="77" spans="1:35" x14ac:dyDescent="0.2">
      <c r="A77" s="1129">
        <v>1553</v>
      </c>
      <c r="B77" s="3007" t="s">
        <v>1538</v>
      </c>
      <c r="C77" s="3007"/>
      <c r="D77" t="str">
        <f t="shared" si="7"/>
        <v>OK</v>
      </c>
      <c r="E77" s="1823">
        <v>230374176.59999999</v>
      </c>
      <c r="F77" s="1823">
        <v>10370833</v>
      </c>
      <c r="G77" s="1823">
        <v>219933053.59999999</v>
      </c>
      <c r="H77" s="1823">
        <v>0</v>
      </c>
      <c r="I77" s="1823">
        <v>0</v>
      </c>
      <c r="J77" s="1823">
        <v>31712</v>
      </c>
      <c r="K77" s="1823">
        <v>38578</v>
      </c>
      <c r="L77" s="1823"/>
      <c r="M77" s="1823">
        <v>0</v>
      </c>
      <c r="N77" s="1823">
        <v>0</v>
      </c>
      <c r="O77" s="2331">
        <v>0</v>
      </c>
      <c r="P77" s="1065">
        <v>121695628.47</v>
      </c>
      <c r="Q77" s="1065">
        <v>38176504.009999998</v>
      </c>
      <c r="R77" s="1065">
        <v>0</v>
      </c>
      <c r="S77" s="1065">
        <v>13643949</v>
      </c>
      <c r="T77" s="1065">
        <v>0</v>
      </c>
      <c r="U77" s="1065">
        <v>0</v>
      </c>
      <c r="V77" s="1065">
        <v>13335538.09</v>
      </c>
      <c r="W77" s="1065">
        <v>0</v>
      </c>
      <c r="X77" s="1065">
        <v>267380.84999999998</v>
      </c>
      <c r="Y77" s="1065">
        <v>918616.55</v>
      </c>
      <c r="Z77" s="1065">
        <v>0</v>
      </c>
      <c r="AA77" s="1065">
        <v>358251</v>
      </c>
      <c r="AB77" s="1065">
        <v>0</v>
      </c>
      <c r="AC77" s="1065">
        <v>0</v>
      </c>
      <c r="AD77" s="1065">
        <v>0</v>
      </c>
      <c r="AE77" s="1065">
        <v>0</v>
      </c>
      <c r="AF77" s="1065">
        <v>0</v>
      </c>
      <c r="AG77" s="1823">
        <v>0</v>
      </c>
      <c r="AI77" s="649">
        <f t="shared" si="8"/>
        <v>418770044.56999999</v>
      </c>
    </row>
    <row r="78" spans="1:35" x14ac:dyDescent="0.2">
      <c r="A78" s="1129">
        <v>1555</v>
      </c>
      <c r="B78" s="3007" t="s">
        <v>1413</v>
      </c>
      <c r="C78" s="3007"/>
      <c r="D78" t="str">
        <f t="shared" si="7"/>
        <v>OK</v>
      </c>
      <c r="E78" s="1823">
        <v>0</v>
      </c>
      <c r="F78" s="1823">
        <v>0</v>
      </c>
      <c r="G78" s="1823">
        <v>0</v>
      </c>
      <c r="H78" s="1823">
        <v>0</v>
      </c>
      <c r="I78" s="1823">
        <v>0</v>
      </c>
      <c r="J78" s="1823">
        <v>0</v>
      </c>
      <c r="K78" s="1823">
        <v>0</v>
      </c>
      <c r="L78" s="1823"/>
      <c r="M78" s="1823">
        <v>0</v>
      </c>
      <c r="N78" s="1823">
        <v>0</v>
      </c>
      <c r="O78" s="2331">
        <v>0</v>
      </c>
      <c r="P78" s="1065">
        <v>0</v>
      </c>
      <c r="Q78" s="1065">
        <v>0</v>
      </c>
      <c r="R78" s="1065">
        <v>0</v>
      </c>
      <c r="S78" s="1065">
        <v>0</v>
      </c>
      <c r="T78" s="1065">
        <v>0</v>
      </c>
      <c r="U78" s="1065">
        <v>0</v>
      </c>
      <c r="V78" s="1065">
        <v>0</v>
      </c>
      <c r="W78" s="1065">
        <v>0</v>
      </c>
      <c r="X78" s="1065">
        <v>0</v>
      </c>
      <c r="Y78" s="1065">
        <v>0</v>
      </c>
      <c r="Z78" s="1065">
        <v>0</v>
      </c>
      <c r="AA78" s="1065">
        <v>0</v>
      </c>
      <c r="AB78" s="1065">
        <v>0</v>
      </c>
      <c r="AC78" s="1065">
        <v>0</v>
      </c>
      <c r="AD78" s="1065">
        <v>0</v>
      </c>
      <c r="AE78" s="1065">
        <v>0</v>
      </c>
      <c r="AF78" s="1065">
        <v>0</v>
      </c>
      <c r="AG78" s="1823">
        <v>0</v>
      </c>
      <c r="AI78" s="649">
        <f t="shared" si="8"/>
        <v>0</v>
      </c>
    </row>
    <row r="79" spans="1:35" x14ac:dyDescent="0.2">
      <c r="A79" s="1129">
        <v>1560</v>
      </c>
      <c r="B79" s="3007" t="s">
        <v>1807</v>
      </c>
      <c r="C79" s="3007"/>
      <c r="D79" t="str">
        <f t="shared" si="7"/>
        <v>OK</v>
      </c>
      <c r="E79" s="1823">
        <v>20386810.129999999</v>
      </c>
      <c r="F79" s="1823">
        <v>0</v>
      </c>
      <c r="G79" s="1823">
        <v>20386810.129999999</v>
      </c>
      <c r="H79" s="1823">
        <v>0</v>
      </c>
      <c r="I79" s="1823">
        <v>0</v>
      </c>
      <c r="J79" s="1823">
        <v>0</v>
      </c>
      <c r="K79" s="1823">
        <v>0</v>
      </c>
      <c r="L79" s="1823"/>
      <c r="M79" s="1823">
        <v>0</v>
      </c>
      <c r="N79" s="1823">
        <v>0</v>
      </c>
      <c r="O79" s="2331">
        <v>0</v>
      </c>
      <c r="P79" s="1065">
        <v>0</v>
      </c>
      <c r="Q79" s="1065">
        <v>0</v>
      </c>
      <c r="R79" s="1065">
        <v>0</v>
      </c>
      <c r="S79" s="1065">
        <v>0</v>
      </c>
      <c r="T79" s="1065">
        <v>0</v>
      </c>
      <c r="U79" s="1065">
        <v>0</v>
      </c>
      <c r="V79" s="1065">
        <v>0</v>
      </c>
      <c r="W79" s="1065">
        <v>0</v>
      </c>
      <c r="X79" s="1065">
        <v>1190218.76</v>
      </c>
      <c r="Y79" s="1065">
        <v>0</v>
      </c>
      <c r="Z79" s="1065">
        <v>0</v>
      </c>
      <c r="AA79" s="1065">
        <v>0</v>
      </c>
      <c r="AB79" s="1065">
        <v>0</v>
      </c>
      <c r="AC79" s="1065">
        <v>0</v>
      </c>
      <c r="AD79" s="1065">
        <v>0</v>
      </c>
      <c r="AE79" s="1065">
        <v>0</v>
      </c>
      <c r="AF79" s="1065">
        <v>0</v>
      </c>
      <c r="AG79" s="1823">
        <v>0</v>
      </c>
      <c r="AI79" s="649">
        <f t="shared" si="8"/>
        <v>21577028.890000001</v>
      </c>
    </row>
    <row r="80" spans="1:35" x14ac:dyDescent="0.2">
      <c r="A80" s="1129">
        <v>1570</v>
      </c>
      <c r="B80" s="2876" t="s">
        <v>1539</v>
      </c>
      <c r="C80" s="2876"/>
      <c r="D80" t="str">
        <f>IF(ROUND(SUM(F80:N80),2)-ROUND(E80,2)=0,"OK","prob")</f>
        <v>OK</v>
      </c>
      <c r="E80" s="1823">
        <v>-1817429891.78</v>
      </c>
      <c r="F80" s="1823">
        <v>-858543114</v>
      </c>
      <c r="G80" s="1823">
        <v>-272577799.85000002</v>
      </c>
      <c r="H80" s="1823">
        <v>0</v>
      </c>
      <c r="I80" s="1823">
        <v>-554762904.24000001</v>
      </c>
      <c r="J80" s="1823">
        <v>-21252445</v>
      </c>
      <c r="K80" s="1823">
        <v>-4218700.45</v>
      </c>
      <c r="L80" s="1823"/>
      <c r="M80" s="1823">
        <v>-4179698.86</v>
      </c>
      <c r="N80" s="1823">
        <v>-101895229.38</v>
      </c>
      <c r="O80" s="1065">
        <v>-87345173.030000001</v>
      </c>
      <c r="P80" s="1065">
        <v>-2401254460.1900001</v>
      </c>
      <c r="Q80" s="1065">
        <v>-1339929578.3199999</v>
      </c>
      <c r="R80" s="1065">
        <v>-320476736.61000001</v>
      </c>
      <c r="S80" s="1065">
        <v>-404156738.50999999</v>
      </c>
      <c r="T80" s="1065">
        <v>-112361944.88</v>
      </c>
      <c r="U80" s="1065">
        <v>-252035701.38</v>
      </c>
      <c r="V80" s="1065">
        <v>-481117053.02999997</v>
      </c>
      <c r="W80" s="1065">
        <v>-217257812.94</v>
      </c>
      <c r="X80" s="1065">
        <v>-170110766.22999999</v>
      </c>
      <c r="Y80" s="1065">
        <v>-364581609.52999997</v>
      </c>
      <c r="Z80" s="1065">
        <v>-104353599.7</v>
      </c>
      <c r="AA80" s="1065">
        <v>-129901906.34</v>
      </c>
      <c r="AB80" s="1065">
        <v>-80605500.319999993</v>
      </c>
      <c r="AC80" s="1065">
        <v>-78354747.200000003</v>
      </c>
      <c r="AD80" s="1065">
        <v>-167745005.09</v>
      </c>
      <c r="AE80" s="1065">
        <v>-71180470.069999993</v>
      </c>
      <c r="AF80" s="1065">
        <v>-31942055.190000001</v>
      </c>
      <c r="AG80" s="1823">
        <v>-2968158.44</v>
      </c>
      <c r="AI80" s="649">
        <f t="shared" si="8"/>
        <v>-8632140750.3400002</v>
      </c>
    </row>
    <row r="81" spans="1:35" x14ac:dyDescent="0.2">
      <c r="A81" s="785"/>
      <c r="B81" s="2876" t="s">
        <v>1540</v>
      </c>
      <c r="C81" s="2876"/>
      <c r="D81" t="str">
        <f>IF(ROUND(SUM(F81:N81),2)-ROUND(E81,2)=0,"OK","prob")</f>
        <v>OK</v>
      </c>
      <c r="E81" s="651">
        <f t="shared" ref="E81:U81" si="9">SUM(E69:E80)</f>
        <v>1366718479</v>
      </c>
      <c r="F81" s="651">
        <f t="shared" si="9"/>
        <v>595529146</v>
      </c>
      <c r="G81" s="651">
        <f t="shared" si="9"/>
        <v>335288129.27999997</v>
      </c>
      <c r="H81" s="651">
        <f t="shared" si="9"/>
        <v>0</v>
      </c>
      <c r="I81" s="651">
        <f t="shared" si="9"/>
        <v>343661073.75999999</v>
      </c>
      <c r="J81" s="651">
        <f t="shared" si="9"/>
        <v>17449973</v>
      </c>
      <c r="K81" s="651">
        <f t="shared" si="9"/>
        <v>6278890.9100000001</v>
      </c>
      <c r="L81" s="651">
        <f>SUM(L69:L80)</f>
        <v>0</v>
      </c>
      <c r="M81" s="651">
        <f>SUM(M69:M80)</f>
        <v>13758324.539999999</v>
      </c>
      <c r="N81" s="651">
        <f>SUM(N69:N80)</f>
        <v>54752941.509999998</v>
      </c>
      <c r="O81" s="843">
        <f t="shared" si="9"/>
        <v>59150461.439999998</v>
      </c>
      <c r="P81" s="651">
        <f t="shared" si="9"/>
        <v>2676248434.3000002</v>
      </c>
      <c r="Q81" s="651">
        <f t="shared" si="9"/>
        <v>2019865919.5999999</v>
      </c>
      <c r="R81" s="651">
        <f t="shared" si="9"/>
        <v>750631281.99000001</v>
      </c>
      <c r="S81" s="651">
        <f t="shared" si="9"/>
        <v>1343906994.73</v>
      </c>
      <c r="T81" s="651">
        <f t="shared" si="9"/>
        <v>221845232.49000001</v>
      </c>
      <c r="U81" s="651">
        <f t="shared" si="9"/>
        <v>678363395.14999998</v>
      </c>
      <c r="V81" s="651">
        <f>SUM(V69:V80)</f>
        <v>1105700032.74</v>
      </c>
      <c r="W81" s="651">
        <f t="shared" ref="W81:AG81" si="10">SUM(W69:W80)</f>
        <v>367320241.56</v>
      </c>
      <c r="X81" s="651">
        <f t="shared" si="10"/>
        <v>450284669.01999998</v>
      </c>
      <c r="Y81" s="651">
        <f t="shared" si="10"/>
        <v>698166325.82000005</v>
      </c>
      <c r="Z81" s="651">
        <f t="shared" si="10"/>
        <v>168023974.15000001</v>
      </c>
      <c r="AA81" s="651">
        <f t="shared" si="10"/>
        <v>244888622.08000001</v>
      </c>
      <c r="AB81" s="651">
        <f t="shared" si="10"/>
        <v>149353791.80000001</v>
      </c>
      <c r="AC81" s="651">
        <f t="shared" si="10"/>
        <v>169160869.94</v>
      </c>
      <c r="AD81" s="651">
        <f t="shared" si="10"/>
        <v>299549843.13999999</v>
      </c>
      <c r="AE81" s="651">
        <f t="shared" si="10"/>
        <v>114752166.94</v>
      </c>
      <c r="AF81" s="651">
        <f t="shared" si="10"/>
        <v>70615043.200000003</v>
      </c>
      <c r="AG81" s="651">
        <f t="shared" si="10"/>
        <v>5640482.6299999999</v>
      </c>
      <c r="AI81" s="649">
        <f t="shared" si="8"/>
        <v>12954545779.09</v>
      </c>
    </row>
    <row r="82" spans="1:35" x14ac:dyDescent="0.2">
      <c r="A82" s="675"/>
      <c r="B82" s="2876" t="s">
        <v>271</v>
      </c>
      <c r="C82" s="2876"/>
      <c r="D82" s="2025" t="str">
        <f>IF(SUM(F82:N82)-E82=0,"OK","prob")</f>
        <v>prob</v>
      </c>
      <c r="E82" s="661">
        <f t="shared" ref="E82:AG82" si="11">SUM(E40:E81)-E67-E81</f>
        <v>5323153649.9099998</v>
      </c>
      <c r="F82" s="661">
        <f t="shared" si="11"/>
        <v>2786751035.8699999</v>
      </c>
      <c r="G82" s="661">
        <f t="shared" si="11"/>
        <v>1043758252.95</v>
      </c>
      <c r="H82" s="661">
        <f t="shared" si="11"/>
        <v>49321998</v>
      </c>
      <c r="I82" s="661">
        <f t="shared" si="11"/>
        <v>1320540545.5599999</v>
      </c>
      <c r="J82" s="661">
        <f t="shared" si="11"/>
        <v>19587564.120000001</v>
      </c>
      <c r="K82" s="661">
        <f t="shared" si="11"/>
        <v>15363195.98</v>
      </c>
      <c r="L82" s="661">
        <f t="shared" si="11"/>
        <v>0</v>
      </c>
      <c r="M82" s="661">
        <f>SUM(M40:M81)-M67-M81</f>
        <v>21010857.93</v>
      </c>
      <c r="N82" s="661">
        <f t="shared" si="11"/>
        <v>66820199.5</v>
      </c>
      <c r="O82" s="706">
        <f t="shared" si="11"/>
        <v>186311995.81999999</v>
      </c>
      <c r="P82" s="661">
        <f t="shared" si="11"/>
        <v>6513026811.1499996</v>
      </c>
      <c r="Q82" s="661">
        <f t="shared" si="11"/>
        <v>3089761612.6700001</v>
      </c>
      <c r="R82" s="661">
        <f t="shared" si="11"/>
        <v>1234858995.0599999</v>
      </c>
      <c r="S82" s="661">
        <f t="shared" si="11"/>
        <v>1716730065.22</v>
      </c>
      <c r="T82" s="661">
        <f t="shared" si="11"/>
        <v>274629213.79000002</v>
      </c>
      <c r="U82" s="661">
        <f t="shared" si="11"/>
        <v>888212065.09000003</v>
      </c>
      <c r="V82" s="661">
        <f t="shared" si="11"/>
        <v>1382021852.99</v>
      </c>
      <c r="W82" s="661">
        <f t="shared" si="11"/>
        <v>621859429.41999996</v>
      </c>
      <c r="X82" s="661">
        <f t="shared" si="11"/>
        <v>850552099.77999997</v>
      </c>
      <c r="Y82" s="661">
        <f t="shared" si="11"/>
        <v>1079100570.74</v>
      </c>
      <c r="Z82" s="661">
        <f t="shared" si="11"/>
        <v>251432835.63999999</v>
      </c>
      <c r="AA82" s="661">
        <f t="shared" si="11"/>
        <v>306460209.10000002</v>
      </c>
      <c r="AB82" s="661">
        <f t="shared" si="11"/>
        <v>197560394.09</v>
      </c>
      <c r="AC82" s="661">
        <f t="shared" si="11"/>
        <v>217486605.03999999</v>
      </c>
      <c r="AD82" s="661">
        <f t="shared" si="11"/>
        <v>437206199.52999997</v>
      </c>
      <c r="AE82" s="661">
        <f t="shared" si="11"/>
        <v>218475604.66999999</v>
      </c>
      <c r="AF82" s="661">
        <f t="shared" si="11"/>
        <v>70714490.959999993</v>
      </c>
      <c r="AG82" s="661">
        <f t="shared" si="11"/>
        <v>5811423.1299999999</v>
      </c>
      <c r="AI82" s="649"/>
    </row>
    <row r="83" spans="1:35" x14ac:dyDescent="0.2">
      <c r="B83" s="398"/>
      <c r="C83" s="398"/>
      <c r="E83" s="649"/>
      <c r="F83" s="649"/>
      <c r="G83" s="649"/>
      <c r="H83" s="649"/>
      <c r="I83" s="649"/>
      <c r="J83" s="649"/>
      <c r="K83" s="649"/>
      <c r="L83" s="649"/>
      <c r="M83" s="649"/>
      <c r="N83" s="649"/>
      <c r="O83" s="393"/>
      <c r="P83" s="649"/>
      <c r="Q83" s="649"/>
      <c r="R83" s="649"/>
      <c r="S83" s="649"/>
      <c r="T83" s="649"/>
      <c r="U83" s="649"/>
      <c r="V83" s="649"/>
      <c r="W83" s="649"/>
      <c r="X83" s="649"/>
      <c r="Y83" s="649"/>
      <c r="Z83" s="649"/>
      <c r="AA83" s="649"/>
      <c r="AB83" s="649"/>
      <c r="AC83" s="649"/>
      <c r="AD83" s="649"/>
      <c r="AE83" s="649"/>
      <c r="AF83" s="649"/>
      <c r="AG83" s="649"/>
    </row>
    <row r="84" spans="1:35" x14ac:dyDescent="0.2">
      <c r="B84" s="2876" t="s">
        <v>272</v>
      </c>
      <c r="C84" s="2876"/>
      <c r="D84" s="2025" t="str">
        <f>IF(SUM(F84:N84)-E84=0,"OK","prob")</f>
        <v>prob</v>
      </c>
      <c r="E84" s="651">
        <f t="shared" ref="E84:AG84" si="12">E82+E37</f>
        <v>6906838938.3699999</v>
      </c>
      <c r="F84" s="651">
        <f t="shared" si="12"/>
        <v>3605162063.98</v>
      </c>
      <c r="G84" s="651">
        <f t="shared" si="12"/>
        <v>1365802825.01</v>
      </c>
      <c r="H84" s="651">
        <f t="shared" si="12"/>
        <v>54518808</v>
      </c>
      <c r="I84" s="651">
        <f t="shared" si="12"/>
        <v>1769438017.75</v>
      </c>
      <c r="J84" s="651">
        <f t="shared" si="12"/>
        <v>26540140.09</v>
      </c>
      <c r="K84" s="651">
        <f t="shared" si="12"/>
        <v>130066156.83</v>
      </c>
      <c r="L84" s="651">
        <f t="shared" si="12"/>
        <v>0</v>
      </c>
      <c r="M84" s="651">
        <f>M82+M37</f>
        <v>39221623.420000002</v>
      </c>
      <c r="N84" s="651">
        <f t="shared" si="12"/>
        <v>107455192.29000001</v>
      </c>
      <c r="O84" s="843">
        <f t="shared" si="12"/>
        <v>337933140.97000003</v>
      </c>
      <c r="P84" s="651">
        <f t="shared" si="12"/>
        <v>8567727873.3900003</v>
      </c>
      <c r="Q84" s="651">
        <f t="shared" si="12"/>
        <v>3577576109.52</v>
      </c>
      <c r="R84" s="651">
        <f t="shared" si="12"/>
        <v>1426405133.3099999</v>
      </c>
      <c r="S84" s="651">
        <f t="shared" si="12"/>
        <v>2115985233.76</v>
      </c>
      <c r="T84" s="651">
        <f t="shared" si="12"/>
        <v>297788483.33999997</v>
      </c>
      <c r="U84" s="651">
        <f t="shared" si="12"/>
        <v>1088241888.05</v>
      </c>
      <c r="V84" s="651">
        <f t="shared" si="12"/>
        <v>1762766732.6600001</v>
      </c>
      <c r="W84" s="651">
        <f t="shared" si="12"/>
        <v>774791492.83000004</v>
      </c>
      <c r="X84" s="651">
        <f t="shared" si="12"/>
        <v>1028901521.04</v>
      </c>
      <c r="Y84" s="651">
        <f t="shared" si="12"/>
        <v>1271627613.22</v>
      </c>
      <c r="Z84" s="651">
        <f t="shared" si="12"/>
        <v>296536906.22000003</v>
      </c>
      <c r="AA84" s="651">
        <f t="shared" si="12"/>
        <v>356107217.32999998</v>
      </c>
      <c r="AB84" s="651">
        <f t="shared" si="12"/>
        <v>224443104.16999999</v>
      </c>
      <c r="AC84" s="651">
        <f t="shared" si="12"/>
        <v>257059322.97</v>
      </c>
      <c r="AD84" s="651">
        <f t="shared" si="12"/>
        <v>493475783.69999999</v>
      </c>
      <c r="AE84" s="651">
        <f t="shared" si="12"/>
        <v>255968672.27000001</v>
      </c>
      <c r="AF84" s="651">
        <f t="shared" si="12"/>
        <v>73548245.390000001</v>
      </c>
      <c r="AG84" s="651">
        <f t="shared" si="12"/>
        <v>13128031.039999999</v>
      </c>
      <c r="AI84" s="649">
        <f>SUM(F84:AF84)</f>
        <v>31305089301.509998</v>
      </c>
    </row>
    <row r="85" spans="1:35" x14ac:dyDescent="0.2">
      <c r="B85" s="398"/>
      <c r="C85" s="398"/>
      <c r="E85" s="649"/>
      <c r="F85" s="649"/>
      <c r="G85" s="649"/>
      <c r="H85" s="649"/>
      <c r="I85" s="649"/>
      <c r="J85" s="649"/>
      <c r="K85" s="649"/>
      <c r="L85" s="649"/>
      <c r="M85" s="649"/>
      <c r="N85" s="649"/>
      <c r="O85" s="393"/>
      <c r="P85" s="649"/>
      <c r="Q85" s="649"/>
      <c r="R85" s="649"/>
      <c r="S85" s="649"/>
      <c r="T85" s="649"/>
      <c r="U85" s="649"/>
      <c r="V85" s="649"/>
      <c r="W85" s="649"/>
      <c r="X85" s="649"/>
      <c r="Y85" s="649"/>
      <c r="Z85" s="649"/>
      <c r="AA85" s="649"/>
      <c r="AB85" s="649"/>
      <c r="AC85" s="649"/>
      <c r="AD85" s="649"/>
      <c r="AE85" s="649"/>
      <c r="AF85" s="649"/>
      <c r="AG85" s="649"/>
    </row>
    <row r="86" spans="1:35" x14ac:dyDescent="0.2">
      <c r="B86" s="3035" t="s">
        <v>1929</v>
      </c>
      <c r="C86" s="3035"/>
      <c r="E86" s="649"/>
      <c r="F86" s="649"/>
      <c r="G86" s="649"/>
      <c r="H86" s="649"/>
      <c r="I86" s="649"/>
      <c r="J86" s="649"/>
      <c r="K86" s="649"/>
      <c r="L86" s="649"/>
      <c r="M86" s="649"/>
      <c r="N86" s="649"/>
      <c r="O86" s="393"/>
      <c r="P86" s="649"/>
      <c r="Q86" s="649"/>
      <c r="R86" s="649"/>
      <c r="S86" s="649"/>
      <c r="T86" s="649"/>
      <c r="U86" s="649"/>
      <c r="V86" s="649"/>
      <c r="W86" s="649"/>
      <c r="X86" s="649"/>
      <c r="Y86" s="649"/>
      <c r="Z86" s="649"/>
      <c r="AA86" s="649"/>
      <c r="AB86" s="649"/>
      <c r="AC86" s="649"/>
      <c r="AD86" s="649"/>
      <c r="AE86" s="649"/>
      <c r="AF86" s="649"/>
      <c r="AG86" s="649"/>
    </row>
    <row r="87" spans="1:35" x14ac:dyDescent="0.2">
      <c r="A87" s="1401">
        <v>1234</v>
      </c>
      <c r="B87" s="2968" t="s">
        <v>1930</v>
      </c>
      <c r="C87" s="2968"/>
      <c r="D87" t="str">
        <f t="shared" ref="D87:D94" si="13">IF(SUM(F87:N87)-E87=0,"OK","prob")</f>
        <v>OK</v>
      </c>
      <c r="E87" s="649">
        <v>7887997</v>
      </c>
      <c r="F87" s="393">
        <v>7887997</v>
      </c>
      <c r="G87" s="649">
        <v>0</v>
      </c>
      <c r="H87" s="649">
        <v>0</v>
      </c>
      <c r="I87" s="649">
        <v>0</v>
      </c>
      <c r="J87" s="649">
        <v>0</v>
      </c>
      <c r="K87" s="649">
        <v>0</v>
      </c>
      <c r="L87" s="649"/>
      <c r="M87" s="649">
        <v>0</v>
      </c>
      <c r="N87" s="649">
        <v>0</v>
      </c>
      <c r="O87" s="393">
        <v>0</v>
      </c>
      <c r="P87" s="393">
        <v>118979851.03</v>
      </c>
      <c r="Q87" s="393">
        <v>0</v>
      </c>
      <c r="R87" s="393">
        <v>0</v>
      </c>
      <c r="S87" s="393">
        <v>0</v>
      </c>
      <c r="T87" s="393">
        <v>0</v>
      </c>
      <c r="U87" s="393">
        <v>0</v>
      </c>
      <c r="V87" s="393">
        <v>0</v>
      </c>
      <c r="W87" s="393">
        <v>0</v>
      </c>
      <c r="X87" s="393">
        <v>0</v>
      </c>
      <c r="Y87" s="393">
        <v>0</v>
      </c>
      <c r="Z87" s="393">
        <v>0</v>
      </c>
      <c r="AA87" s="393">
        <v>0</v>
      </c>
      <c r="AB87" s="393">
        <v>0</v>
      </c>
      <c r="AC87" s="393">
        <v>0</v>
      </c>
      <c r="AD87" s="393">
        <v>0</v>
      </c>
      <c r="AE87" s="393">
        <v>0</v>
      </c>
      <c r="AF87" s="393">
        <v>1738656.43</v>
      </c>
      <c r="AG87" s="649">
        <v>0</v>
      </c>
      <c r="AH87" s="649"/>
      <c r="AI87" s="649">
        <f t="shared" ref="AI87:AI94" si="14">SUM(F87:AF87)</f>
        <v>128606504.45999999</v>
      </c>
    </row>
    <row r="88" spans="1:35" x14ac:dyDescent="0.2">
      <c r="A88" s="1401">
        <v>1236</v>
      </c>
      <c r="B88" s="2968" t="s">
        <v>3582</v>
      </c>
      <c r="C88" s="2968"/>
      <c r="D88" t="str">
        <f t="shared" si="13"/>
        <v>OK</v>
      </c>
      <c r="E88" s="649">
        <v>4893008</v>
      </c>
      <c r="F88" s="649">
        <v>4893008</v>
      </c>
      <c r="G88" s="649">
        <v>0</v>
      </c>
      <c r="H88" s="649">
        <v>0</v>
      </c>
      <c r="I88" s="649">
        <v>0</v>
      </c>
      <c r="J88" s="649">
        <v>0</v>
      </c>
      <c r="K88" s="649">
        <v>0</v>
      </c>
      <c r="L88" s="649"/>
      <c r="M88" s="649">
        <v>0</v>
      </c>
      <c r="N88" s="649">
        <v>0</v>
      </c>
      <c r="O88" s="393">
        <v>0</v>
      </c>
      <c r="P88" s="393">
        <v>9224788.9299999997</v>
      </c>
      <c r="Q88" s="393">
        <v>0</v>
      </c>
      <c r="R88" s="393">
        <v>4631338.67</v>
      </c>
      <c r="S88" s="393">
        <v>9902347.5700000003</v>
      </c>
      <c r="T88" s="393">
        <v>131980.88</v>
      </c>
      <c r="U88" s="393">
        <v>6125547.0300000003</v>
      </c>
      <c r="V88" s="393">
        <v>5273597.3099999996</v>
      </c>
      <c r="W88" s="393">
        <v>695715.04</v>
      </c>
      <c r="X88" s="393">
        <v>4384595.43</v>
      </c>
      <c r="Y88" s="393">
        <v>9327076.5700000003</v>
      </c>
      <c r="Z88" s="393">
        <v>1025865.44</v>
      </c>
      <c r="AA88" s="393">
        <v>226409.14</v>
      </c>
      <c r="AB88" s="393">
        <v>923356.81</v>
      </c>
      <c r="AC88" s="393">
        <v>0</v>
      </c>
      <c r="AD88" s="393">
        <v>0</v>
      </c>
      <c r="AE88" s="393">
        <v>0</v>
      </c>
      <c r="AF88" s="393">
        <v>0</v>
      </c>
      <c r="AG88" s="649">
        <v>0</v>
      </c>
      <c r="AH88" s="649"/>
      <c r="AI88" s="649">
        <f t="shared" si="14"/>
        <v>56765626.82</v>
      </c>
    </row>
    <row r="89" spans="1:35" x14ac:dyDescent="0.2">
      <c r="A89" s="1401">
        <v>1237</v>
      </c>
      <c r="B89" s="2968" t="s">
        <v>3866</v>
      </c>
      <c r="C89" s="2968"/>
      <c r="D89" t="str">
        <f t="shared" si="13"/>
        <v>OK</v>
      </c>
      <c r="E89" s="649">
        <v>218769243.09999999</v>
      </c>
      <c r="F89" s="649">
        <v>152178950</v>
      </c>
      <c r="G89" s="649">
        <v>37772204.009999998</v>
      </c>
      <c r="H89" s="649">
        <v>0</v>
      </c>
      <c r="I89" s="649">
        <v>28818089.09</v>
      </c>
      <c r="J89" s="649">
        <v>0</v>
      </c>
      <c r="K89" s="649">
        <v>0</v>
      </c>
      <c r="L89" s="649"/>
      <c r="M89" s="649">
        <v>0</v>
      </c>
      <c r="N89" s="649">
        <v>0</v>
      </c>
      <c r="O89" s="393">
        <v>5988358</v>
      </c>
      <c r="P89" s="393">
        <v>152817733.84999999</v>
      </c>
      <c r="Q89" s="393">
        <v>107473251</v>
      </c>
      <c r="R89" s="393">
        <v>28442864.710000001</v>
      </c>
      <c r="S89" s="393">
        <v>38525256</v>
      </c>
      <c r="T89" s="393">
        <v>5343124.49</v>
      </c>
      <c r="U89" s="393">
        <v>22265012</v>
      </c>
      <c r="V89" s="393">
        <v>64273674.369999997</v>
      </c>
      <c r="W89" s="393">
        <v>22255706.859999999</v>
      </c>
      <c r="X89" s="393">
        <v>17316571</v>
      </c>
      <c r="Y89" s="393">
        <v>33824815</v>
      </c>
      <c r="Z89" s="393">
        <v>10721173.220000001</v>
      </c>
      <c r="AA89" s="393">
        <v>9754994</v>
      </c>
      <c r="AB89" s="393">
        <v>6495133.5899999999</v>
      </c>
      <c r="AC89" s="393">
        <v>9735456.25</v>
      </c>
      <c r="AD89" s="393">
        <v>17755902</v>
      </c>
      <c r="AE89" s="393">
        <v>4842695.99</v>
      </c>
      <c r="AF89" s="393">
        <v>0</v>
      </c>
      <c r="AG89" s="649">
        <v>381983.74</v>
      </c>
      <c r="AH89" s="649"/>
      <c r="AI89" s="649">
        <f t="shared" si="14"/>
        <v>776600965.42999995</v>
      </c>
    </row>
    <row r="90" spans="1:35" x14ac:dyDescent="0.2">
      <c r="A90" s="1401">
        <v>1241</v>
      </c>
      <c r="B90" s="2968" t="s">
        <v>4443</v>
      </c>
      <c r="C90" s="2968"/>
      <c r="D90" t="str">
        <f t="shared" si="13"/>
        <v>OK</v>
      </c>
      <c r="E90" s="649">
        <v>263482861</v>
      </c>
      <c r="F90" s="649">
        <v>208459359</v>
      </c>
      <c r="G90" s="649">
        <v>55023502</v>
      </c>
      <c r="H90" s="649">
        <v>0</v>
      </c>
      <c r="I90" s="649">
        <v>0</v>
      </c>
      <c r="J90" s="649">
        <v>0</v>
      </c>
      <c r="K90" s="649">
        <v>0</v>
      </c>
      <c r="L90" s="649"/>
      <c r="M90" s="649">
        <v>0</v>
      </c>
      <c r="N90" s="649">
        <v>0</v>
      </c>
      <c r="O90" s="393">
        <v>6636093</v>
      </c>
      <c r="P90" s="393">
        <v>324323757</v>
      </c>
      <c r="Q90" s="393">
        <v>181920238</v>
      </c>
      <c r="R90" s="393">
        <v>61514709</v>
      </c>
      <c r="S90" s="393">
        <v>83197761</v>
      </c>
      <c r="T90" s="393">
        <v>9137503</v>
      </c>
      <c r="U90" s="393">
        <v>52716342</v>
      </c>
      <c r="V90" s="393">
        <v>96858786</v>
      </c>
      <c r="W90" s="393">
        <v>28447490.829999998</v>
      </c>
      <c r="X90" s="393">
        <v>29196759</v>
      </c>
      <c r="Y90" s="393">
        <v>45735406</v>
      </c>
      <c r="Z90" s="393">
        <v>16338396.27</v>
      </c>
      <c r="AA90" s="393">
        <v>9853345.2200000007</v>
      </c>
      <c r="AB90" s="393">
        <v>4740522</v>
      </c>
      <c r="AC90" s="393">
        <v>15074326.41</v>
      </c>
      <c r="AD90" s="393">
        <v>14622233</v>
      </c>
      <c r="AE90" s="393">
        <v>9090417.7599999998</v>
      </c>
      <c r="AF90" s="393">
        <v>0</v>
      </c>
      <c r="AG90" s="649">
        <v>634779.89</v>
      </c>
      <c r="AH90" s="649"/>
      <c r="AI90" s="649">
        <f t="shared" si="14"/>
        <v>1252886946.49</v>
      </c>
    </row>
    <row r="91" spans="1:35" x14ac:dyDescent="0.2">
      <c r="A91" s="1401">
        <v>1242</v>
      </c>
      <c r="B91" s="2968" t="s">
        <v>4599</v>
      </c>
      <c r="C91" s="2968"/>
      <c r="D91" t="str">
        <f t="shared" si="13"/>
        <v>OK</v>
      </c>
      <c r="E91" s="649">
        <v>0</v>
      </c>
      <c r="F91" s="649">
        <v>0</v>
      </c>
      <c r="G91" s="649">
        <v>0</v>
      </c>
      <c r="H91" s="649">
        <v>0</v>
      </c>
      <c r="I91" s="649">
        <v>0</v>
      </c>
      <c r="J91" s="649">
        <v>0</v>
      </c>
      <c r="K91" s="649">
        <v>0</v>
      </c>
      <c r="L91" s="649"/>
      <c r="M91" s="649">
        <v>0</v>
      </c>
      <c r="N91" s="649">
        <v>0</v>
      </c>
      <c r="O91" s="393">
        <v>0</v>
      </c>
      <c r="P91" s="393">
        <v>0</v>
      </c>
      <c r="Q91" s="393">
        <v>13406266</v>
      </c>
      <c r="R91" s="393">
        <v>0</v>
      </c>
      <c r="S91" s="393">
        <v>0</v>
      </c>
      <c r="T91" s="393">
        <v>0</v>
      </c>
      <c r="U91" s="393">
        <v>0</v>
      </c>
      <c r="V91" s="393">
        <v>0</v>
      </c>
      <c r="W91" s="393">
        <v>0</v>
      </c>
      <c r="X91" s="393">
        <v>0</v>
      </c>
      <c r="Y91" s="393">
        <v>0</v>
      </c>
      <c r="Z91" s="393">
        <v>0</v>
      </c>
      <c r="AA91" s="393">
        <v>0</v>
      </c>
      <c r="AB91" s="393">
        <v>0</v>
      </c>
      <c r="AC91" s="393">
        <v>0</v>
      </c>
      <c r="AD91" s="393">
        <v>0</v>
      </c>
      <c r="AE91" s="393">
        <v>0</v>
      </c>
      <c r="AF91" s="393">
        <v>0</v>
      </c>
      <c r="AG91" s="649">
        <v>0</v>
      </c>
      <c r="AH91" s="649"/>
      <c r="AI91" s="649">
        <f t="shared" si="14"/>
        <v>13406266</v>
      </c>
    </row>
    <row r="92" spans="1:35" x14ac:dyDescent="0.2">
      <c r="A92" s="1401">
        <v>1238</v>
      </c>
      <c r="B92" s="2968" t="s">
        <v>3873</v>
      </c>
      <c r="C92" s="2968"/>
      <c r="D92" t="str">
        <f t="shared" si="13"/>
        <v>OK</v>
      </c>
      <c r="E92" s="649">
        <v>0</v>
      </c>
      <c r="F92" s="649">
        <v>0</v>
      </c>
      <c r="G92" s="649">
        <v>0</v>
      </c>
      <c r="H92" s="649">
        <v>0</v>
      </c>
      <c r="I92" s="649">
        <v>0</v>
      </c>
      <c r="J92" s="649">
        <v>0</v>
      </c>
      <c r="K92" s="649">
        <v>0</v>
      </c>
      <c r="L92" s="649"/>
      <c r="M92" s="649">
        <v>0</v>
      </c>
      <c r="N92" s="649">
        <v>0</v>
      </c>
      <c r="O92" s="393">
        <v>0</v>
      </c>
      <c r="P92" s="393">
        <v>0</v>
      </c>
      <c r="Q92" s="393">
        <v>0</v>
      </c>
      <c r="R92" s="393">
        <v>0</v>
      </c>
      <c r="S92" s="393">
        <v>0</v>
      </c>
      <c r="T92" s="393">
        <v>0</v>
      </c>
      <c r="U92" s="393">
        <v>0</v>
      </c>
      <c r="V92" s="393">
        <v>0</v>
      </c>
      <c r="W92" s="393">
        <v>0</v>
      </c>
      <c r="X92" s="393">
        <v>0</v>
      </c>
      <c r="Y92" s="393">
        <v>0</v>
      </c>
      <c r="Z92" s="393">
        <v>0</v>
      </c>
      <c r="AA92" s="393">
        <v>0</v>
      </c>
      <c r="AB92" s="393">
        <v>0</v>
      </c>
      <c r="AC92" s="393">
        <v>0</v>
      </c>
      <c r="AD92" s="393">
        <v>0</v>
      </c>
      <c r="AE92" s="393">
        <v>0</v>
      </c>
      <c r="AF92" s="393">
        <v>0</v>
      </c>
      <c r="AG92" s="649">
        <v>0</v>
      </c>
      <c r="AH92" s="649"/>
      <c r="AI92" s="649">
        <f t="shared" si="14"/>
        <v>0</v>
      </c>
    </row>
    <row r="93" spans="1:35" x14ac:dyDescent="0.2">
      <c r="A93" s="1401">
        <v>1239</v>
      </c>
      <c r="B93" s="2968" t="s">
        <v>3944</v>
      </c>
      <c r="C93" s="2968"/>
      <c r="D93" t="str">
        <f t="shared" si="13"/>
        <v>OK</v>
      </c>
      <c r="E93" s="651">
        <v>0</v>
      </c>
      <c r="F93" s="651">
        <v>0</v>
      </c>
      <c r="G93" s="651">
        <v>0</v>
      </c>
      <c r="H93" s="651">
        <v>0</v>
      </c>
      <c r="I93" s="651">
        <v>0</v>
      </c>
      <c r="J93" s="651">
        <v>0</v>
      </c>
      <c r="K93" s="651">
        <v>0</v>
      </c>
      <c r="L93" s="651"/>
      <c r="M93" s="651">
        <v>0</v>
      </c>
      <c r="N93" s="651">
        <v>0</v>
      </c>
      <c r="O93" s="393">
        <v>0</v>
      </c>
      <c r="P93" s="393">
        <v>0</v>
      </c>
      <c r="Q93" s="393">
        <v>0</v>
      </c>
      <c r="R93" s="393">
        <v>0</v>
      </c>
      <c r="S93" s="393">
        <v>0</v>
      </c>
      <c r="T93" s="393">
        <v>0</v>
      </c>
      <c r="U93" s="393">
        <v>0</v>
      </c>
      <c r="V93" s="393">
        <v>0</v>
      </c>
      <c r="W93" s="393">
        <v>0</v>
      </c>
      <c r="X93" s="393">
        <v>0</v>
      </c>
      <c r="Y93" s="393">
        <v>0</v>
      </c>
      <c r="Z93" s="393">
        <v>0</v>
      </c>
      <c r="AA93" s="393">
        <v>0</v>
      </c>
      <c r="AB93" s="393">
        <v>0</v>
      </c>
      <c r="AC93" s="393">
        <v>0</v>
      </c>
      <c r="AD93" s="393">
        <v>0</v>
      </c>
      <c r="AE93" s="393">
        <v>0</v>
      </c>
      <c r="AF93" s="393">
        <v>0</v>
      </c>
      <c r="AG93" s="651">
        <v>0</v>
      </c>
      <c r="AH93" s="649"/>
      <c r="AI93" s="649">
        <f t="shared" si="14"/>
        <v>0</v>
      </c>
    </row>
    <row r="94" spans="1:35" x14ac:dyDescent="0.2">
      <c r="B94" s="2968" t="s">
        <v>3797</v>
      </c>
      <c r="C94" s="2968"/>
      <c r="D94" t="str">
        <f t="shared" si="13"/>
        <v>prob</v>
      </c>
      <c r="E94" s="661">
        <f>SUM(E87:E93)</f>
        <v>495033109.10000002</v>
      </c>
      <c r="F94" s="661">
        <f t="shared" ref="F94:AG94" si="15">SUM(F87:F93)</f>
        <v>373419314</v>
      </c>
      <c r="G94" s="661">
        <f t="shared" si="15"/>
        <v>92795706.010000005</v>
      </c>
      <c r="H94" s="661">
        <f t="shared" si="15"/>
        <v>0</v>
      </c>
      <c r="I94" s="661">
        <f t="shared" si="15"/>
        <v>28818089.09</v>
      </c>
      <c r="J94" s="661">
        <f t="shared" si="15"/>
        <v>0</v>
      </c>
      <c r="K94" s="661">
        <f t="shared" si="15"/>
        <v>0</v>
      </c>
      <c r="L94" s="661">
        <f t="shared" si="15"/>
        <v>0</v>
      </c>
      <c r="M94" s="661">
        <f>SUM(M87:M93)</f>
        <v>0</v>
      </c>
      <c r="N94" s="661">
        <f t="shared" si="15"/>
        <v>0</v>
      </c>
      <c r="O94" s="706">
        <f t="shared" si="15"/>
        <v>12624451</v>
      </c>
      <c r="P94" s="661">
        <f t="shared" si="15"/>
        <v>605346130.80999994</v>
      </c>
      <c r="Q94" s="661">
        <f t="shared" si="15"/>
        <v>302799755</v>
      </c>
      <c r="R94" s="661">
        <f t="shared" si="15"/>
        <v>94588912.379999995</v>
      </c>
      <c r="S94" s="661">
        <f t="shared" si="15"/>
        <v>131625364.56999999</v>
      </c>
      <c r="T94" s="661">
        <f t="shared" si="15"/>
        <v>14612608.369999999</v>
      </c>
      <c r="U94" s="661">
        <f t="shared" si="15"/>
        <v>81106901.030000001</v>
      </c>
      <c r="V94" s="661">
        <f t="shared" si="15"/>
        <v>166406057.68000001</v>
      </c>
      <c r="W94" s="661">
        <f t="shared" si="15"/>
        <v>51398912.729999997</v>
      </c>
      <c r="X94" s="661">
        <f t="shared" si="15"/>
        <v>50897925.43</v>
      </c>
      <c r="Y94" s="661">
        <f t="shared" si="15"/>
        <v>88887297.569999993</v>
      </c>
      <c r="Z94" s="661">
        <f t="shared" si="15"/>
        <v>28085434.93</v>
      </c>
      <c r="AA94" s="661">
        <f t="shared" si="15"/>
        <v>19834748.359999999</v>
      </c>
      <c r="AB94" s="661">
        <f t="shared" si="15"/>
        <v>12159012.4</v>
      </c>
      <c r="AC94" s="661">
        <f t="shared" si="15"/>
        <v>24809782.66</v>
      </c>
      <c r="AD94" s="661">
        <f t="shared" si="15"/>
        <v>32378135</v>
      </c>
      <c r="AE94" s="661">
        <f t="shared" si="15"/>
        <v>13933113.75</v>
      </c>
      <c r="AF94" s="661">
        <f t="shared" si="15"/>
        <v>1738656.43</v>
      </c>
      <c r="AG94" s="661">
        <f t="shared" si="15"/>
        <v>1016763.63</v>
      </c>
      <c r="AH94" s="649"/>
      <c r="AI94" s="649">
        <f t="shared" si="14"/>
        <v>2228266309.1999998</v>
      </c>
    </row>
    <row r="95" spans="1:35" x14ac:dyDescent="0.2">
      <c r="B95" s="398"/>
      <c r="C95" s="398"/>
      <c r="E95" s="649"/>
      <c r="F95" s="649"/>
      <c r="G95" s="649"/>
      <c r="H95" s="649"/>
      <c r="I95" s="649"/>
      <c r="J95" s="649"/>
      <c r="K95" s="649"/>
      <c r="L95" s="649"/>
      <c r="M95" s="649"/>
      <c r="N95" s="649"/>
      <c r="O95" s="393"/>
      <c r="P95" s="649"/>
      <c r="Q95" s="649"/>
      <c r="R95" s="649"/>
      <c r="S95" s="649"/>
      <c r="T95" s="649"/>
      <c r="U95" s="649"/>
      <c r="V95" s="649"/>
      <c r="W95" s="649"/>
      <c r="X95" s="649"/>
      <c r="Y95" s="649"/>
      <c r="Z95" s="649"/>
      <c r="AA95" s="649"/>
      <c r="AB95" s="649"/>
      <c r="AC95" s="649"/>
      <c r="AD95" s="649"/>
      <c r="AE95" s="649"/>
      <c r="AF95" s="649"/>
      <c r="AG95" s="649"/>
    </row>
    <row r="96" spans="1:35" x14ac:dyDescent="0.2">
      <c r="B96" s="394" t="s">
        <v>273</v>
      </c>
      <c r="C96" s="394"/>
      <c r="E96" s="649"/>
      <c r="F96" s="649"/>
      <c r="G96" s="649"/>
      <c r="H96" s="649"/>
      <c r="I96" s="649"/>
      <c r="J96" s="649"/>
      <c r="K96" s="649"/>
      <c r="L96" s="649"/>
      <c r="M96" s="649"/>
      <c r="N96" s="649"/>
      <c r="O96" s="393"/>
      <c r="P96" s="649"/>
      <c r="Q96" s="649"/>
      <c r="R96" s="649"/>
      <c r="S96" s="649"/>
      <c r="T96" s="649"/>
      <c r="U96" s="649"/>
      <c r="V96" s="649"/>
      <c r="W96" s="649"/>
      <c r="X96" s="649"/>
      <c r="Y96" s="649"/>
      <c r="Z96" s="649"/>
      <c r="AA96" s="649"/>
      <c r="AB96" s="649"/>
      <c r="AC96" s="649"/>
      <c r="AD96" s="649"/>
      <c r="AE96" s="649"/>
      <c r="AF96" s="649"/>
      <c r="AG96" s="649"/>
    </row>
    <row r="97" spans="1:35" x14ac:dyDescent="0.2">
      <c r="B97" s="401" t="s">
        <v>274</v>
      </c>
      <c r="C97" s="401"/>
      <c r="E97" s="649"/>
      <c r="F97" s="649"/>
      <c r="G97" s="649"/>
      <c r="H97" s="649"/>
      <c r="I97" s="649"/>
      <c r="J97" s="649"/>
      <c r="K97" s="649"/>
      <c r="L97" s="649"/>
      <c r="M97" s="649"/>
      <c r="N97" s="649"/>
      <c r="O97" s="393"/>
      <c r="P97" s="649"/>
      <c r="Q97" s="649"/>
      <c r="R97" s="649"/>
      <c r="S97" s="649"/>
      <c r="T97" s="649"/>
      <c r="U97" s="649"/>
      <c r="V97" s="649"/>
      <c r="W97" s="649"/>
      <c r="X97" s="649"/>
      <c r="Y97" s="649"/>
      <c r="Z97" s="649"/>
      <c r="AA97" s="649"/>
      <c r="AB97" s="649"/>
      <c r="AC97" s="649"/>
      <c r="AD97" s="649"/>
      <c r="AE97" s="649"/>
      <c r="AF97" s="649"/>
      <c r="AG97" s="649"/>
    </row>
    <row r="98" spans="1:35" x14ac:dyDescent="0.2">
      <c r="B98" s="335" t="s">
        <v>275</v>
      </c>
      <c r="C98" s="335"/>
      <c r="E98" s="649"/>
      <c r="F98" s="649"/>
      <c r="G98" s="649"/>
      <c r="H98" s="649"/>
      <c r="I98" s="649"/>
      <c r="J98" s="649"/>
      <c r="K98" s="649"/>
      <c r="L98" s="649"/>
      <c r="M98" s="649"/>
      <c r="N98" s="649"/>
      <c r="O98" s="393"/>
      <c r="P98" s="649"/>
      <c r="Q98" s="649"/>
      <c r="R98" s="649"/>
      <c r="S98" s="649"/>
      <c r="T98" s="649"/>
      <c r="U98" s="649"/>
      <c r="V98" s="649"/>
      <c r="W98" s="649"/>
      <c r="X98" s="649"/>
      <c r="Y98" s="649"/>
      <c r="Z98" s="649"/>
      <c r="AA98" s="649"/>
      <c r="AB98" s="649"/>
      <c r="AC98" s="649"/>
      <c r="AD98" s="649"/>
      <c r="AE98" s="649"/>
      <c r="AF98" s="649"/>
      <c r="AG98" s="649"/>
    </row>
    <row r="99" spans="1:35" x14ac:dyDescent="0.2">
      <c r="A99" s="335">
        <v>1640</v>
      </c>
      <c r="B99" s="3007" t="s">
        <v>1060</v>
      </c>
      <c r="C99" s="3007"/>
      <c r="D99" t="str">
        <f>IF(ROUND(SUM(F99:N99),2)-ROUND(E99,2)=0,"OK","prob")</f>
        <v>OK</v>
      </c>
      <c r="E99" s="649">
        <v>327004888.91000003</v>
      </c>
      <c r="F99" s="649">
        <v>134142815.22</v>
      </c>
      <c r="G99" s="649">
        <v>105003526</v>
      </c>
      <c r="H99" s="649">
        <v>98802</v>
      </c>
      <c r="I99" s="649">
        <v>58723125.25</v>
      </c>
      <c r="J99" s="649">
        <v>2001884.62</v>
      </c>
      <c r="K99" s="649">
        <v>18341329.52</v>
      </c>
      <c r="L99" s="649"/>
      <c r="M99" s="649">
        <v>4988271.5999999996</v>
      </c>
      <c r="N99" s="649">
        <v>3705134.7</v>
      </c>
      <c r="O99" s="393">
        <v>2732593.64</v>
      </c>
      <c r="P99" s="393">
        <v>86756808.019999996</v>
      </c>
      <c r="Q99" s="393">
        <v>48618192.810000002</v>
      </c>
      <c r="R99" s="393">
        <v>4672996.8600000003</v>
      </c>
      <c r="S99" s="393">
        <v>12184850.029999999</v>
      </c>
      <c r="T99" s="393">
        <v>1066987.81</v>
      </c>
      <c r="U99" s="393">
        <v>4906629.72</v>
      </c>
      <c r="V99" s="393">
        <v>17944506.82</v>
      </c>
      <c r="W99" s="393">
        <v>5181945.49</v>
      </c>
      <c r="X99" s="393">
        <v>19286724.510000002</v>
      </c>
      <c r="Y99" s="393">
        <v>10093536.93</v>
      </c>
      <c r="Z99" s="393">
        <v>6491603.3600000003</v>
      </c>
      <c r="AA99" s="393">
        <v>2489480.13</v>
      </c>
      <c r="AB99" s="393">
        <v>2068444.09</v>
      </c>
      <c r="AC99" s="393">
        <v>2050706.24</v>
      </c>
      <c r="AD99" s="393">
        <v>6105482.5800000001</v>
      </c>
      <c r="AE99" s="393">
        <v>7971822.4100000001</v>
      </c>
      <c r="AF99" s="393">
        <v>355853.48</v>
      </c>
      <c r="AG99" s="649">
        <v>75242.69</v>
      </c>
      <c r="AI99" s="649">
        <f t="shared" ref="AI99:AI133" si="16">SUM(F99:AF99)</f>
        <v>567984053.84000003</v>
      </c>
    </row>
    <row r="100" spans="1:35" x14ac:dyDescent="0.2">
      <c r="A100" s="335">
        <v>1650</v>
      </c>
      <c r="B100" s="3007" t="s">
        <v>815</v>
      </c>
      <c r="C100" s="3007"/>
      <c r="D100" t="str">
        <f>IF(SUM(F100:N100)-E100=0,"OK","prob")</f>
        <v>prob</v>
      </c>
      <c r="E100" s="649">
        <v>272996322.77999997</v>
      </c>
      <c r="F100" s="649">
        <v>48958083.75</v>
      </c>
      <c r="G100" s="649">
        <v>129856556</v>
      </c>
      <c r="H100" s="649">
        <v>0</v>
      </c>
      <c r="I100" s="649">
        <v>61763017.020000003</v>
      </c>
      <c r="J100" s="649">
        <v>1038667.77</v>
      </c>
      <c r="K100" s="649">
        <v>20674586.219999999</v>
      </c>
      <c r="L100" s="649"/>
      <c r="M100" s="649">
        <v>3151425.38</v>
      </c>
      <c r="N100" s="649">
        <v>7553986.6399999997</v>
      </c>
      <c r="O100" s="393">
        <v>1316332.1000000001</v>
      </c>
      <c r="P100" s="393">
        <v>100454331.33</v>
      </c>
      <c r="Q100" s="393">
        <v>7240077.4900000002</v>
      </c>
      <c r="R100" s="393">
        <v>7279784.5099999998</v>
      </c>
      <c r="S100" s="393">
        <v>883248.43</v>
      </c>
      <c r="T100" s="393">
        <v>481836.28</v>
      </c>
      <c r="U100" s="393">
        <v>636672.1</v>
      </c>
      <c r="V100" s="393">
        <v>19238684.940000001</v>
      </c>
      <c r="W100" s="393">
        <v>1458847.56</v>
      </c>
      <c r="X100" s="393">
        <v>1282516.9099999999</v>
      </c>
      <c r="Y100" s="393">
        <v>4040169.29</v>
      </c>
      <c r="Z100" s="393">
        <v>339636.43</v>
      </c>
      <c r="AA100" s="393">
        <v>94393.32</v>
      </c>
      <c r="AB100" s="393">
        <v>1028354.58</v>
      </c>
      <c r="AC100" s="393">
        <v>1051165.72</v>
      </c>
      <c r="AD100" s="393">
        <v>1771699.21</v>
      </c>
      <c r="AE100" s="393">
        <v>215011.13</v>
      </c>
      <c r="AF100" s="393">
        <v>0</v>
      </c>
      <c r="AG100" s="649">
        <v>14227.04</v>
      </c>
      <c r="AI100" s="649">
        <f t="shared" si="16"/>
        <v>421809084.11000001</v>
      </c>
    </row>
    <row r="101" spans="1:35" x14ac:dyDescent="0.2">
      <c r="A101" s="335">
        <v>1660</v>
      </c>
      <c r="B101" s="3007" t="s">
        <v>816</v>
      </c>
      <c r="C101" s="3007"/>
      <c r="D101" t="str">
        <f>IF(SUM(F101:N101)-E101=0,"OK","prob")</f>
        <v>OK</v>
      </c>
      <c r="E101" s="649">
        <v>147956854.84</v>
      </c>
      <c r="F101" s="649">
        <v>144023819.12</v>
      </c>
      <c r="G101" s="649">
        <v>0</v>
      </c>
      <c r="H101" s="649">
        <v>0</v>
      </c>
      <c r="I101" s="649">
        <v>0</v>
      </c>
      <c r="J101" s="649">
        <v>1781682.38</v>
      </c>
      <c r="K101" s="649">
        <v>1702800.09</v>
      </c>
      <c r="L101" s="649"/>
      <c r="M101" s="649">
        <v>0</v>
      </c>
      <c r="N101" s="649">
        <v>448553.25</v>
      </c>
      <c r="O101" s="393">
        <v>0</v>
      </c>
      <c r="P101" s="393">
        <v>13575854.289999999</v>
      </c>
      <c r="Q101" s="393">
        <v>0</v>
      </c>
      <c r="R101" s="393">
        <v>0</v>
      </c>
      <c r="S101" s="393">
        <v>454554.23</v>
      </c>
      <c r="T101" s="393">
        <v>0</v>
      </c>
      <c r="U101" s="393">
        <v>11844.23</v>
      </c>
      <c r="V101" s="393">
        <v>0</v>
      </c>
      <c r="W101" s="393">
        <v>36157.699999999997</v>
      </c>
      <c r="X101" s="393">
        <v>0</v>
      </c>
      <c r="Y101" s="393">
        <v>37563.97</v>
      </c>
      <c r="Z101" s="393">
        <v>0</v>
      </c>
      <c r="AA101" s="393">
        <v>0</v>
      </c>
      <c r="AB101" s="393">
        <v>0</v>
      </c>
      <c r="AC101" s="393">
        <v>0</v>
      </c>
      <c r="AD101" s="393">
        <v>97953</v>
      </c>
      <c r="AE101" s="393">
        <v>0</v>
      </c>
      <c r="AF101" s="393">
        <v>0</v>
      </c>
      <c r="AG101" s="649">
        <v>0</v>
      </c>
      <c r="AI101" s="649">
        <f t="shared" si="16"/>
        <v>162170782.25999999</v>
      </c>
    </row>
    <row r="102" spans="1:35" x14ac:dyDescent="0.2">
      <c r="A102" s="335">
        <v>1670</v>
      </c>
      <c r="B102" s="3007" t="s">
        <v>700</v>
      </c>
      <c r="C102" s="3007"/>
      <c r="D102" t="str">
        <f>IF(SUM(F102:N102)-E102=0,"OK","prob")</f>
        <v>OK</v>
      </c>
      <c r="E102" s="649">
        <v>118939.75</v>
      </c>
      <c r="F102" s="649">
        <v>0</v>
      </c>
      <c r="G102" s="649">
        <v>0</v>
      </c>
      <c r="H102" s="649">
        <v>0</v>
      </c>
      <c r="I102" s="649">
        <v>0</v>
      </c>
      <c r="J102" s="649">
        <v>0</v>
      </c>
      <c r="K102" s="649">
        <v>0</v>
      </c>
      <c r="L102" s="649"/>
      <c r="M102" s="649">
        <v>59086.03</v>
      </c>
      <c r="N102" s="649">
        <v>59853.72</v>
      </c>
      <c r="O102" s="393">
        <v>0</v>
      </c>
      <c r="P102" s="393">
        <v>0</v>
      </c>
      <c r="Q102" s="393">
        <v>0</v>
      </c>
      <c r="R102" s="393">
        <v>0</v>
      </c>
      <c r="S102" s="393">
        <v>0</v>
      </c>
      <c r="T102" s="393">
        <v>0</v>
      </c>
      <c r="U102" s="393">
        <v>0</v>
      </c>
      <c r="V102" s="393">
        <v>0</v>
      </c>
      <c r="W102" s="393">
        <v>0</v>
      </c>
      <c r="X102" s="393">
        <v>0</v>
      </c>
      <c r="Y102" s="393">
        <v>0</v>
      </c>
      <c r="Z102" s="393">
        <v>0</v>
      </c>
      <c r="AA102" s="393">
        <v>0</v>
      </c>
      <c r="AB102" s="393">
        <v>0</v>
      </c>
      <c r="AC102" s="393">
        <v>0</v>
      </c>
      <c r="AD102" s="393">
        <v>0</v>
      </c>
      <c r="AE102" s="393">
        <v>0</v>
      </c>
      <c r="AF102" s="393">
        <v>0</v>
      </c>
      <c r="AG102" s="649">
        <v>0</v>
      </c>
      <c r="AI102" s="649">
        <f t="shared" si="16"/>
        <v>118939.75</v>
      </c>
    </row>
    <row r="103" spans="1:35" x14ac:dyDescent="0.2">
      <c r="A103" s="335">
        <v>1840</v>
      </c>
      <c r="B103" s="2876" t="s">
        <v>278</v>
      </c>
      <c r="C103" s="2876"/>
      <c r="D103" t="str">
        <f>IF(SUM(F103:N103)=E103,"OK","prob")</f>
        <v>OK</v>
      </c>
      <c r="E103" s="649">
        <v>10624575.23</v>
      </c>
      <c r="F103" s="649">
        <v>4997774.74</v>
      </c>
      <c r="G103" s="649">
        <v>0</v>
      </c>
      <c r="H103" s="649">
        <v>0</v>
      </c>
      <c r="I103" s="649">
        <v>5626800.4900000002</v>
      </c>
      <c r="J103" s="649">
        <v>0</v>
      </c>
      <c r="K103" s="649">
        <v>0</v>
      </c>
      <c r="L103" s="649"/>
      <c r="M103" s="649">
        <v>0</v>
      </c>
      <c r="N103" s="649">
        <v>0</v>
      </c>
      <c r="O103" s="393">
        <v>369.66</v>
      </c>
      <c r="P103" s="393">
        <v>3301921.82</v>
      </c>
      <c r="Q103" s="393">
        <v>4332743.7699999996</v>
      </c>
      <c r="R103" s="393">
        <v>2988937.51</v>
      </c>
      <c r="S103" s="393">
        <v>5513164.71</v>
      </c>
      <c r="T103" s="393">
        <v>291104.67</v>
      </c>
      <c r="U103" s="393">
        <v>1289374.58</v>
      </c>
      <c r="V103" s="393">
        <v>2868857.65</v>
      </c>
      <c r="W103" s="393">
        <v>928992.21</v>
      </c>
      <c r="X103" s="393">
        <v>2008076.05</v>
      </c>
      <c r="Y103" s="393">
        <v>2345332.9</v>
      </c>
      <c r="Z103" s="393">
        <v>451603.33</v>
      </c>
      <c r="AA103" s="393">
        <v>773792.13</v>
      </c>
      <c r="AB103" s="393">
        <v>230086.99</v>
      </c>
      <c r="AC103" s="393">
        <v>376962.75</v>
      </c>
      <c r="AD103" s="393">
        <v>1152513.07</v>
      </c>
      <c r="AE103" s="393">
        <v>703342.43</v>
      </c>
      <c r="AF103" s="393">
        <v>0</v>
      </c>
      <c r="AG103" s="649">
        <v>0</v>
      </c>
      <c r="AI103" s="649">
        <f t="shared" si="16"/>
        <v>40181751.460000001</v>
      </c>
    </row>
    <row r="104" spans="1:35" x14ac:dyDescent="0.2">
      <c r="A104" s="335"/>
      <c r="B104" s="335" t="s">
        <v>1423</v>
      </c>
      <c r="C104" s="335"/>
      <c r="E104" s="649"/>
      <c r="F104" s="649"/>
      <c r="G104" s="649"/>
      <c r="H104" s="649"/>
      <c r="I104" s="649"/>
      <c r="J104" s="649"/>
      <c r="K104" s="649"/>
      <c r="L104" s="649"/>
      <c r="M104" s="649"/>
      <c r="N104" s="649"/>
      <c r="O104" s="393"/>
      <c r="P104" s="1286"/>
      <c r="Q104" s="1286"/>
      <c r="R104" s="649"/>
      <c r="S104" s="649"/>
      <c r="T104" s="649"/>
      <c r="U104" s="649"/>
      <c r="V104" s="649"/>
      <c r="W104" s="649"/>
      <c r="X104" s="649"/>
      <c r="Y104" s="649"/>
      <c r="Z104" s="649"/>
      <c r="AA104" s="649"/>
      <c r="AB104" s="649"/>
      <c r="AC104" s="649"/>
      <c r="AD104" s="649"/>
      <c r="AE104" s="649"/>
      <c r="AF104" s="649"/>
      <c r="AG104" s="649"/>
      <c r="AI104" s="649">
        <f t="shared" si="16"/>
        <v>0</v>
      </c>
    </row>
    <row r="105" spans="1:35" x14ac:dyDescent="0.2">
      <c r="A105" s="1129">
        <v>1788</v>
      </c>
      <c r="B105" s="3007" t="s">
        <v>4625</v>
      </c>
      <c r="C105" s="3007"/>
      <c r="D105" t="str">
        <f>IF(SUM(F105:N105)-E105=0,"OK","prob")</f>
        <v>OK</v>
      </c>
      <c r="E105" s="1823">
        <v>0</v>
      </c>
      <c r="F105" s="1823">
        <v>0</v>
      </c>
      <c r="G105" s="1823">
        <v>0</v>
      </c>
      <c r="H105" s="1823">
        <v>0</v>
      </c>
      <c r="I105" s="1823">
        <v>0</v>
      </c>
      <c r="J105" s="1823">
        <v>0</v>
      </c>
      <c r="K105" s="1823">
        <v>0</v>
      </c>
      <c r="L105" s="1823"/>
      <c r="M105" s="1823">
        <v>0</v>
      </c>
      <c r="N105" s="1823">
        <v>0</v>
      </c>
      <c r="O105" s="2016">
        <v>0</v>
      </c>
      <c r="P105" s="2016">
        <v>0</v>
      </c>
      <c r="Q105" s="2016">
        <v>0</v>
      </c>
      <c r="R105" s="2016">
        <v>0</v>
      </c>
      <c r="S105" s="2016">
        <v>0</v>
      </c>
      <c r="T105" s="2016">
        <v>0</v>
      </c>
      <c r="U105" s="2016">
        <v>0</v>
      </c>
      <c r="V105" s="2016">
        <v>0</v>
      </c>
      <c r="W105" s="2016">
        <v>0</v>
      </c>
      <c r="X105" s="2016">
        <v>0</v>
      </c>
      <c r="Y105" s="2016">
        <v>0</v>
      </c>
      <c r="Z105" s="2016">
        <v>0</v>
      </c>
      <c r="AA105" s="2016">
        <v>0</v>
      </c>
      <c r="AB105" s="2016">
        <v>0</v>
      </c>
      <c r="AC105" s="2016">
        <v>0</v>
      </c>
      <c r="AD105" s="2016">
        <v>0</v>
      </c>
      <c r="AE105" s="2016">
        <v>0</v>
      </c>
      <c r="AF105" s="2016">
        <v>0</v>
      </c>
      <c r="AG105" s="1823">
        <v>0</v>
      </c>
      <c r="AI105" s="649">
        <f t="shared" si="16"/>
        <v>0</v>
      </c>
    </row>
    <row r="106" spans="1:35" x14ac:dyDescent="0.2">
      <c r="A106" s="1129">
        <v>1785</v>
      </c>
      <c r="B106" s="3007" t="s">
        <v>1541</v>
      </c>
      <c r="C106" s="3007"/>
      <c r="D106" t="str">
        <f>IF(SUM(F106:N106)-E106=0,"OK","prob")</f>
        <v>OK</v>
      </c>
      <c r="E106" s="1823">
        <v>0</v>
      </c>
      <c r="F106" s="1823">
        <v>0</v>
      </c>
      <c r="G106" s="1823">
        <v>0</v>
      </c>
      <c r="H106" s="1823">
        <v>0</v>
      </c>
      <c r="I106" s="1823">
        <v>0</v>
      </c>
      <c r="J106" s="1823">
        <v>0</v>
      </c>
      <c r="K106" s="1823">
        <v>0</v>
      </c>
      <c r="L106" s="1823"/>
      <c r="M106" s="1823">
        <v>0</v>
      </c>
      <c r="N106" s="1823">
        <v>0</v>
      </c>
      <c r="O106" s="2016">
        <v>0</v>
      </c>
      <c r="P106" s="2016">
        <v>0</v>
      </c>
      <c r="Q106" s="2016">
        <v>0</v>
      </c>
      <c r="R106" s="2016">
        <v>0</v>
      </c>
      <c r="S106" s="2016">
        <v>0</v>
      </c>
      <c r="T106" s="2016">
        <v>0</v>
      </c>
      <c r="U106" s="2016">
        <v>0</v>
      </c>
      <c r="V106" s="2016">
        <v>0</v>
      </c>
      <c r="W106" s="2016">
        <v>0</v>
      </c>
      <c r="X106" s="2016">
        <v>0</v>
      </c>
      <c r="Y106" s="2016">
        <v>0</v>
      </c>
      <c r="Z106" s="2016">
        <v>0</v>
      </c>
      <c r="AA106" s="2016">
        <v>0</v>
      </c>
      <c r="AB106" s="2016">
        <v>0</v>
      </c>
      <c r="AC106" s="2016">
        <v>0</v>
      </c>
      <c r="AD106" s="2016">
        <v>0</v>
      </c>
      <c r="AE106" s="2016">
        <v>0</v>
      </c>
      <c r="AF106" s="2016">
        <v>0</v>
      </c>
      <c r="AG106" s="1823">
        <v>0</v>
      </c>
      <c r="AI106" s="649">
        <f t="shared" si="16"/>
        <v>0</v>
      </c>
    </row>
    <row r="107" spans="1:35" x14ac:dyDescent="0.2">
      <c r="A107" s="1129">
        <v>1790</v>
      </c>
      <c r="B107" s="3007" t="s">
        <v>4595</v>
      </c>
      <c r="C107" s="3007"/>
      <c r="D107" t="str">
        <f>IF(SUM(F107:N107)-E107=0,"OK","prob")</f>
        <v>OK</v>
      </c>
      <c r="E107" s="1823">
        <v>0</v>
      </c>
      <c r="F107" s="1823">
        <v>0</v>
      </c>
      <c r="G107" s="1823">
        <v>0</v>
      </c>
      <c r="H107" s="1823">
        <v>0</v>
      </c>
      <c r="I107" s="1823">
        <v>0</v>
      </c>
      <c r="J107" s="1823">
        <v>0</v>
      </c>
      <c r="K107" s="1823">
        <v>0</v>
      </c>
      <c r="L107" s="1823"/>
      <c r="M107" s="1823">
        <v>0</v>
      </c>
      <c r="N107" s="1823">
        <v>0</v>
      </c>
      <c r="O107" s="2016">
        <v>0</v>
      </c>
      <c r="P107" s="2016">
        <v>0</v>
      </c>
      <c r="Q107" s="2016">
        <v>0</v>
      </c>
      <c r="R107" s="2016">
        <v>0</v>
      </c>
      <c r="S107" s="2016">
        <v>0</v>
      </c>
      <c r="T107" s="2016">
        <v>0</v>
      </c>
      <c r="U107" s="2016">
        <v>0</v>
      </c>
      <c r="V107" s="2016">
        <v>0</v>
      </c>
      <c r="W107" s="2016">
        <v>0</v>
      </c>
      <c r="X107" s="2016">
        <v>0</v>
      </c>
      <c r="Y107" s="2016">
        <v>0</v>
      </c>
      <c r="Z107" s="2016">
        <v>0</v>
      </c>
      <c r="AA107" s="2016">
        <v>0</v>
      </c>
      <c r="AB107" s="2016">
        <v>0</v>
      </c>
      <c r="AC107" s="2016">
        <v>0</v>
      </c>
      <c r="AD107" s="2016">
        <v>0</v>
      </c>
      <c r="AE107" s="2016">
        <v>0</v>
      </c>
      <c r="AF107" s="2016">
        <v>0</v>
      </c>
      <c r="AG107" s="1823">
        <v>0</v>
      </c>
      <c r="AI107" s="649">
        <f t="shared" si="16"/>
        <v>0</v>
      </c>
    </row>
    <row r="108" spans="1:35" x14ac:dyDescent="0.2">
      <c r="A108" s="1129">
        <v>1791</v>
      </c>
      <c r="B108" s="3007" t="s">
        <v>4692</v>
      </c>
      <c r="C108" s="3007"/>
      <c r="D108" t="str">
        <f>IF(SUM(F108:N108)-E108=0,"OK","prob")</f>
        <v>OK</v>
      </c>
      <c r="E108" s="1823">
        <v>0</v>
      </c>
      <c r="F108" s="1823">
        <v>0</v>
      </c>
      <c r="G108" s="1823">
        <v>0</v>
      </c>
      <c r="H108" s="1823">
        <v>0</v>
      </c>
      <c r="I108" s="1823">
        <v>0</v>
      </c>
      <c r="J108" s="1823">
        <v>0</v>
      </c>
      <c r="K108" s="1823">
        <v>0</v>
      </c>
      <c r="L108" s="1823"/>
      <c r="M108" s="1823">
        <v>0</v>
      </c>
      <c r="N108" s="1823">
        <v>0</v>
      </c>
      <c r="O108" s="2016">
        <v>0</v>
      </c>
      <c r="P108" s="2016">
        <v>0</v>
      </c>
      <c r="Q108" s="2016">
        <v>0</v>
      </c>
      <c r="R108" s="2016">
        <v>0</v>
      </c>
      <c r="S108" s="2016">
        <v>0</v>
      </c>
      <c r="T108" s="2016">
        <v>0</v>
      </c>
      <c r="U108" s="2016">
        <v>0</v>
      </c>
      <c r="V108" s="2016">
        <v>0</v>
      </c>
      <c r="W108" s="2016">
        <v>0</v>
      </c>
      <c r="X108" s="2016">
        <v>0</v>
      </c>
      <c r="Y108" s="2016">
        <v>0</v>
      </c>
      <c r="Z108" s="2016">
        <v>0</v>
      </c>
      <c r="AA108" s="2016">
        <v>0</v>
      </c>
      <c r="AB108" s="2016">
        <v>0</v>
      </c>
      <c r="AC108" s="2016">
        <v>0</v>
      </c>
      <c r="AD108" s="2016">
        <v>0</v>
      </c>
      <c r="AE108" s="2016">
        <v>0</v>
      </c>
      <c r="AF108" s="2016">
        <v>0</v>
      </c>
      <c r="AG108" s="1823">
        <v>0</v>
      </c>
      <c r="AI108" s="649">
        <f t="shared" si="16"/>
        <v>0</v>
      </c>
    </row>
    <row r="109" spans="1:35" x14ac:dyDescent="0.2">
      <c r="A109" s="1129">
        <v>1787</v>
      </c>
      <c r="B109" s="3007" t="s">
        <v>1542</v>
      </c>
      <c r="C109" s="3007"/>
      <c r="D109" t="str">
        <f>IF(SUM(F109:N109)-E109=0,"OK","prob")</f>
        <v>OK</v>
      </c>
      <c r="E109" s="1823">
        <v>0</v>
      </c>
      <c r="F109" s="1823">
        <v>0</v>
      </c>
      <c r="G109" s="1823">
        <v>0</v>
      </c>
      <c r="H109" s="1823">
        <v>0</v>
      </c>
      <c r="I109" s="1823">
        <v>0</v>
      </c>
      <c r="J109" s="1823">
        <v>0</v>
      </c>
      <c r="K109" s="1823">
        <v>0</v>
      </c>
      <c r="L109" s="1823"/>
      <c r="M109" s="1823">
        <v>0</v>
      </c>
      <c r="N109" s="1823">
        <v>0</v>
      </c>
      <c r="O109" s="2016">
        <v>0</v>
      </c>
      <c r="P109" s="2016">
        <v>0</v>
      </c>
      <c r="Q109" s="2016">
        <v>0</v>
      </c>
      <c r="R109" s="2016">
        <v>0</v>
      </c>
      <c r="S109" s="2016">
        <v>0</v>
      </c>
      <c r="T109" s="2016">
        <v>0</v>
      </c>
      <c r="U109" s="2016">
        <v>0</v>
      </c>
      <c r="V109" s="2016">
        <v>0</v>
      </c>
      <c r="W109" s="2016">
        <v>0</v>
      </c>
      <c r="X109" s="2016">
        <v>0</v>
      </c>
      <c r="Y109" s="2016">
        <v>0</v>
      </c>
      <c r="Z109" s="2016">
        <v>0</v>
      </c>
      <c r="AA109" s="2016">
        <v>0</v>
      </c>
      <c r="AB109" s="2016">
        <v>0</v>
      </c>
      <c r="AC109" s="2016">
        <v>0</v>
      </c>
      <c r="AD109" s="2016">
        <v>0</v>
      </c>
      <c r="AE109" s="2016">
        <v>0</v>
      </c>
      <c r="AF109" s="2016">
        <v>0</v>
      </c>
      <c r="AG109" s="1823">
        <v>0</v>
      </c>
      <c r="AI109" s="649">
        <f t="shared" si="16"/>
        <v>0</v>
      </c>
    </row>
    <row r="110" spans="1:35" x14ac:dyDescent="0.2">
      <c r="A110" s="1129">
        <v>1730</v>
      </c>
      <c r="B110" s="2876" t="s">
        <v>276</v>
      </c>
      <c r="C110" s="2876"/>
      <c r="D110" t="str">
        <f>IF(ROUND(SUM(F110:N110),2)-ROUND(E110,2)=0,"OK","prob")</f>
        <v>OK</v>
      </c>
      <c r="E110" s="1823">
        <v>449660479.10000002</v>
      </c>
      <c r="F110" s="1823">
        <v>113261097.09999999</v>
      </c>
      <c r="G110" s="1823">
        <v>264751166.5</v>
      </c>
      <c r="H110" s="1823">
        <v>0</v>
      </c>
      <c r="I110" s="1823">
        <v>12343878.75</v>
      </c>
      <c r="J110" s="1823">
        <v>8182335</v>
      </c>
      <c r="K110" s="1823">
        <v>40554281.75</v>
      </c>
      <c r="L110" s="1823"/>
      <c r="M110" s="1823">
        <v>10567720</v>
      </c>
      <c r="N110" s="1823">
        <v>0</v>
      </c>
      <c r="O110" s="2016">
        <v>0</v>
      </c>
      <c r="P110" s="2016">
        <v>15842023.42</v>
      </c>
      <c r="Q110" s="2016">
        <v>0</v>
      </c>
      <c r="R110" s="2016">
        <v>1657.78</v>
      </c>
      <c r="S110" s="2016">
        <v>0</v>
      </c>
      <c r="T110" s="2016">
        <v>0</v>
      </c>
      <c r="U110" s="2016">
        <v>0</v>
      </c>
      <c r="V110" s="2016">
        <v>1012933.72</v>
      </c>
      <c r="W110" s="2016">
        <v>0</v>
      </c>
      <c r="X110" s="2016">
        <v>6101.66</v>
      </c>
      <c r="Y110" s="2016">
        <v>0</v>
      </c>
      <c r="Z110" s="2016">
        <v>0</v>
      </c>
      <c r="AA110" s="2016">
        <v>46822.58</v>
      </c>
      <c r="AB110" s="2016">
        <v>0</v>
      </c>
      <c r="AC110" s="2016">
        <v>69530.59</v>
      </c>
      <c r="AD110" s="2016">
        <v>0</v>
      </c>
      <c r="AE110" s="2016">
        <v>6803.53</v>
      </c>
      <c r="AF110" s="2016">
        <v>0</v>
      </c>
      <c r="AG110" s="1823">
        <v>0</v>
      </c>
      <c r="AI110" s="649">
        <f t="shared" si="16"/>
        <v>466646352.38</v>
      </c>
    </row>
    <row r="111" spans="1:35" x14ac:dyDescent="0.2">
      <c r="A111" s="1129">
        <v>1735</v>
      </c>
      <c r="B111" s="2876" t="s">
        <v>1543</v>
      </c>
      <c r="C111" s="2876"/>
      <c r="D111" t="str">
        <f t="shared" ref="D111:D118" si="17">IF(SUM(F111:N111)-E111=0,"OK","prob")</f>
        <v>OK</v>
      </c>
      <c r="E111" s="1823">
        <v>0</v>
      </c>
      <c r="F111" s="1823">
        <v>0</v>
      </c>
      <c r="G111" s="1823">
        <v>0</v>
      </c>
      <c r="H111" s="1823">
        <v>0</v>
      </c>
      <c r="I111" s="1823">
        <v>0</v>
      </c>
      <c r="J111" s="1823">
        <v>0</v>
      </c>
      <c r="K111" s="1823">
        <v>0</v>
      </c>
      <c r="L111" s="1823"/>
      <c r="M111" s="1823">
        <v>0</v>
      </c>
      <c r="N111" s="1823">
        <v>0</v>
      </c>
      <c r="O111" s="2016">
        <v>0</v>
      </c>
      <c r="P111" s="2016">
        <v>12433614.41</v>
      </c>
      <c r="Q111" s="2016">
        <v>0</v>
      </c>
      <c r="R111" s="2016">
        <v>0</v>
      </c>
      <c r="S111" s="2016">
        <v>70879731</v>
      </c>
      <c r="T111" s="2016">
        <v>887907.17</v>
      </c>
      <c r="U111" s="2016">
        <v>0</v>
      </c>
      <c r="V111" s="2016">
        <v>0</v>
      </c>
      <c r="W111" s="2016">
        <v>76994</v>
      </c>
      <c r="X111" s="2016">
        <v>0</v>
      </c>
      <c r="Y111" s="2016">
        <v>0</v>
      </c>
      <c r="Z111" s="2016">
        <v>0</v>
      </c>
      <c r="AA111" s="2016">
        <v>0</v>
      </c>
      <c r="AB111" s="2016">
        <v>0</v>
      </c>
      <c r="AC111" s="2016">
        <v>0</v>
      </c>
      <c r="AD111" s="2016">
        <v>0</v>
      </c>
      <c r="AE111" s="2016">
        <v>0</v>
      </c>
      <c r="AF111" s="2016">
        <v>0</v>
      </c>
      <c r="AG111" s="1823">
        <v>0</v>
      </c>
      <c r="AI111" s="649">
        <f t="shared" si="16"/>
        <v>84278246.579999998</v>
      </c>
    </row>
    <row r="112" spans="1:35" x14ac:dyDescent="0.2">
      <c r="A112" s="1129">
        <v>1740</v>
      </c>
      <c r="B112" s="2876" t="s">
        <v>699</v>
      </c>
      <c r="C112" s="2876"/>
      <c r="D112" t="str">
        <f t="shared" si="17"/>
        <v>OK</v>
      </c>
      <c r="E112" s="1823">
        <v>14155630.82</v>
      </c>
      <c r="F112" s="1823">
        <v>11086197.42</v>
      </c>
      <c r="G112" s="1823">
        <v>3069433.4</v>
      </c>
      <c r="H112" s="1823">
        <v>0</v>
      </c>
      <c r="I112" s="1823">
        <v>0</v>
      </c>
      <c r="J112" s="1823">
        <v>0</v>
      </c>
      <c r="K112" s="1823">
        <v>0</v>
      </c>
      <c r="L112" s="1823"/>
      <c r="M112" s="1823">
        <v>0</v>
      </c>
      <c r="N112" s="1823">
        <v>0</v>
      </c>
      <c r="O112" s="2016">
        <v>1726011.59</v>
      </c>
      <c r="P112" s="2016">
        <v>0</v>
      </c>
      <c r="Q112" s="2016">
        <v>10656897.43</v>
      </c>
      <c r="R112" s="2016">
        <v>0</v>
      </c>
      <c r="S112" s="2016">
        <v>0</v>
      </c>
      <c r="T112" s="2016">
        <v>0</v>
      </c>
      <c r="U112" s="2016">
        <v>0</v>
      </c>
      <c r="V112" s="2016">
        <v>6365590.7800000003</v>
      </c>
      <c r="W112" s="2016">
        <v>0</v>
      </c>
      <c r="X112" s="2016">
        <v>0</v>
      </c>
      <c r="Y112" s="2016">
        <v>0</v>
      </c>
      <c r="Z112" s="2016">
        <v>990579.37</v>
      </c>
      <c r="AA112" s="2016">
        <v>0</v>
      </c>
      <c r="AB112" s="2016">
        <v>0</v>
      </c>
      <c r="AC112" s="2016">
        <v>0</v>
      </c>
      <c r="AD112" s="2016">
        <v>89057.04</v>
      </c>
      <c r="AE112" s="2016">
        <v>0</v>
      </c>
      <c r="AF112" s="2016">
        <v>0</v>
      </c>
      <c r="AG112" s="1823">
        <v>0</v>
      </c>
      <c r="AI112" s="649">
        <f t="shared" si="16"/>
        <v>33983767.030000001</v>
      </c>
    </row>
    <row r="113" spans="1:35" x14ac:dyDescent="0.2">
      <c r="A113" s="335">
        <v>1890</v>
      </c>
      <c r="B113" s="2876" t="s">
        <v>569</v>
      </c>
      <c r="C113" s="2876"/>
      <c r="D113" s="2025" t="str">
        <f t="shared" si="17"/>
        <v>prob</v>
      </c>
      <c r="E113" s="649">
        <v>404995229.91000003</v>
      </c>
      <c r="F113" s="649">
        <v>148995875</v>
      </c>
      <c r="G113" s="649">
        <v>330140570</v>
      </c>
      <c r="H113" s="649">
        <v>0</v>
      </c>
      <c r="I113" s="649">
        <v>92918652.079999998</v>
      </c>
      <c r="J113" s="649">
        <v>1159850.76</v>
      </c>
      <c r="K113" s="649">
        <v>5981506.4500000002</v>
      </c>
      <c r="L113" s="649"/>
      <c r="M113" s="649">
        <v>6300563.29</v>
      </c>
      <c r="N113" s="649">
        <v>10864101.33</v>
      </c>
      <c r="O113" s="393">
        <v>7571152.5</v>
      </c>
      <c r="P113" s="393">
        <v>122820516.78</v>
      </c>
      <c r="Q113" s="393">
        <v>70572285.560000002</v>
      </c>
      <c r="R113" s="393">
        <v>6667775.4199999999</v>
      </c>
      <c r="S113" s="393">
        <v>19700281.780000001</v>
      </c>
      <c r="T113" s="393">
        <v>2956604.23</v>
      </c>
      <c r="U113" s="393">
        <v>18197663.5</v>
      </c>
      <c r="V113" s="393">
        <v>23867145.27</v>
      </c>
      <c r="W113" s="393">
        <v>3808277.57</v>
      </c>
      <c r="X113" s="393">
        <v>7325846.8099999996</v>
      </c>
      <c r="Y113" s="393">
        <v>15345697.220000001</v>
      </c>
      <c r="Z113" s="393">
        <v>3405399.42</v>
      </c>
      <c r="AA113" s="393">
        <v>6219669.6100000003</v>
      </c>
      <c r="AB113" s="393">
        <v>1850454.39</v>
      </c>
      <c r="AC113" s="393">
        <v>3871887.12</v>
      </c>
      <c r="AD113" s="393">
        <v>3211716.48</v>
      </c>
      <c r="AE113" s="393">
        <v>460809.41</v>
      </c>
      <c r="AF113" s="393">
        <v>815511.42</v>
      </c>
      <c r="AG113" s="649">
        <v>41342.79</v>
      </c>
      <c r="AI113" s="649">
        <f t="shared" si="16"/>
        <v>915029813.39999998</v>
      </c>
    </row>
    <row r="114" spans="1:35" x14ac:dyDescent="0.2">
      <c r="A114" s="335">
        <v>1750</v>
      </c>
      <c r="B114" s="2876" t="s">
        <v>277</v>
      </c>
      <c r="C114" s="2876"/>
      <c r="D114" t="str">
        <f t="shared" si="17"/>
        <v>OK</v>
      </c>
      <c r="E114" s="649">
        <v>0</v>
      </c>
      <c r="F114" s="649">
        <v>0</v>
      </c>
      <c r="G114" s="649">
        <v>0</v>
      </c>
      <c r="H114" s="649">
        <v>0</v>
      </c>
      <c r="I114" s="649">
        <v>0</v>
      </c>
      <c r="J114" s="649">
        <v>0</v>
      </c>
      <c r="K114" s="649">
        <v>0</v>
      </c>
      <c r="L114" s="649"/>
      <c r="M114" s="649">
        <v>0</v>
      </c>
      <c r="N114" s="649">
        <v>0</v>
      </c>
      <c r="O114" s="393">
        <v>0</v>
      </c>
      <c r="P114" s="393">
        <v>0</v>
      </c>
      <c r="Q114" s="393">
        <v>0</v>
      </c>
      <c r="R114" s="393">
        <v>0</v>
      </c>
      <c r="S114" s="393">
        <v>0</v>
      </c>
      <c r="T114" s="393">
        <v>0</v>
      </c>
      <c r="U114" s="393">
        <v>0</v>
      </c>
      <c r="V114" s="393">
        <v>0</v>
      </c>
      <c r="W114" s="393">
        <v>0</v>
      </c>
      <c r="X114" s="393">
        <v>0</v>
      </c>
      <c r="Y114" s="393">
        <v>0</v>
      </c>
      <c r="Z114" s="393">
        <v>0</v>
      </c>
      <c r="AA114" s="393">
        <v>0</v>
      </c>
      <c r="AB114" s="393">
        <v>0</v>
      </c>
      <c r="AC114" s="393">
        <v>0</v>
      </c>
      <c r="AD114" s="393">
        <v>0</v>
      </c>
      <c r="AE114" s="393">
        <v>0</v>
      </c>
      <c r="AF114" s="393">
        <v>0</v>
      </c>
      <c r="AG114" s="649">
        <v>0</v>
      </c>
      <c r="AI114" s="649">
        <f t="shared" si="16"/>
        <v>0</v>
      </c>
    </row>
    <row r="115" spans="1:35" x14ac:dyDescent="0.2">
      <c r="A115" s="335">
        <v>1760</v>
      </c>
      <c r="B115" s="2876" t="s">
        <v>1402</v>
      </c>
      <c r="C115" s="2876"/>
      <c r="D115" t="str">
        <f t="shared" si="17"/>
        <v>OK</v>
      </c>
      <c r="E115" s="649">
        <v>0</v>
      </c>
      <c r="F115" s="649">
        <v>0</v>
      </c>
      <c r="G115" s="649">
        <v>0</v>
      </c>
      <c r="H115" s="649">
        <v>0</v>
      </c>
      <c r="I115" s="649">
        <v>0</v>
      </c>
      <c r="J115" s="649">
        <v>0</v>
      </c>
      <c r="K115" s="649">
        <v>0</v>
      </c>
      <c r="L115" s="649"/>
      <c r="M115" s="649">
        <v>0</v>
      </c>
      <c r="N115" s="649">
        <v>0</v>
      </c>
      <c r="O115" s="393">
        <v>0</v>
      </c>
      <c r="P115" s="393">
        <v>0</v>
      </c>
      <c r="Q115" s="393">
        <v>0</v>
      </c>
      <c r="R115" s="393">
        <v>0</v>
      </c>
      <c r="S115" s="393">
        <v>0</v>
      </c>
      <c r="T115" s="393">
        <v>0</v>
      </c>
      <c r="U115" s="393">
        <v>0</v>
      </c>
      <c r="V115" s="393">
        <v>0</v>
      </c>
      <c r="W115" s="393">
        <v>0</v>
      </c>
      <c r="X115" s="393">
        <v>0</v>
      </c>
      <c r="Y115" s="393">
        <v>0</v>
      </c>
      <c r="Z115" s="393">
        <v>0</v>
      </c>
      <c r="AA115" s="393">
        <v>0</v>
      </c>
      <c r="AB115" s="393">
        <v>0</v>
      </c>
      <c r="AC115" s="393">
        <v>0</v>
      </c>
      <c r="AD115" s="393">
        <v>0</v>
      </c>
      <c r="AE115" s="393">
        <v>0</v>
      </c>
      <c r="AF115" s="393">
        <v>0</v>
      </c>
      <c r="AG115" s="649">
        <v>0</v>
      </c>
      <c r="AI115" s="649">
        <f t="shared" si="16"/>
        <v>0</v>
      </c>
    </row>
    <row r="116" spans="1:35" x14ac:dyDescent="0.2">
      <c r="A116" s="335">
        <v>1870</v>
      </c>
      <c r="B116" s="2876" t="s">
        <v>739</v>
      </c>
      <c r="C116" s="2876"/>
      <c r="D116" t="str">
        <f t="shared" si="17"/>
        <v>OK</v>
      </c>
      <c r="E116" s="649">
        <v>0</v>
      </c>
      <c r="F116" s="649">
        <v>0</v>
      </c>
      <c r="G116" s="649">
        <v>0</v>
      </c>
      <c r="H116" s="649">
        <v>0</v>
      </c>
      <c r="I116" s="649">
        <v>0</v>
      </c>
      <c r="J116" s="649">
        <v>0</v>
      </c>
      <c r="K116" s="649">
        <v>0</v>
      </c>
      <c r="L116" s="649"/>
      <c r="M116" s="649">
        <v>0</v>
      </c>
      <c r="N116" s="649">
        <v>0</v>
      </c>
      <c r="O116" s="393">
        <v>0</v>
      </c>
      <c r="P116" s="393">
        <v>16544501.17</v>
      </c>
      <c r="Q116" s="393">
        <v>0</v>
      </c>
      <c r="R116" s="393">
        <v>682710</v>
      </c>
      <c r="S116" s="393">
        <v>1912524.36</v>
      </c>
      <c r="T116" s="393">
        <v>0</v>
      </c>
      <c r="U116" s="393">
        <v>55028.480000000003</v>
      </c>
      <c r="V116" s="393">
        <v>1673020.31</v>
      </c>
      <c r="W116" s="393">
        <v>0</v>
      </c>
      <c r="X116" s="393">
        <v>0</v>
      </c>
      <c r="Y116" s="393">
        <v>252315.01</v>
      </c>
      <c r="Z116" s="393">
        <v>6628.1</v>
      </c>
      <c r="AA116" s="393">
        <v>0</v>
      </c>
      <c r="AB116" s="393">
        <v>0</v>
      </c>
      <c r="AC116" s="393">
        <v>0</v>
      </c>
      <c r="AD116" s="393">
        <v>0</v>
      </c>
      <c r="AE116" s="393">
        <v>0</v>
      </c>
      <c r="AF116" s="393">
        <v>32071.02</v>
      </c>
      <c r="AG116" s="649">
        <v>0</v>
      </c>
      <c r="AI116" s="649">
        <f t="shared" si="16"/>
        <v>21158798.449999999</v>
      </c>
    </row>
    <row r="117" spans="1:35" x14ac:dyDescent="0.2">
      <c r="A117" s="335">
        <v>1880</v>
      </c>
      <c r="B117" s="2876" t="s">
        <v>701</v>
      </c>
      <c r="C117" s="2876"/>
      <c r="D117" t="str">
        <f t="shared" si="17"/>
        <v>OK</v>
      </c>
      <c r="E117" s="649">
        <v>12011078.32</v>
      </c>
      <c r="F117" s="649">
        <v>0</v>
      </c>
      <c r="G117" s="649">
        <v>0</v>
      </c>
      <c r="H117" s="649">
        <v>0</v>
      </c>
      <c r="I117" s="649">
        <v>12011078.32</v>
      </c>
      <c r="J117" s="649">
        <v>0</v>
      </c>
      <c r="K117" s="649">
        <v>0</v>
      </c>
      <c r="L117" s="649"/>
      <c r="M117" s="649">
        <v>0</v>
      </c>
      <c r="N117" s="649">
        <v>0</v>
      </c>
      <c r="O117" s="393">
        <v>0</v>
      </c>
      <c r="P117" s="393">
        <v>1236692.32</v>
      </c>
      <c r="Q117" s="393">
        <v>0</v>
      </c>
      <c r="R117" s="393">
        <v>38355.14</v>
      </c>
      <c r="S117" s="393">
        <v>3346.58</v>
      </c>
      <c r="T117" s="393">
        <v>5000</v>
      </c>
      <c r="U117" s="393">
        <v>8601.41</v>
      </c>
      <c r="V117" s="393">
        <v>0</v>
      </c>
      <c r="W117" s="393">
        <v>0</v>
      </c>
      <c r="X117" s="393">
        <v>0</v>
      </c>
      <c r="Y117" s="393">
        <v>824917.21</v>
      </c>
      <c r="Z117" s="393">
        <v>0</v>
      </c>
      <c r="AA117" s="393">
        <v>0</v>
      </c>
      <c r="AB117" s="393">
        <v>0</v>
      </c>
      <c r="AC117" s="393">
        <v>0</v>
      </c>
      <c r="AD117" s="393">
        <v>125842.38</v>
      </c>
      <c r="AE117" s="393">
        <v>0</v>
      </c>
      <c r="AF117" s="393">
        <v>0</v>
      </c>
      <c r="AG117" s="649">
        <v>0</v>
      </c>
      <c r="AI117" s="649">
        <f t="shared" si="16"/>
        <v>14253833.359999999</v>
      </c>
    </row>
    <row r="118" spans="1:35" x14ac:dyDescent="0.2">
      <c r="A118" s="335">
        <v>1762</v>
      </c>
      <c r="B118" s="2876" t="s">
        <v>1347</v>
      </c>
      <c r="C118" s="2876"/>
      <c r="D118" t="str">
        <f t="shared" si="17"/>
        <v>OK</v>
      </c>
      <c r="E118" s="649">
        <v>0</v>
      </c>
      <c r="F118" s="649">
        <v>0</v>
      </c>
      <c r="G118" s="649">
        <v>0</v>
      </c>
      <c r="H118" s="649">
        <v>0</v>
      </c>
      <c r="I118" s="649">
        <v>0</v>
      </c>
      <c r="J118" s="649">
        <v>0</v>
      </c>
      <c r="K118" s="649">
        <v>0</v>
      </c>
      <c r="L118" s="649"/>
      <c r="M118" s="649">
        <v>0</v>
      </c>
      <c r="N118" s="649">
        <v>0</v>
      </c>
      <c r="O118" s="393">
        <v>0</v>
      </c>
      <c r="P118" s="393">
        <v>0</v>
      </c>
      <c r="Q118" s="393">
        <v>0</v>
      </c>
      <c r="R118" s="393">
        <v>0</v>
      </c>
      <c r="S118" s="393">
        <v>0</v>
      </c>
      <c r="T118" s="393">
        <v>0</v>
      </c>
      <c r="U118" s="393">
        <v>0</v>
      </c>
      <c r="V118" s="393">
        <v>0</v>
      </c>
      <c r="W118" s="393">
        <v>0</v>
      </c>
      <c r="X118" s="393">
        <v>0</v>
      </c>
      <c r="Y118" s="393">
        <v>0</v>
      </c>
      <c r="Z118" s="393">
        <v>0</v>
      </c>
      <c r="AA118" s="393">
        <v>0</v>
      </c>
      <c r="AB118" s="393">
        <v>0</v>
      </c>
      <c r="AC118" s="393">
        <v>0</v>
      </c>
      <c r="AD118" s="393">
        <v>0</v>
      </c>
      <c r="AE118" s="393">
        <v>0</v>
      </c>
      <c r="AF118" s="393">
        <v>0</v>
      </c>
      <c r="AG118" s="649">
        <v>0</v>
      </c>
      <c r="AI118" s="649">
        <f t="shared" si="16"/>
        <v>0</v>
      </c>
    </row>
    <row r="119" spans="1:35" x14ac:dyDescent="0.2">
      <c r="A119" s="1129">
        <v>1775</v>
      </c>
      <c r="B119" s="2876" t="s">
        <v>4624</v>
      </c>
      <c r="C119" s="2876"/>
      <c r="D119" t="str">
        <f>IF(ROUND(SUM(F119:N119),2)-ROUND(E119,2)=0,"OK","prob")</f>
        <v>OK</v>
      </c>
      <c r="E119" s="1823">
        <v>8631924.8699999992</v>
      </c>
      <c r="F119" s="1823">
        <v>0</v>
      </c>
      <c r="G119" s="1823">
        <v>3263449.52</v>
      </c>
      <c r="H119" s="1823">
        <v>0</v>
      </c>
      <c r="I119" s="1823">
        <v>1857960.64</v>
      </c>
      <c r="J119" s="1823">
        <v>1172110.71</v>
      </c>
      <c r="K119" s="1823">
        <v>0</v>
      </c>
      <c r="L119" s="1823"/>
      <c r="M119" s="1823">
        <v>0</v>
      </c>
      <c r="N119" s="1823">
        <v>2338404</v>
      </c>
      <c r="O119" s="2016">
        <v>94607.72</v>
      </c>
      <c r="P119" s="2016">
        <v>1552809.85</v>
      </c>
      <c r="Q119" s="2016">
        <v>5500029.2999999998</v>
      </c>
      <c r="R119" s="2016">
        <v>237649</v>
      </c>
      <c r="S119" s="2016">
        <v>1105118.9099999999</v>
      </c>
      <c r="T119" s="2016">
        <v>494522.43</v>
      </c>
      <c r="U119" s="2016">
        <v>790176.63</v>
      </c>
      <c r="V119" s="2016">
        <v>956718.78</v>
      </c>
      <c r="W119" s="2016">
        <v>531747.74</v>
      </c>
      <c r="X119" s="2016">
        <v>533815.39</v>
      </c>
      <c r="Y119" s="2016">
        <v>1827023.85</v>
      </c>
      <c r="Z119" s="2016">
        <v>856837.85</v>
      </c>
      <c r="AA119" s="2016">
        <v>561923.82999999996</v>
      </c>
      <c r="AB119" s="2016">
        <v>712534.18</v>
      </c>
      <c r="AC119" s="2016">
        <v>659823.24</v>
      </c>
      <c r="AD119" s="2016">
        <v>1391244.85</v>
      </c>
      <c r="AE119" s="2016">
        <v>300501.31</v>
      </c>
      <c r="AF119" s="2016">
        <v>637508.47</v>
      </c>
      <c r="AG119" s="1823">
        <v>0</v>
      </c>
      <c r="AI119" s="649">
        <f t="shared" si="16"/>
        <v>27376518.199999999</v>
      </c>
    </row>
    <row r="120" spans="1:35" x14ac:dyDescent="0.2">
      <c r="A120" s="1129">
        <v>1780</v>
      </c>
      <c r="B120" s="2974" t="s">
        <v>5522</v>
      </c>
      <c r="C120" s="2974"/>
      <c r="D120" t="str">
        <f t="shared" ref="D120:D131" si="18">IF(SUM(F120:N120)-E120=0,"OK","prob")</f>
        <v>OK</v>
      </c>
      <c r="E120" s="1823">
        <v>465925.93</v>
      </c>
      <c r="F120" s="1823">
        <v>0</v>
      </c>
      <c r="G120" s="1823">
        <v>0</v>
      </c>
      <c r="H120" s="1823">
        <v>0</v>
      </c>
      <c r="I120" s="1823">
        <v>142866.35999999999</v>
      </c>
      <c r="J120" s="1823">
        <v>0</v>
      </c>
      <c r="K120" s="1823">
        <v>0</v>
      </c>
      <c r="L120" s="1823"/>
      <c r="M120" s="1823">
        <v>0</v>
      </c>
      <c r="N120" s="1823">
        <v>323059.57</v>
      </c>
      <c r="O120" s="2016">
        <v>0</v>
      </c>
      <c r="P120" s="2016">
        <v>296443.63</v>
      </c>
      <c r="Q120" s="2016">
        <v>114643</v>
      </c>
      <c r="R120" s="2016">
        <v>0</v>
      </c>
      <c r="S120" s="2016">
        <v>0</v>
      </c>
      <c r="T120" s="2016">
        <v>0</v>
      </c>
      <c r="U120" s="2016">
        <v>163221.87</v>
      </c>
      <c r="V120" s="2016">
        <v>258973.42</v>
      </c>
      <c r="W120" s="2016">
        <v>0</v>
      </c>
      <c r="X120" s="2016">
        <v>586432.65</v>
      </c>
      <c r="Y120" s="2016">
        <v>0</v>
      </c>
      <c r="Z120" s="2016">
        <v>31506.65</v>
      </c>
      <c r="AA120" s="2016">
        <v>1770000</v>
      </c>
      <c r="AB120" s="2016">
        <v>0</v>
      </c>
      <c r="AC120" s="2016">
        <v>299851.45</v>
      </c>
      <c r="AD120" s="2016">
        <v>58121.67</v>
      </c>
      <c r="AE120" s="2016">
        <v>0</v>
      </c>
      <c r="AF120" s="2016">
        <v>0</v>
      </c>
      <c r="AG120" s="1823">
        <v>0</v>
      </c>
      <c r="AI120" s="649">
        <f t="shared" si="16"/>
        <v>4045120.27</v>
      </c>
    </row>
    <row r="121" spans="1:35" x14ac:dyDescent="0.2">
      <c r="A121" s="1129">
        <v>1800</v>
      </c>
      <c r="B121" s="2876" t="s">
        <v>1544</v>
      </c>
      <c r="C121" s="2876"/>
      <c r="D121" t="str">
        <f t="shared" si="18"/>
        <v>OK</v>
      </c>
      <c r="E121" s="1823">
        <v>23485000</v>
      </c>
      <c r="F121" s="1823">
        <v>14700000</v>
      </c>
      <c r="G121" s="1823">
        <v>0</v>
      </c>
      <c r="H121" s="1823">
        <v>0</v>
      </c>
      <c r="I121" s="1823">
        <v>8785000</v>
      </c>
      <c r="J121" s="1823">
        <v>0</v>
      </c>
      <c r="K121" s="1823">
        <v>0</v>
      </c>
      <c r="L121" s="1823"/>
      <c r="M121" s="1823">
        <v>0</v>
      </c>
      <c r="N121" s="1823">
        <v>0</v>
      </c>
      <c r="O121" s="2016">
        <v>0</v>
      </c>
      <c r="P121" s="2016">
        <v>104885000</v>
      </c>
      <c r="Q121" s="2016">
        <v>20763612</v>
      </c>
      <c r="R121" s="2016">
        <v>14540905.640000001</v>
      </c>
      <c r="S121" s="2016">
        <v>19070000</v>
      </c>
      <c r="T121" s="2016">
        <v>2257500</v>
      </c>
      <c r="U121" s="2016">
        <v>9663000</v>
      </c>
      <c r="V121" s="2016">
        <v>15400000</v>
      </c>
      <c r="W121" s="2016">
        <v>2520000</v>
      </c>
      <c r="X121" s="2016">
        <v>5355000</v>
      </c>
      <c r="Y121" s="2016">
        <v>13922000</v>
      </c>
      <c r="Z121" s="2016">
        <v>2045035.61</v>
      </c>
      <c r="AA121" s="2016">
        <v>1570000</v>
      </c>
      <c r="AB121" s="2016">
        <v>75000</v>
      </c>
      <c r="AC121" s="2016">
        <v>1721000</v>
      </c>
      <c r="AD121" s="2016">
        <v>4050000</v>
      </c>
      <c r="AE121" s="2016">
        <v>346000</v>
      </c>
      <c r="AF121" s="2016">
        <v>0</v>
      </c>
      <c r="AG121" s="1823">
        <v>0</v>
      </c>
      <c r="AI121" s="649">
        <f t="shared" si="16"/>
        <v>241669053.25</v>
      </c>
    </row>
    <row r="122" spans="1:35" x14ac:dyDescent="0.2">
      <c r="A122" s="1129">
        <v>1850</v>
      </c>
      <c r="B122" s="2876" t="s">
        <v>1165</v>
      </c>
      <c r="C122" s="2876"/>
      <c r="D122" t="str">
        <f t="shared" si="18"/>
        <v>OK</v>
      </c>
      <c r="E122" s="1823">
        <v>0</v>
      </c>
      <c r="F122" s="1823">
        <v>0</v>
      </c>
      <c r="G122" s="1823">
        <v>0</v>
      </c>
      <c r="H122" s="1823">
        <v>0</v>
      </c>
      <c r="I122" s="1823">
        <v>0</v>
      </c>
      <c r="J122" s="1823">
        <v>0</v>
      </c>
      <c r="K122" s="1823">
        <v>0</v>
      </c>
      <c r="L122" s="1823"/>
      <c r="M122" s="1823">
        <v>0</v>
      </c>
      <c r="N122" s="1823">
        <v>0</v>
      </c>
      <c r="O122" s="2016">
        <v>0</v>
      </c>
      <c r="P122" s="2016">
        <v>0</v>
      </c>
      <c r="Q122" s="2016">
        <v>0</v>
      </c>
      <c r="R122" s="2016">
        <v>0</v>
      </c>
      <c r="S122" s="2016">
        <v>0</v>
      </c>
      <c r="T122" s="2016">
        <v>0</v>
      </c>
      <c r="U122" s="2016">
        <v>0</v>
      </c>
      <c r="V122" s="2016">
        <v>0</v>
      </c>
      <c r="W122" s="2016">
        <v>0</v>
      </c>
      <c r="X122" s="2016">
        <v>0</v>
      </c>
      <c r="Y122" s="2016">
        <v>0</v>
      </c>
      <c r="Z122" s="2016">
        <v>0</v>
      </c>
      <c r="AA122" s="2016">
        <v>0</v>
      </c>
      <c r="AB122" s="2016">
        <v>0</v>
      </c>
      <c r="AC122" s="2016">
        <v>0</v>
      </c>
      <c r="AD122" s="2016">
        <v>0</v>
      </c>
      <c r="AE122" s="2016">
        <v>0</v>
      </c>
      <c r="AF122" s="2016">
        <v>0</v>
      </c>
      <c r="AG122" s="1823">
        <v>0</v>
      </c>
      <c r="AI122" s="649">
        <f t="shared" si="16"/>
        <v>0</v>
      </c>
    </row>
    <row r="123" spans="1:35" x14ac:dyDescent="0.2">
      <c r="A123" s="1129">
        <v>1851</v>
      </c>
      <c r="B123" s="2876" t="s">
        <v>3801</v>
      </c>
      <c r="C123" s="2876"/>
      <c r="D123" t="str">
        <f t="shared" si="18"/>
        <v>OK</v>
      </c>
      <c r="E123" s="1823">
        <v>0</v>
      </c>
      <c r="F123" s="1823">
        <v>0</v>
      </c>
      <c r="G123" s="1823">
        <v>0</v>
      </c>
      <c r="H123" s="1823">
        <v>0</v>
      </c>
      <c r="I123" s="1823">
        <v>0</v>
      </c>
      <c r="J123" s="1823">
        <v>0</v>
      </c>
      <c r="K123" s="1823">
        <v>0</v>
      </c>
      <c r="L123" s="1823"/>
      <c r="M123" s="1823">
        <v>0</v>
      </c>
      <c r="N123" s="1823">
        <v>0</v>
      </c>
      <c r="O123" s="2016">
        <v>248431.52</v>
      </c>
      <c r="P123" s="2016">
        <v>2777077.64</v>
      </c>
      <c r="Q123" s="2016">
        <v>1626091</v>
      </c>
      <c r="R123" s="2016">
        <v>956386</v>
      </c>
      <c r="S123" s="2016">
        <v>676029.48</v>
      </c>
      <c r="T123" s="2016">
        <v>4660.1000000000004</v>
      </c>
      <c r="U123" s="2016">
        <v>355138.08</v>
      </c>
      <c r="V123" s="2016">
        <v>1046665.55</v>
      </c>
      <c r="W123" s="2016">
        <v>661554.05000000005</v>
      </c>
      <c r="X123" s="2016">
        <v>178194.42</v>
      </c>
      <c r="Y123" s="2016">
        <v>215896.29</v>
      </c>
      <c r="Z123" s="2016">
        <v>2616286.19</v>
      </c>
      <c r="AA123" s="2016">
        <v>360963</v>
      </c>
      <c r="AB123" s="2016">
        <v>233549</v>
      </c>
      <c r="AC123" s="2016">
        <v>313997.93</v>
      </c>
      <c r="AD123" s="2016">
        <v>425896.01</v>
      </c>
      <c r="AE123" s="2016">
        <v>167942.52</v>
      </c>
      <c r="AF123" s="2016">
        <v>0</v>
      </c>
      <c r="AG123" s="1823">
        <v>0</v>
      </c>
      <c r="AI123" s="649">
        <f t="shared" si="16"/>
        <v>12864758.779999999</v>
      </c>
    </row>
    <row r="124" spans="1:35" x14ac:dyDescent="0.2">
      <c r="A124" s="1129">
        <v>1786</v>
      </c>
      <c r="B124" s="2876" t="s">
        <v>1545</v>
      </c>
      <c r="C124" s="2876"/>
      <c r="D124" t="str">
        <f t="shared" si="18"/>
        <v>OK</v>
      </c>
      <c r="E124" s="1823">
        <v>0</v>
      </c>
      <c r="F124" s="1823">
        <v>0</v>
      </c>
      <c r="G124" s="1823">
        <v>0</v>
      </c>
      <c r="H124" s="1823">
        <v>0</v>
      </c>
      <c r="I124" s="1823">
        <v>0</v>
      </c>
      <c r="J124" s="1823">
        <v>0</v>
      </c>
      <c r="K124" s="1823">
        <v>0</v>
      </c>
      <c r="L124" s="1823"/>
      <c r="M124" s="1823">
        <v>0</v>
      </c>
      <c r="N124" s="1823">
        <v>0</v>
      </c>
      <c r="O124" s="2016">
        <v>0</v>
      </c>
      <c r="P124" s="2016">
        <v>879901.21</v>
      </c>
      <c r="Q124" s="2016">
        <v>0</v>
      </c>
      <c r="R124" s="2016">
        <v>0</v>
      </c>
      <c r="S124" s="2016">
        <v>0</v>
      </c>
      <c r="T124" s="2016">
        <v>0</v>
      </c>
      <c r="U124" s="2016">
        <v>0</v>
      </c>
      <c r="V124" s="2016">
        <v>0</v>
      </c>
      <c r="W124" s="2016">
        <v>0</v>
      </c>
      <c r="X124" s="2016">
        <v>0</v>
      </c>
      <c r="Y124" s="2016">
        <v>0</v>
      </c>
      <c r="Z124" s="2016">
        <v>0</v>
      </c>
      <c r="AA124" s="2016">
        <v>0</v>
      </c>
      <c r="AB124" s="2016">
        <v>0</v>
      </c>
      <c r="AC124" s="2016">
        <v>0</v>
      </c>
      <c r="AD124" s="2016">
        <v>0</v>
      </c>
      <c r="AE124" s="2016">
        <v>0</v>
      </c>
      <c r="AF124" s="2016">
        <v>0</v>
      </c>
      <c r="AG124" s="1823">
        <v>0</v>
      </c>
      <c r="AI124" s="649">
        <f t="shared" si="16"/>
        <v>879901.21</v>
      </c>
    </row>
    <row r="125" spans="1:35" x14ac:dyDescent="0.2">
      <c r="A125" s="1129">
        <v>1855</v>
      </c>
      <c r="B125" s="2876" t="s">
        <v>1295</v>
      </c>
      <c r="C125" s="2876"/>
      <c r="D125" t="str">
        <f t="shared" si="18"/>
        <v>OK</v>
      </c>
      <c r="E125" s="1823">
        <v>0</v>
      </c>
      <c r="F125" s="1823">
        <v>0</v>
      </c>
      <c r="G125" s="1823">
        <v>0</v>
      </c>
      <c r="H125" s="1823">
        <v>0</v>
      </c>
      <c r="I125" s="1823">
        <v>0</v>
      </c>
      <c r="J125" s="1823">
        <v>0</v>
      </c>
      <c r="K125" s="1823">
        <v>0</v>
      </c>
      <c r="L125" s="1823"/>
      <c r="M125" s="1823">
        <v>0</v>
      </c>
      <c r="N125" s="1823">
        <v>0</v>
      </c>
      <c r="O125" s="2016">
        <v>0</v>
      </c>
      <c r="P125" s="2016">
        <v>0</v>
      </c>
      <c r="Q125" s="2016">
        <v>104929.9</v>
      </c>
      <c r="R125" s="2016">
        <v>0</v>
      </c>
      <c r="S125" s="2016">
        <v>0</v>
      </c>
      <c r="T125" s="2016">
        <v>0</v>
      </c>
      <c r="U125" s="2016">
        <v>0</v>
      </c>
      <c r="V125" s="2016">
        <v>0</v>
      </c>
      <c r="W125" s="2016">
        <v>0</v>
      </c>
      <c r="X125" s="2016">
        <v>0</v>
      </c>
      <c r="Y125" s="2016">
        <v>0</v>
      </c>
      <c r="Z125" s="2016">
        <v>0</v>
      </c>
      <c r="AA125" s="2016">
        <v>0</v>
      </c>
      <c r="AB125" s="2016">
        <v>0</v>
      </c>
      <c r="AC125" s="2016">
        <v>600000</v>
      </c>
      <c r="AD125" s="2016">
        <v>0</v>
      </c>
      <c r="AE125" s="2016">
        <v>0</v>
      </c>
      <c r="AF125" s="2016">
        <v>0</v>
      </c>
      <c r="AG125" s="1823">
        <v>0</v>
      </c>
      <c r="AI125" s="649">
        <f t="shared" si="16"/>
        <v>704929.9</v>
      </c>
    </row>
    <row r="126" spans="1:35" x14ac:dyDescent="0.2">
      <c r="A126" s="1129">
        <v>1857</v>
      </c>
      <c r="B126" s="2876" t="s">
        <v>4626</v>
      </c>
      <c r="C126" s="2876"/>
      <c r="D126" t="str">
        <f t="shared" si="18"/>
        <v>OK</v>
      </c>
      <c r="E126" s="1823">
        <v>0</v>
      </c>
      <c r="F126" s="1823">
        <v>0</v>
      </c>
      <c r="G126" s="1823">
        <v>0</v>
      </c>
      <c r="H126" s="1823">
        <v>0</v>
      </c>
      <c r="I126" s="1823">
        <v>0</v>
      </c>
      <c r="J126" s="1823">
        <v>0</v>
      </c>
      <c r="K126" s="1823">
        <v>0</v>
      </c>
      <c r="L126" s="1823"/>
      <c r="M126" s="1823">
        <v>0</v>
      </c>
      <c r="N126" s="1823">
        <v>0</v>
      </c>
      <c r="O126" s="2016">
        <v>0</v>
      </c>
      <c r="P126" s="2016">
        <v>0</v>
      </c>
      <c r="Q126" s="2016">
        <v>0</v>
      </c>
      <c r="R126" s="2016">
        <v>0</v>
      </c>
      <c r="S126" s="2016">
        <v>0</v>
      </c>
      <c r="T126" s="2016">
        <v>0</v>
      </c>
      <c r="U126" s="2016">
        <v>0</v>
      </c>
      <c r="V126" s="2016">
        <v>0</v>
      </c>
      <c r="W126" s="2016">
        <v>0</v>
      </c>
      <c r="X126" s="2016">
        <v>0</v>
      </c>
      <c r="Y126" s="2016">
        <v>0</v>
      </c>
      <c r="Z126" s="2016">
        <v>0</v>
      </c>
      <c r="AA126" s="2016">
        <v>0</v>
      </c>
      <c r="AB126" s="2016">
        <v>0</v>
      </c>
      <c r="AC126" s="2016">
        <v>0</v>
      </c>
      <c r="AD126" s="2016">
        <v>0</v>
      </c>
      <c r="AE126" s="2016">
        <v>0</v>
      </c>
      <c r="AF126" s="2016">
        <v>0</v>
      </c>
      <c r="AG126" s="1823">
        <v>0</v>
      </c>
      <c r="AI126" s="649">
        <f t="shared" si="16"/>
        <v>0</v>
      </c>
    </row>
    <row r="127" spans="1:35" x14ac:dyDescent="0.2">
      <c r="A127" s="1129">
        <v>1860</v>
      </c>
      <c r="B127" s="2876" t="s">
        <v>3877</v>
      </c>
      <c r="C127" s="2876"/>
      <c r="D127" t="str">
        <f t="shared" si="18"/>
        <v>OK</v>
      </c>
      <c r="E127" s="1823">
        <v>63753664.770000003</v>
      </c>
      <c r="F127" s="1823">
        <v>18521301</v>
      </c>
      <c r="G127" s="1823">
        <v>14147874.84</v>
      </c>
      <c r="H127" s="1823">
        <v>0</v>
      </c>
      <c r="I127" s="1823">
        <v>23157723.59</v>
      </c>
      <c r="J127" s="1823">
        <v>581807.69999999995</v>
      </c>
      <c r="K127" s="1823">
        <v>4934405</v>
      </c>
      <c r="L127" s="1823"/>
      <c r="M127" s="1823">
        <v>0</v>
      </c>
      <c r="N127" s="1823">
        <v>2410552.64</v>
      </c>
      <c r="O127" s="2016">
        <v>202848.84</v>
      </c>
      <c r="P127" s="2016">
        <v>9475832.2300000004</v>
      </c>
      <c r="Q127" s="2016">
        <v>4179516.63</v>
      </c>
      <c r="R127" s="2016">
        <v>782600.84</v>
      </c>
      <c r="S127" s="2016">
        <v>3058174.54</v>
      </c>
      <c r="T127" s="2016">
        <v>591114</v>
      </c>
      <c r="U127" s="2016">
        <v>375379.66</v>
      </c>
      <c r="V127" s="2016">
        <v>4127813.63</v>
      </c>
      <c r="W127" s="2016">
        <v>683829.67</v>
      </c>
      <c r="X127" s="2016">
        <v>1352723</v>
      </c>
      <c r="Y127" s="2016">
        <v>2687243.9</v>
      </c>
      <c r="Z127" s="2016">
        <v>831829.99</v>
      </c>
      <c r="AA127" s="2016">
        <v>982327</v>
      </c>
      <c r="AB127" s="2016">
        <v>163550.94</v>
      </c>
      <c r="AC127" s="2016">
        <v>805540.95</v>
      </c>
      <c r="AD127" s="2016">
        <v>1487084</v>
      </c>
      <c r="AE127" s="2016">
        <v>186826.98</v>
      </c>
      <c r="AF127" s="2016">
        <v>0</v>
      </c>
      <c r="AG127" s="1823">
        <v>7137.86</v>
      </c>
      <c r="AI127" s="649">
        <f t="shared" si="16"/>
        <v>95727901.569999993</v>
      </c>
    </row>
    <row r="128" spans="1:35" x14ac:dyDescent="0.2">
      <c r="A128" s="2026">
        <v>1868</v>
      </c>
      <c r="B128" s="2876" t="s">
        <v>3946</v>
      </c>
      <c r="C128" s="2876"/>
      <c r="D128" t="str">
        <f t="shared" si="18"/>
        <v>OK</v>
      </c>
      <c r="E128" s="1823">
        <v>0</v>
      </c>
      <c r="F128" s="1823">
        <v>0</v>
      </c>
      <c r="G128" s="1823">
        <v>0</v>
      </c>
      <c r="H128" s="1823">
        <v>0</v>
      </c>
      <c r="I128" s="1823">
        <v>0</v>
      </c>
      <c r="J128" s="1823">
        <v>0</v>
      </c>
      <c r="K128" s="1823">
        <v>0</v>
      </c>
      <c r="L128" s="1823"/>
      <c r="M128" s="1823">
        <v>0</v>
      </c>
      <c r="N128" s="1823">
        <v>0</v>
      </c>
      <c r="O128" s="2016">
        <v>0</v>
      </c>
      <c r="P128" s="2017">
        <v>0</v>
      </c>
      <c r="Q128" s="2017">
        <v>0</v>
      </c>
      <c r="R128" s="2020">
        <v>0</v>
      </c>
      <c r="S128" s="2020">
        <v>0</v>
      </c>
      <c r="T128" s="2020">
        <v>0</v>
      </c>
      <c r="U128" s="1823">
        <v>0</v>
      </c>
      <c r="V128" s="1823">
        <v>0</v>
      </c>
      <c r="W128" s="1823">
        <v>0</v>
      </c>
      <c r="X128" s="1823">
        <v>0</v>
      </c>
      <c r="Y128" s="1823">
        <v>0</v>
      </c>
      <c r="Z128" s="1823">
        <v>0</v>
      </c>
      <c r="AA128" s="1823">
        <v>0</v>
      </c>
      <c r="AB128" s="1823">
        <v>0</v>
      </c>
      <c r="AC128" s="1823">
        <v>0</v>
      </c>
      <c r="AD128" s="1823">
        <v>0</v>
      </c>
      <c r="AE128" s="1823">
        <v>0</v>
      </c>
      <c r="AF128" s="1823">
        <v>0</v>
      </c>
      <c r="AG128" s="1823">
        <v>0</v>
      </c>
      <c r="AI128" s="649">
        <f t="shared" si="16"/>
        <v>0</v>
      </c>
    </row>
    <row r="129" spans="1:35" x14ac:dyDescent="0.2">
      <c r="A129" s="2026">
        <v>1869</v>
      </c>
      <c r="B129" s="2876" t="s">
        <v>4495</v>
      </c>
      <c r="C129" s="2876"/>
      <c r="D129" t="str">
        <f t="shared" si="18"/>
        <v>OK</v>
      </c>
      <c r="E129" s="1823">
        <v>0</v>
      </c>
      <c r="F129" s="1823">
        <v>0</v>
      </c>
      <c r="G129" s="1823">
        <v>0</v>
      </c>
      <c r="H129" s="1823">
        <v>0</v>
      </c>
      <c r="I129" s="1823">
        <v>0</v>
      </c>
      <c r="J129" s="1823">
        <v>0</v>
      </c>
      <c r="K129" s="1823">
        <v>0</v>
      </c>
      <c r="L129" s="1823"/>
      <c r="M129" s="1823">
        <v>0</v>
      </c>
      <c r="N129" s="1823">
        <v>0</v>
      </c>
      <c r="O129" s="2016">
        <v>0</v>
      </c>
      <c r="P129" s="2016">
        <v>0</v>
      </c>
      <c r="Q129" s="2016">
        <v>0</v>
      </c>
      <c r="R129" s="2016">
        <v>0</v>
      </c>
      <c r="S129" s="2016">
        <v>0</v>
      </c>
      <c r="T129" s="2016">
        <v>0</v>
      </c>
      <c r="U129" s="2016">
        <v>0</v>
      </c>
      <c r="V129" s="2016">
        <v>0</v>
      </c>
      <c r="W129" s="2016">
        <v>0</v>
      </c>
      <c r="X129" s="2016">
        <v>0</v>
      </c>
      <c r="Y129" s="2016">
        <v>0</v>
      </c>
      <c r="Z129" s="2016">
        <v>0</v>
      </c>
      <c r="AA129" s="2016">
        <v>0</v>
      </c>
      <c r="AB129" s="2016">
        <v>0</v>
      </c>
      <c r="AC129" s="2016">
        <v>0</v>
      </c>
      <c r="AD129" s="2016">
        <v>0</v>
      </c>
      <c r="AE129" s="2016">
        <v>0</v>
      </c>
      <c r="AF129" s="2016">
        <v>0</v>
      </c>
      <c r="AG129" s="1823">
        <v>0</v>
      </c>
      <c r="AI129" s="649">
        <f t="shared" si="16"/>
        <v>0</v>
      </c>
    </row>
    <row r="130" spans="1:35" x14ac:dyDescent="0.2">
      <c r="A130" s="1129">
        <v>1865</v>
      </c>
      <c r="B130" s="2876" t="s">
        <v>1546</v>
      </c>
      <c r="C130" s="2876"/>
      <c r="D130" t="str">
        <f t="shared" si="18"/>
        <v>OK</v>
      </c>
      <c r="E130" s="1823">
        <v>5393287</v>
      </c>
      <c r="F130" s="1823">
        <v>0</v>
      </c>
      <c r="G130" s="1823">
        <v>0</v>
      </c>
      <c r="H130" s="1823">
        <v>5393287</v>
      </c>
      <c r="I130" s="1823">
        <v>0</v>
      </c>
      <c r="J130" s="1823">
        <v>0</v>
      </c>
      <c r="K130" s="1823">
        <v>0</v>
      </c>
      <c r="L130" s="1823"/>
      <c r="M130" s="1823">
        <v>0</v>
      </c>
      <c r="N130" s="1823">
        <v>0</v>
      </c>
      <c r="O130" s="2016">
        <v>0</v>
      </c>
      <c r="P130" s="2016">
        <v>0</v>
      </c>
      <c r="Q130" s="2016">
        <v>0</v>
      </c>
      <c r="R130" s="2016">
        <v>0</v>
      </c>
      <c r="S130" s="2016">
        <v>0</v>
      </c>
      <c r="T130" s="2016">
        <v>0</v>
      </c>
      <c r="U130" s="2016">
        <v>0</v>
      </c>
      <c r="V130" s="2016">
        <v>0</v>
      </c>
      <c r="W130" s="2016">
        <v>0</v>
      </c>
      <c r="X130" s="2016">
        <v>0</v>
      </c>
      <c r="Y130" s="2016">
        <v>0</v>
      </c>
      <c r="Z130" s="2016">
        <v>0</v>
      </c>
      <c r="AA130" s="2016">
        <v>0</v>
      </c>
      <c r="AB130" s="2016">
        <v>0</v>
      </c>
      <c r="AC130" s="2016">
        <v>0</v>
      </c>
      <c r="AD130" s="2016">
        <v>0</v>
      </c>
      <c r="AE130" s="2016">
        <v>0</v>
      </c>
      <c r="AF130" s="2016">
        <v>0</v>
      </c>
      <c r="AG130" s="1823">
        <v>0</v>
      </c>
      <c r="AI130" s="649">
        <f t="shared" si="16"/>
        <v>5393287</v>
      </c>
    </row>
    <row r="131" spans="1:35" x14ac:dyDescent="0.2">
      <c r="A131" s="1129">
        <v>1866</v>
      </c>
      <c r="B131" s="2876" t="s">
        <v>1547</v>
      </c>
      <c r="C131" s="2876"/>
      <c r="D131" t="str">
        <f t="shared" si="18"/>
        <v>OK</v>
      </c>
      <c r="E131" s="1823">
        <v>0</v>
      </c>
      <c r="F131" s="1823">
        <v>0</v>
      </c>
      <c r="G131" s="1823">
        <v>0</v>
      </c>
      <c r="H131" s="1823">
        <v>0</v>
      </c>
      <c r="I131" s="1823">
        <v>0</v>
      </c>
      <c r="J131" s="1823">
        <v>0</v>
      </c>
      <c r="K131" s="1823">
        <v>0</v>
      </c>
      <c r="L131" s="1823"/>
      <c r="M131" s="1823">
        <v>0</v>
      </c>
      <c r="N131" s="1823">
        <v>0</v>
      </c>
      <c r="O131" s="2016">
        <v>0</v>
      </c>
      <c r="P131" s="2016">
        <v>0</v>
      </c>
      <c r="Q131" s="2016">
        <v>0</v>
      </c>
      <c r="R131" s="2016">
        <v>0</v>
      </c>
      <c r="S131" s="2016">
        <v>0</v>
      </c>
      <c r="T131" s="2016">
        <v>0</v>
      </c>
      <c r="U131" s="2016">
        <v>0</v>
      </c>
      <c r="V131" s="2016">
        <v>0</v>
      </c>
      <c r="W131" s="2016">
        <v>0</v>
      </c>
      <c r="X131" s="2016">
        <v>0</v>
      </c>
      <c r="Y131" s="2016">
        <v>0</v>
      </c>
      <c r="Z131" s="2016">
        <v>0</v>
      </c>
      <c r="AA131" s="2016">
        <v>0</v>
      </c>
      <c r="AB131" s="2016">
        <v>0</v>
      </c>
      <c r="AC131" s="2016">
        <v>0</v>
      </c>
      <c r="AD131" s="2016">
        <v>0</v>
      </c>
      <c r="AE131" s="2016">
        <v>0</v>
      </c>
      <c r="AF131" s="2016">
        <v>0</v>
      </c>
      <c r="AG131" s="1823">
        <v>0</v>
      </c>
      <c r="AI131" s="649">
        <f t="shared" si="16"/>
        <v>0</v>
      </c>
    </row>
    <row r="132" spans="1:35" x14ac:dyDescent="0.2">
      <c r="B132" s="2876" t="s">
        <v>787</v>
      </c>
      <c r="C132" s="2876"/>
      <c r="D132" s="2025" t="str">
        <f>IF(ROUND(SUM(F132:N132),2)-ROUND(E132,2)=0,"OK","prob")</f>
        <v>prob</v>
      </c>
      <c r="E132" s="661">
        <f t="shared" ref="E132:AG132" si="19">SUM(E99:E131)</f>
        <v>1741253802.23</v>
      </c>
      <c r="F132" s="661">
        <f t="shared" si="19"/>
        <v>638686963.35000002</v>
      </c>
      <c r="G132" s="661">
        <f t="shared" si="19"/>
        <v>850232576.25999999</v>
      </c>
      <c r="H132" s="661">
        <f t="shared" si="19"/>
        <v>5492089</v>
      </c>
      <c r="I132" s="661">
        <f t="shared" si="19"/>
        <v>277330102.5</v>
      </c>
      <c r="J132" s="661">
        <f t="shared" si="19"/>
        <v>15918338.939999999</v>
      </c>
      <c r="K132" s="661">
        <f t="shared" si="19"/>
        <v>92188909.030000001</v>
      </c>
      <c r="L132" s="661">
        <f t="shared" si="19"/>
        <v>0</v>
      </c>
      <c r="M132" s="661">
        <f t="shared" si="19"/>
        <v>25067066.300000001</v>
      </c>
      <c r="N132" s="661">
        <f t="shared" si="19"/>
        <v>27703645.850000001</v>
      </c>
      <c r="O132" s="706">
        <f t="shared" si="19"/>
        <v>13892347.57</v>
      </c>
      <c r="P132" s="661">
        <f t="shared" si="19"/>
        <v>492833328.12</v>
      </c>
      <c r="Q132" s="661">
        <f t="shared" si="19"/>
        <v>173709018.88999999</v>
      </c>
      <c r="R132" s="661">
        <f t="shared" si="19"/>
        <v>38849758.700000003</v>
      </c>
      <c r="S132" s="661">
        <f t="shared" si="19"/>
        <v>135441024.05000001</v>
      </c>
      <c r="T132" s="661">
        <f t="shared" si="19"/>
        <v>9037236.6899999995</v>
      </c>
      <c r="U132" s="661">
        <f t="shared" si="19"/>
        <v>36452730.259999998</v>
      </c>
      <c r="V132" s="661">
        <f t="shared" si="19"/>
        <v>94760910.870000005</v>
      </c>
      <c r="W132" s="661">
        <f t="shared" si="19"/>
        <v>15888345.99</v>
      </c>
      <c r="X132" s="661">
        <f t="shared" si="19"/>
        <v>37915431.399999999</v>
      </c>
      <c r="Y132" s="661">
        <f t="shared" si="19"/>
        <v>51591696.57</v>
      </c>
      <c r="Z132" s="661">
        <f t="shared" si="19"/>
        <v>18066946.300000001</v>
      </c>
      <c r="AA132" s="661">
        <f t="shared" si="19"/>
        <v>14869371.6</v>
      </c>
      <c r="AB132" s="661">
        <f t="shared" si="19"/>
        <v>6361974.1699999999</v>
      </c>
      <c r="AC132" s="661">
        <f t="shared" si="19"/>
        <v>11820465.99</v>
      </c>
      <c r="AD132" s="661">
        <f t="shared" si="19"/>
        <v>19966610.289999999</v>
      </c>
      <c r="AE132" s="661">
        <f t="shared" si="19"/>
        <v>10359059.720000001</v>
      </c>
      <c r="AF132" s="661">
        <f t="shared" si="19"/>
        <v>1840944.39</v>
      </c>
      <c r="AG132" s="661">
        <f t="shared" si="19"/>
        <v>137950.38</v>
      </c>
      <c r="AI132" s="649">
        <f t="shared" si="16"/>
        <v>3116276892.8000002</v>
      </c>
    </row>
    <row r="133" spans="1:35" x14ac:dyDescent="0.2">
      <c r="B133" s="398"/>
      <c r="C133" s="398"/>
      <c r="E133" s="649"/>
      <c r="F133" s="649"/>
      <c r="G133" s="649"/>
      <c r="H133" s="649"/>
      <c r="I133" s="649"/>
      <c r="J133" s="649"/>
      <c r="K133" s="649"/>
      <c r="L133" s="649"/>
      <c r="M133" s="649"/>
      <c r="N133" s="649"/>
      <c r="O133" s="393"/>
      <c r="P133" s="649"/>
      <c r="Q133" s="649"/>
      <c r="R133" s="649"/>
      <c r="S133" s="649"/>
      <c r="T133" s="649"/>
      <c r="U133" s="649"/>
      <c r="V133" s="649"/>
      <c r="W133" s="649"/>
      <c r="X133" s="649"/>
      <c r="Y133" s="649"/>
      <c r="Z133" s="649"/>
      <c r="AA133" s="649"/>
      <c r="AB133" s="649"/>
      <c r="AC133" s="649"/>
      <c r="AD133" s="649"/>
      <c r="AE133" s="649"/>
      <c r="AF133" s="649"/>
      <c r="AG133" s="649"/>
      <c r="AI133" s="649">
        <f t="shared" si="16"/>
        <v>0</v>
      </c>
    </row>
    <row r="134" spans="1:35" x14ac:dyDescent="0.2">
      <c r="B134" s="403" t="s">
        <v>788</v>
      </c>
      <c r="C134" s="403"/>
      <c r="E134" s="649"/>
      <c r="F134" s="649"/>
      <c r="G134" s="649"/>
      <c r="H134" s="649"/>
      <c r="I134" s="649"/>
      <c r="J134" s="649"/>
      <c r="K134" s="649"/>
      <c r="L134" s="649"/>
      <c r="M134" s="649"/>
      <c r="N134" s="649"/>
      <c r="O134" s="393"/>
      <c r="P134" s="649"/>
      <c r="Q134" s="649"/>
      <c r="R134" s="649"/>
      <c r="S134" s="649"/>
      <c r="T134" s="649"/>
      <c r="U134" s="649"/>
      <c r="V134" s="649"/>
      <c r="W134" s="649"/>
      <c r="X134" s="649"/>
      <c r="Y134" s="649"/>
      <c r="Z134" s="649"/>
      <c r="AA134" s="649"/>
      <c r="AB134" s="649"/>
      <c r="AC134" s="649"/>
      <c r="AD134" s="649"/>
      <c r="AE134" s="649"/>
      <c r="AF134" s="649"/>
      <c r="AG134" s="649"/>
      <c r="AI134" s="649">
        <f t="shared" ref="AI134:AI166" si="20">SUM(F134:AF134)</f>
        <v>0</v>
      </c>
    </row>
    <row r="135" spans="1:35" x14ac:dyDescent="0.2">
      <c r="A135" s="335"/>
      <c r="B135" s="335" t="s">
        <v>275</v>
      </c>
      <c r="C135" s="335"/>
      <c r="E135" s="649"/>
      <c r="F135" s="649"/>
      <c r="G135" s="649"/>
      <c r="H135" s="649"/>
      <c r="I135" s="649"/>
      <c r="J135" s="649"/>
      <c r="K135" s="649"/>
      <c r="L135" s="649"/>
      <c r="M135" s="649"/>
      <c r="N135" s="649"/>
      <c r="O135" s="393"/>
      <c r="P135" s="649"/>
      <c r="Q135" s="649"/>
      <c r="R135" s="649"/>
      <c r="S135" s="649"/>
      <c r="T135" s="649"/>
      <c r="U135" s="649"/>
      <c r="V135" s="649"/>
      <c r="W135" s="649"/>
      <c r="X135" s="649"/>
      <c r="Y135" s="649"/>
      <c r="Z135" s="649"/>
      <c r="AA135" s="649"/>
      <c r="AB135" s="649"/>
      <c r="AC135" s="649"/>
      <c r="AD135" s="649"/>
      <c r="AE135" s="649"/>
      <c r="AF135" s="649"/>
      <c r="AG135" s="649"/>
      <c r="AI135" s="649">
        <f t="shared" si="20"/>
        <v>0</v>
      </c>
    </row>
    <row r="136" spans="1:35" x14ac:dyDescent="0.2">
      <c r="A136" s="335">
        <v>1940</v>
      </c>
      <c r="B136" s="3007" t="s">
        <v>1060</v>
      </c>
      <c r="C136" s="3007"/>
      <c r="D136" t="str">
        <f t="shared" ref="D136:D157" si="21">IF(SUM(F136:N136)-E136=0,"OK","prob")</f>
        <v>OK</v>
      </c>
      <c r="E136" s="649">
        <v>2714646.38</v>
      </c>
      <c r="F136" s="649">
        <v>2011040.38</v>
      </c>
      <c r="G136" s="649">
        <v>0</v>
      </c>
      <c r="H136" s="649">
        <v>0</v>
      </c>
      <c r="I136" s="649">
        <v>0</v>
      </c>
      <c r="J136" s="649">
        <v>0</v>
      </c>
      <c r="K136" s="649">
        <v>0</v>
      </c>
      <c r="L136" s="649"/>
      <c r="M136" s="649">
        <v>0</v>
      </c>
      <c r="N136" s="649">
        <v>703606</v>
      </c>
      <c r="O136" s="1286">
        <v>0</v>
      </c>
      <c r="P136" s="1286">
        <v>16293709.23</v>
      </c>
      <c r="Q136" s="1286">
        <v>0</v>
      </c>
      <c r="R136" s="1286">
        <v>58285.35</v>
      </c>
      <c r="S136" s="1286">
        <v>0</v>
      </c>
      <c r="T136" s="1286">
        <v>0</v>
      </c>
      <c r="U136" s="1286">
        <v>201705.1</v>
      </c>
      <c r="V136" s="1286">
        <v>0</v>
      </c>
      <c r="W136" s="1286">
        <v>0</v>
      </c>
      <c r="X136" s="1286">
        <v>1833348.07</v>
      </c>
      <c r="Y136" s="1286">
        <v>12808128.529999999</v>
      </c>
      <c r="Z136" s="1286">
        <v>0</v>
      </c>
      <c r="AA136" s="1286">
        <v>0</v>
      </c>
      <c r="AB136" s="1286">
        <v>0</v>
      </c>
      <c r="AC136" s="1286">
        <v>0</v>
      </c>
      <c r="AD136" s="1286">
        <v>0</v>
      </c>
      <c r="AE136" s="1286">
        <v>0</v>
      </c>
      <c r="AF136" s="1286">
        <v>0</v>
      </c>
      <c r="AG136" s="649">
        <v>0</v>
      </c>
      <c r="AI136" s="649">
        <f t="shared" si="20"/>
        <v>33909822.659999996</v>
      </c>
    </row>
    <row r="137" spans="1:35" x14ac:dyDescent="0.2">
      <c r="A137" s="335">
        <v>1950</v>
      </c>
      <c r="B137" s="3007" t="s">
        <v>816</v>
      </c>
      <c r="C137" s="3007"/>
      <c r="D137" t="str">
        <f t="shared" si="21"/>
        <v>OK</v>
      </c>
      <c r="E137" s="649">
        <v>97213388</v>
      </c>
      <c r="F137" s="649">
        <v>97213388</v>
      </c>
      <c r="G137" s="649">
        <v>0</v>
      </c>
      <c r="H137" s="649">
        <v>0</v>
      </c>
      <c r="I137" s="649">
        <v>0</v>
      </c>
      <c r="J137" s="649">
        <v>0</v>
      </c>
      <c r="K137" s="649">
        <v>0</v>
      </c>
      <c r="L137" s="649"/>
      <c r="M137" s="649">
        <v>0</v>
      </c>
      <c r="N137" s="649">
        <v>0</v>
      </c>
      <c r="O137" s="1286">
        <v>0</v>
      </c>
      <c r="P137" s="1286">
        <v>18027133.420000002</v>
      </c>
      <c r="Q137" s="1286">
        <v>1610564.72</v>
      </c>
      <c r="R137" s="1286">
        <v>2982075.67</v>
      </c>
      <c r="S137" s="1286">
        <v>1711100.88</v>
      </c>
      <c r="T137" s="1286">
        <v>581419.36</v>
      </c>
      <c r="U137" s="1286">
        <v>1874895.43</v>
      </c>
      <c r="V137" s="1286">
        <v>9648198.4900000002</v>
      </c>
      <c r="W137" s="1286">
        <v>46536.2</v>
      </c>
      <c r="X137" s="1286">
        <v>4606313.0999999996</v>
      </c>
      <c r="Y137" s="1286">
        <v>2205368.9700000002</v>
      </c>
      <c r="Z137" s="1286">
        <v>421364.17</v>
      </c>
      <c r="AA137" s="1286">
        <v>386944.94</v>
      </c>
      <c r="AB137" s="1286">
        <v>0</v>
      </c>
      <c r="AC137" s="1286">
        <v>751341.88</v>
      </c>
      <c r="AD137" s="1286">
        <v>2114452.5099999998</v>
      </c>
      <c r="AE137" s="1286">
        <v>112405.47</v>
      </c>
      <c r="AF137" s="1286">
        <v>0</v>
      </c>
      <c r="AG137" s="649">
        <v>0</v>
      </c>
      <c r="AI137" s="649">
        <f t="shared" si="20"/>
        <v>144293503.21000001</v>
      </c>
    </row>
    <row r="138" spans="1:35" x14ac:dyDescent="0.2">
      <c r="A138" s="335">
        <v>1960</v>
      </c>
      <c r="B138" s="3007" t="s">
        <v>700</v>
      </c>
      <c r="C138" s="3007"/>
      <c r="D138" t="str">
        <f t="shared" si="21"/>
        <v>OK</v>
      </c>
      <c r="E138" s="649">
        <v>0</v>
      </c>
      <c r="F138" s="649">
        <v>0</v>
      </c>
      <c r="G138" s="649">
        <v>0</v>
      </c>
      <c r="H138" s="649">
        <v>0</v>
      </c>
      <c r="I138" s="649">
        <v>0</v>
      </c>
      <c r="J138" s="649">
        <v>0</v>
      </c>
      <c r="K138" s="649">
        <v>0</v>
      </c>
      <c r="L138" s="649"/>
      <c r="M138" s="649">
        <v>0</v>
      </c>
      <c r="N138" s="649">
        <v>0</v>
      </c>
      <c r="O138" s="1286">
        <v>0</v>
      </c>
      <c r="P138" s="1286">
        <v>0</v>
      </c>
      <c r="Q138" s="1286">
        <v>0</v>
      </c>
      <c r="R138" s="1286">
        <v>0</v>
      </c>
      <c r="S138" s="1286">
        <v>0</v>
      </c>
      <c r="T138" s="1286">
        <v>0</v>
      </c>
      <c r="U138" s="1286">
        <v>0</v>
      </c>
      <c r="V138" s="1286">
        <v>0</v>
      </c>
      <c r="W138" s="1286">
        <v>0</v>
      </c>
      <c r="X138" s="1286">
        <v>0</v>
      </c>
      <c r="Y138" s="1286">
        <v>0</v>
      </c>
      <c r="Z138" s="1286">
        <v>0</v>
      </c>
      <c r="AA138" s="1286">
        <v>0</v>
      </c>
      <c r="AB138" s="1286">
        <v>0</v>
      </c>
      <c r="AC138" s="1286">
        <v>0</v>
      </c>
      <c r="AD138" s="1286">
        <v>0</v>
      </c>
      <c r="AE138" s="1286">
        <v>0</v>
      </c>
      <c r="AF138" s="1286">
        <v>0</v>
      </c>
      <c r="AG138" s="649">
        <v>0</v>
      </c>
      <c r="AI138" s="649">
        <f t="shared" si="20"/>
        <v>0</v>
      </c>
    </row>
    <row r="139" spans="1:35" x14ac:dyDescent="0.2">
      <c r="A139" s="1129">
        <v>2020</v>
      </c>
      <c r="B139" s="2876" t="s">
        <v>789</v>
      </c>
      <c r="C139" s="2876"/>
      <c r="D139" t="str">
        <f t="shared" si="21"/>
        <v>OK</v>
      </c>
      <c r="E139" s="1823">
        <v>0</v>
      </c>
      <c r="F139" s="1823">
        <v>0</v>
      </c>
      <c r="G139" s="1823">
        <v>0</v>
      </c>
      <c r="H139" s="1823">
        <v>0</v>
      </c>
      <c r="I139" s="1823">
        <v>0</v>
      </c>
      <c r="J139" s="1823">
        <v>0</v>
      </c>
      <c r="K139" s="1823">
        <v>0</v>
      </c>
      <c r="L139" s="1823"/>
      <c r="M139" s="1823">
        <v>0</v>
      </c>
      <c r="N139" s="1823">
        <v>0</v>
      </c>
      <c r="O139" s="2017">
        <v>0</v>
      </c>
      <c r="P139" s="2017">
        <v>0</v>
      </c>
      <c r="Q139" s="2017">
        <v>0</v>
      </c>
      <c r="R139" s="2017">
        <v>0</v>
      </c>
      <c r="S139" s="2017">
        <v>0</v>
      </c>
      <c r="T139" s="2017">
        <v>0</v>
      </c>
      <c r="U139" s="2017">
        <v>0</v>
      </c>
      <c r="V139" s="2017">
        <v>0</v>
      </c>
      <c r="W139" s="2017">
        <v>0</v>
      </c>
      <c r="X139" s="2017">
        <v>0</v>
      </c>
      <c r="Y139" s="2017">
        <v>0</v>
      </c>
      <c r="Z139" s="2017">
        <v>0</v>
      </c>
      <c r="AA139" s="2017">
        <v>0</v>
      </c>
      <c r="AB139" s="2017">
        <v>0</v>
      </c>
      <c r="AC139" s="2017">
        <v>0</v>
      </c>
      <c r="AD139" s="2017">
        <v>0</v>
      </c>
      <c r="AE139" s="2017">
        <v>0</v>
      </c>
      <c r="AF139" s="2017">
        <v>0</v>
      </c>
      <c r="AG139" s="1823">
        <v>0</v>
      </c>
      <c r="AI139" s="649">
        <f t="shared" si="20"/>
        <v>0</v>
      </c>
    </row>
    <row r="140" spans="1:35" x14ac:dyDescent="0.2">
      <c r="A140" s="335">
        <v>2097</v>
      </c>
      <c r="B140" s="2876" t="s">
        <v>569</v>
      </c>
      <c r="C140" s="2876"/>
      <c r="D140" t="str">
        <f t="shared" si="21"/>
        <v>OK</v>
      </c>
      <c r="E140" s="649">
        <v>0</v>
      </c>
      <c r="F140" s="649">
        <v>0</v>
      </c>
      <c r="G140" s="649">
        <v>0</v>
      </c>
      <c r="H140" s="649">
        <v>0</v>
      </c>
      <c r="I140" s="649">
        <v>0</v>
      </c>
      <c r="J140" s="649">
        <v>0</v>
      </c>
      <c r="K140" s="649">
        <v>0</v>
      </c>
      <c r="L140" s="649"/>
      <c r="M140" s="649">
        <v>0</v>
      </c>
      <c r="N140" s="649">
        <v>0</v>
      </c>
      <c r="O140" s="1286">
        <v>0</v>
      </c>
      <c r="P140" s="1286">
        <v>0</v>
      </c>
      <c r="Q140" s="1286">
        <v>67443586.950000003</v>
      </c>
      <c r="R140" s="1286">
        <v>0</v>
      </c>
      <c r="S140" s="1286">
        <v>976212.84</v>
      </c>
      <c r="T140" s="1286">
        <v>0</v>
      </c>
      <c r="U140" s="1286">
        <v>3621483.76</v>
      </c>
      <c r="V140" s="1286">
        <v>9808069.4100000001</v>
      </c>
      <c r="W140" s="1286">
        <v>0</v>
      </c>
      <c r="X140" s="1286">
        <v>0</v>
      </c>
      <c r="Y140" s="1286">
        <v>0</v>
      </c>
      <c r="Z140" s="1286">
        <v>0</v>
      </c>
      <c r="AA140" s="1286">
        <v>0</v>
      </c>
      <c r="AB140" s="1286">
        <v>0</v>
      </c>
      <c r="AC140" s="1286">
        <v>0</v>
      </c>
      <c r="AD140" s="1286">
        <v>0</v>
      </c>
      <c r="AE140" s="1286">
        <v>0</v>
      </c>
      <c r="AF140" s="1286">
        <v>0</v>
      </c>
      <c r="AG140" s="649">
        <v>0</v>
      </c>
      <c r="AI140" s="649">
        <f t="shared" si="20"/>
        <v>81849352.959999993</v>
      </c>
    </row>
    <row r="141" spans="1:35" x14ac:dyDescent="0.2">
      <c r="A141" s="335">
        <v>2070</v>
      </c>
      <c r="B141" s="2876" t="s">
        <v>739</v>
      </c>
      <c r="C141" s="2876"/>
      <c r="D141" t="str">
        <f t="shared" si="21"/>
        <v>OK</v>
      </c>
      <c r="E141" s="649">
        <v>0</v>
      </c>
      <c r="F141" s="649">
        <v>0</v>
      </c>
      <c r="G141" s="649">
        <v>0</v>
      </c>
      <c r="H141" s="649">
        <v>0</v>
      </c>
      <c r="I141" s="649">
        <v>0</v>
      </c>
      <c r="J141" s="649">
        <v>0</v>
      </c>
      <c r="K141" s="649">
        <v>0</v>
      </c>
      <c r="L141" s="649"/>
      <c r="M141" s="649">
        <v>0</v>
      </c>
      <c r="N141" s="649">
        <v>0</v>
      </c>
      <c r="O141" s="1286">
        <v>0</v>
      </c>
      <c r="P141" s="1286">
        <v>0</v>
      </c>
      <c r="Q141" s="1286">
        <v>5283431.4800000004</v>
      </c>
      <c r="R141" s="1286">
        <v>0</v>
      </c>
      <c r="S141" s="1286">
        <v>0</v>
      </c>
      <c r="T141" s="1286">
        <v>63725.84</v>
      </c>
      <c r="U141" s="1286">
        <v>0</v>
      </c>
      <c r="V141" s="1286">
        <v>0</v>
      </c>
      <c r="W141" s="1286">
        <v>0</v>
      </c>
      <c r="X141" s="1286">
        <v>159563</v>
      </c>
      <c r="Y141" s="1286">
        <v>222174.85</v>
      </c>
      <c r="Z141" s="1286">
        <v>297899.73</v>
      </c>
      <c r="AA141" s="1286">
        <v>49571.89</v>
      </c>
      <c r="AB141" s="1286">
        <v>0</v>
      </c>
      <c r="AC141" s="1286">
        <v>0</v>
      </c>
      <c r="AD141" s="1286">
        <v>400</v>
      </c>
      <c r="AE141" s="1286">
        <v>0</v>
      </c>
      <c r="AF141" s="1286">
        <v>0</v>
      </c>
      <c r="AG141" s="649">
        <v>0</v>
      </c>
      <c r="AI141" s="649">
        <f t="shared" si="20"/>
        <v>6076766.79</v>
      </c>
    </row>
    <row r="142" spans="1:35" x14ac:dyDescent="0.2">
      <c r="A142" s="335">
        <v>2080</v>
      </c>
      <c r="B142" s="2876" t="s">
        <v>701</v>
      </c>
      <c r="C142" s="2876"/>
      <c r="D142" t="str">
        <f t="shared" si="21"/>
        <v>OK</v>
      </c>
      <c r="E142" s="649">
        <v>2831898.67</v>
      </c>
      <c r="F142" s="649">
        <v>0</v>
      </c>
      <c r="G142" s="649">
        <v>0</v>
      </c>
      <c r="H142" s="649">
        <v>0</v>
      </c>
      <c r="I142" s="649">
        <v>2831898.67</v>
      </c>
      <c r="J142" s="649">
        <v>0</v>
      </c>
      <c r="K142" s="649">
        <v>0</v>
      </c>
      <c r="L142" s="649"/>
      <c r="M142" s="649">
        <v>0</v>
      </c>
      <c r="N142" s="649">
        <v>0</v>
      </c>
      <c r="O142" s="1286">
        <v>0</v>
      </c>
      <c r="P142" s="2019">
        <v>0</v>
      </c>
      <c r="Q142" s="1286">
        <v>2991634.1</v>
      </c>
      <c r="R142" s="1286">
        <v>5558939.8700000001</v>
      </c>
      <c r="S142" s="1286">
        <v>78579.25</v>
      </c>
      <c r="T142" s="1286">
        <v>189974.68</v>
      </c>
      <c r="U142" s="1286">
        <v>439375.91</v>
      </c>
      <c r="V142" s="1286">
        <v>206952.2</v>
      </c>
      <c r="W142" s="1286">
        <v>377539.48</v>
      </c>
      <c r="X142" s="1286">
        <v>720422.15</v>
      </c>
      <c r="Y142" s="1286">
        <v>1983679.17</v>
      </c>
      <c r="Z142" s="1286">
        <v>415498.95</v>
      </c>
      <c r="AA142" s="1286">
        <v>3214257.84</v>
      </c>
      <c r="AB142" s="1286">
        <v>219375.41</v>
      </c>
      <c r="AC142" s="1286">
        <v>795923.45</v>
      </c>
      <c r="AD142" s="1286">
        <v>-72348.759999999995</v>
      </c>
      <c r="AE142" s="1286">
        <v>63328.47</v>
      </c>
      <c r="AF142" s="1286">
        <v>0</v>
      </c>
      <c r="AG142" s="649">
        <v>0</v>
      </c>
      <c r="AI142" s="649">
        <f t="shared" si="20"/>
        <v>20015030.84</v>
      </c>
    </row>
    <row r="143" spans="1:35" x14ac:dyDescent="0.2">
      <c r="A143" s="335">
        <v>2024</v>
      </c>
      <c r="B143" s="2876" t="s">
        <v>1347</v>
      </c>
      <c r="C143" s="2876"/>
      <c r="D143" t="str">
        <f t="shared" si="21"/>
        <v>OK</v>
      </c>
      <c r="E143" s="649">
        <v>7887997</v>
      </c>
      <c r="F143" s="649">
        <v>7887997</v>
      </c>
      <c r="G143" s="649">
        <v>0</v>
      </c>
      <c r="H143" s="649">
        <v>0</v>
      </c>
      <c r="I143" s="649">
        <v>0</v>
      </c>
      <c r="J143" s="649">
        <v>0</v>
      </c>
      <c r="K143" s="649">
        <v>0</v>
      </c>
      <c r="L143" s="649"/>
      <c r="M143" s="649">
        <v>0</v>
      </c>
      <c r="N143" s="649">
        <v>0</v>
      </c>
      <c r="O143" s="1286">
        <v>0</v>
      </c>
      <c r="P143" s="1286">
        <v>118979851.03</v>
      </c>
      <c r="Q143" s="1286">
        <v>0</v>
      </c>
      <c r="R143" s="1286">
        <v>0</v>
      </c>
      <c r="S143" s="1286">
        <v>0</v>
      </c>
      <c r="T143" s="1286">
        <v>0</v>
      </c>
      <c r="U143" s="1286">
        <v>0</v>
      </c>
      <c r="V143" s="1286">
        <v>0</v>
      </c>
      <c r="W143" s="1286">
        <v>0</v>
      </c>
      <c r="X143" s="1286">
        <v>0</v>
      </c>
      <c r="Y143" s="1286">
        <v>0</v>
      </c>
      <c r="Z143" s="1286">
        <v>0</v>
      </c>
      <c r="AA143" s="1286">
        <v>0</v>
      </c>
      <c r="AB143" s="1286">
        <v>0</v>
      </c>
      <c r="AC143" s="1286">
        <v>0</v>
      </c>
      <c r="AD143" s="1286">
        <v>0</v>
      </c>
      <c r="AE143" s="1286">
        <v>0</v>
      </c>
      <c r="AF143" s="1286">
        <v>1738656.43</v>
      </c>
      <c r="AG143" s="649">
        <v>0</v>
      </c>
      <c r="AI143" s="649">
        <f t="shared" si="20"/>
        <v>128606504.45999999</v>
      </c>
    </row>
    <row r="144" spans="1:35" x14ac:dyDescent="0.2">
      <c r="A144" s="1129">
        <v>2035</v>
      </c>
      <c r="B144" s="2876" t="s">
        <v>4595</v>
      </c>
      <c r="C144" s="2876"/>
      <c r="D144" t="str">
        <f t="shared" si="21"/>
        <v>OK</v>
      </c>
      <c r="E144" s="1823">
        <v>47818575.439999998</v>
      </c>
      <c r="F144" s="1823">
        <v>0</v>
      </c>
      <c r="G144" s="1823">
        <v>17024286.960000001</v>
      </c>
      <c r="H144" s="1823">
        <v>0</v>
      </c>
      <c r="I144" s="1823">
        <v>15059318.189999999</v>
      </c>
      <c r="J144" s="1823">
        <v>11308390.289999999</v>
      </c>
      <c r="K144" s="1823">
        <v>0</v>
      </c>
      <c r="L144" s="1823"/>
      <c r="M144" s="1823">
        <v>0</v>
      </c>
      <c r="N144" s="1823">
        <v>4426580</v>
      </c>
      <c r="O144" s="2017">
        <v>73238.92</v>
      </c>
      <c r="P144" s="2017">
        <v>68514462.379999995</v>
      </c>
      <c r="Q144" s="2017">
        <v>46218657.079999998</v>
      </c>
      <c r="R144" s="2017">
        <v>8297365.8499999996</v>
      </c>
      <c r="S144" s="2017">
        <v>4848380.24</v>
      </c>
      <c r="T144" s="2017">
        <v>382822.14</v>
      </c>
      <c r="U144" s="2017">
        <v>8738236.1899999995</v>
      </c>
      <c r="V144" s="2017">
        <v>740620.44</v>
      </c>
      <c r="W144" s="2017">
        <v>3092919.61</v>
      </c>
      <c r="X144" s="2017">
        <v>413240.16</v>
      </c>
      <c r="Y144" s="2017">
        <v>99303643.230000004</v>
      </c>
      <c r="Z144" s="2017">
        <v>5258922.45</v>
      </c>
      <c r="AA144" s="2017">
        <v>3333788.94</v>
      </c>
      <c r="AB144" s="2017">
        <v>22585781.219999999</v>
      </c>
      <c r="AC144" s="2017">
        <v>6983189.7400000002</v>
      </c>
      <c r="AD144" s="2017">
        <v>3685302.73</v>
      </c>
      <c r="AE144" s="2017">
        <v>232625.74</v>
      </c>
      <c r="AF144" s="2017">
        <v>17763558.73</v>
      </c>
      <c r="AG144" s="1823">
        <v>0</v>
      </c>
      <c r="AI144" s="649">
        <f t="shared" si="20"/>
        <v>348285331.23000002</v>
      </c>
    </row>
    <row r="145" spans="1:35" x14ac:dyDescent="0.2">
      <c r="A145" s="1129">
        <v>2040</v>
      </c>
      <c r="B145" s="2974" t="s">
        <v>5477</v>
      </c>
      <c r="C145" s="2974"/>
      <c r="D145" t="str">
        <f t="shared" si="21"/>
        <v>OK</v>
      </c>
      <c r="E145" s="1823">
        <v>857834.45</v>
      </c>
      <c r="F145" s="1823">
        <v>0</v>
      </c>
      <c r="G145" s="1823">
        <v>0</v>
      </c>
      <c r="H145" s="1823">
        <v>0</v>
      </c>
      <c r="I145" s="1823">
        <v>578922.37</v>
      </c>
      <c r="J145" s="1823">
        <v>0</v>
      </c>
      <c r="K145" s="1823">
        <v>0</v>
      </c>
      <c r="L145" s="1823"/>
      <c r="M145" s="1823">
        <v>0</v>
      </c>
      <c r="N145" s="1823">
        <v>278912.08</v>
      </c>
      <c r="O145" s="2017">
        <v>0</v>
      </c>
      <c r="P145" s="2017">
        <v>160006.26</v>
      </c>
      <c r="Q145" s="2017">
        <v>319360.99</v>
      </c>
      <c r="R145" s="2017">
        <v>0</v>
      </c>
      <c r="S145" s="2017">
        <v>0</v>
      </c>
      <c r="T145" s="2017">
        <v>0</v>
      </c>
      <c r="U145" s="2017">
        <v>630663.23</v>
      </c>
      <c r="V145" s="2017">
        <v>811454.74</v>
      </c>
      <c r="W145" s="2017">
        <v>0</v>
      </c>
      <c r="X145" s="2017">
        <v>952798.89</v>
      </c>
      <c r="Y145" s="2017">
        <v>0</v>
      </c>
      <c r="Z145" s="2017">
        <v>210827.35</v>
      </c>
      <c r="AA145" s="2017">
        <v>32230000</v>
      </c>
      <c r="AB145" s="2017">
        <v>0</v>
      </c>
      <c r="AC145" s="2017">
        <v>602898.44999999995</v>
      </c>
      <c r="AD145" s="2017">
        <v>35000.050000000003</v>
      </c>
      <c r="AE145" s="2017">
        <v>0</v>
      </c>
      <c r="AF145" s="2017">
        <v>0</v>
      </c>
      <c r="AG145" s="1823">
        <v>0</v>
      </c>
      <c r="AI145" s="649">
        <f t="shared" si="20"/>
        <v>36810844.409999996</v>
      </c>
    </row>
    <row r="146" spans="1:35" x14ac:dyDescent="0.2">
      <c r="A146" s="1129">
        <v>2050</v>
      </c>
      <c r="B146" s="2876" t="s">
        <v>1548</v>
      </c>
      <c r="C146" s="2876"/>
      <c r="D146" t="str">
        <f t="shared" si="21"/>
        <v>OK</v>
      </c>
      <c r="E146" s="1823">
        <v>898620771</v>
      </c>
      <c r="F146" s="1823">
        <v>460763338.85000002</v>
      </c>
      <c r="G146" s="1823">
        <v>0</v>
      </c>
      <c r="H146" s="1823">
        <v>0</v>
      </c>
      <c r="I146" s="1823">
        <v>437857432.14999998</v>
      </c>
      <c r="J146" s="1823">
        <v>0</v>
      </c>
      <c r="K146" s="1823">
        <v>0</v>
      </c>
      <c r="L146" s="1823"/>
      <c r="M146" s="1823">
        <v>0</v>
      </c>
      <c r="N146" s="1823">
        <v>0</v>
      </c>
      <c r="O146" s="2017">
        <v>0</v>
      </c>
      <c r="P146" s="2017">
        <v>1230938146.74</v>
      </c>
      <c r="Q146" s="2017">
        <v>511635200.80000001</v>
      </c>
      <c r="R146" s="2017">
        <v>280868081.38999999</v>
      </c>
      <c r="S146" s="2017">
        <v>560424862.30999994</v>
      </c>
      <c r="T146" s="2017">
        <v>78274223.810000002</v>
      </c>
      <c r="U146" s="2017">
        <v>207393319.53999999</v>
      </c>
      <c r="V146" s="2017">
        <v>365555777.66000003</v>
      </c>
      <c r="W146" s="2017">
        <v>92369043.439999998</v>
      </c>
      <c r="X146" s="2017">
        <v>258909391.47999999</v>
      </c>
      <c r="Y146" s="2017">
        <v>250935054.63999999</v>
      </c>
      <c r="Z146" s="2017">
        <v>45513917.909999996</v>
      </c>
      <c r="AA146" s="2017">
        <v>52939943.549999997</v>
      </c>
      <c r="AB146" s="2017">
        <v>15832826.119999999</v>
      </c>
      <c r="AC146" s="2017">
        <v>45642422.259999998</v>
      </c>
      <c r="AD146" s="2017">
        <v>108483914.58</v>
      </c>
      <c r="AE146" s="2017">
        <v>48577021.310000002</v>
      </c>
      <c r="AF146" s="2017">
        <v>0</v>
      </c>
      <c r="AG146" s="1823">
        <v>0</v>
      </c>
      <c r="AI146" s="649">
        <f t="shared" si="20"/>
        <v>5052913918.54</v>
      </c>
    </row>
    <row r="147" spans="1:35" x14ac:dyDescent="0.2">
      <c r="A147" s="1129">
        <v>2060</v>
      </c>
      <c r="B147" s="2876" t="s">
        <v>1061</v>
      </c>
      <c r="C147" s="2876"/>
      <c r="D147" t="str">
        <f t="shared" si="21"/>
        <v>OK</v>
      </c>
      <c r="E147" s="1823">
        <v>0</v>
      </c>
      <c r="F147" s="1823">
        <v>0</v>
      </c>
      <c r="G147" s="1823">
        <v>0</v>
      </c>
      <c r="H147" s="1823">
        <v>0</v>
      </c>
      <c r="I147" s="1823">
        <v>0</v>
      </c>
      <c r="J147" s="1823">
        <v>0</v>
      </c>
      <c r="K147" s="1823">
        <v>0</v>
      </c>
      <c r="L147" s="1823"/>
      <c r="M147" s="1823">
        <v>0</v>
      </c>
      <c r="N147" s="1823">
        <v>0</v>
      </c>
      <c r="O147" s="2017">
        <v>0</v>
      </c>
      <c r="P147" s="2017">
        <v>0</v>
      </c>
      <c r="Q147" s="2017">
        <v>0</v>
      </c>
      <c r="R147" s="2017">
        <v>0</v>
      </c>
      <c r="S147" s="2017">
        <v>0</v>
      </c>
      <c r="T147" s="2017">
        <v>0</v>
      </c>
      <c r="U147" s="2017">
        <v>0</v>
      </c>
      <c r="V147" s="2017">
        <v>0</v>
      </c>
      <c r="W147" s="2017">
        <v>0</v>
      </c>
      <c r="X147" s="2017">
        <v>0</v>
      </c>
      <c r="Y147" s="2017">
        <v>0</v>
      </c>
      <c r="Z147" s="2017">
        <v>0</v>
      </c>
      <c r="AA147" s="2017">
        <v>0</v>
      </c>
      <c r="AB147" s="2017">
        <v>0</v>
      </c>
      <c r="AC147" s="2017">
        <v>0</v>
      </c>
      <c r="AD147" s="2017">
        <v>0</v>
      </c>
      <c r="AE147" s="2017">
        <v>0</v>
      </c>
      <c r="AF147" s="2017">
        <v>0</v>
      </c>
      <c r="AG147" s="1823">
        <v>0</v>
      </c>
      <c r="AI147" s="649">
        <f t="shared" si="20"/>
        <v>0</v>
      </c>
    </row>
    <row r="148" spans="1:35" x14ac:dyDescent="0.2">
      <c r="A148" s="1129">
        <v>2061</v>
      </c>
      <c r="B148" s="2876" t="s">
        <v>1062</v>
      </c>
      <c r="C148" s="2876"/>
      <c r="D148" t="str">
        <f t="shared" si="21"/>
        <v>OK</v>
      </c>
      <c r="E148" s="1823">
        <v>0</v>
      </c>
      <c r="F148" s="1823">
        <v>0</v>
      </c>
      <c r="G148" s="1823">
        <v>0</v>
      </c>
      <c r="H148" s="1823">
        <v>0</v>
      </c>
      <c r="I148" s="1823">
        <v>0</v>
      </c>
      <c r="J148" s="1823">
        <v>0</v>
      </c>
      <c r="K148" s="1823">
        <v>0</v>
      </c>
      <c r="L148" s="1823"/>
      <c r="M148" s="1823">
        <v>0</v>
      </c>
      <c r="N148" s="1823">
        <v>0</v>
      </c>
      <c r="O148" s="2017">
        <v>381759.28</v>
      </c>
      <c r="P148" s="2017">
        <v>10926423.289999999</v>
      </c>
      <c r="Q148" s="2017">
        <v>8752326.6899999995</v>
      </c>
      <c r="R148" s="2017">
        <v>3206552.45</v>
      </c>
      <c r="S148" s="2017">
        <v>3044651.26</v>
      </c>
      <c r="T148" s="2017">
        <v>28301.81</v>
      </c>
      <c r="U148" s="2017">
        <v>400474.83</v>
      </c>
      <c r="V148" s="2017">
        <v>3393355.97</v>
      </c>
      <c r="W148" s="2017">
        <v>1617362.03</v>
      </c>
      <c r="X148" s="2017">
        <v>554512.26</v>
      </c>
      <c r="Y148" s="2017">
        <v>393170.05</v>
      </c>
      <c r="Z148" s="2017">
        <v>843246.38</v>
      </c>
      <c r="AA148" s="2017">
        <v>2851667</v>
      </c>
      <c r="AB148" s="2017">
        <v>1911553</v>
      </c>
      <c r="AC148" s="2017">
        <v>2178058.2999999998</v>
      </c>
      <c r="AD148" s="2017">
        <v>2268190.09</v>
      </c>
      <c r="AE148" s="2017">
        <v>1998373.48</v>
      </c>
      <c r="AF148" s="2017">
        <v>0</v>
      </c>
      <c r="AG148" s="1823">
        <v>0</v>
      </c>
      <c r="AI148" s="649">
        <f t="shared" si="20"/>
        <v>44749978.170000002</v>
      </c>
    </row>
    <row r="149" spans="1:35" x14ac:dyDescent="0.2">
      <c r="A149" s="1129">
        <v>2045</v>
      </c>
      <c r="B149" s="2876" t="s">
        <v>93</v>
      </c>
      <c r="C149" s="2876"/>
      <c r="D149" t="str">
        <f t="shared" si="21"/>
        <v>OK</v>
      </c>
      <c r="E149" s="1823">
        <v>1912725</v>
      </c>
      <c r="F149" s="1823">
        <v>0</v>
      </c>
      <c r="G149" s="1823">
        <v>0</v>
      </c>
      <c r="H149" s="1823">
        <v>0</v>
      </c>
      <c r="I149" s="1823">
        <v>0</v>
      </c>
      <c r="J149" s="1823">
        <v>0</v>
      </c>
      <c r="K149" s="1823">
        <v>0</v>
      </c>
      <c r="L149" s="1823"/>
      <c r="M149" s="1823">
        <v>0</v>
      </c>
      <c r="N149" s="1823">
        <v>1912725</v>
      </c>
      <c r="O149" s="2017">
        <v>0</v>
      </c>
      <c r="P149" s="2017">
        <v>50972954.990000002</v>
      </c>
      <c r="Q149" s="2017">
        <v>0</v>
      </c>
      <c r="R149" s="2017">
        <v>4908452.5599999996</v>
      </c>
      <c r="S149" s="2017">
        <v>0</v>
      </c>
      <c r="T149" s="2017">
        <v>0</v>
      </c>
      <c r="U149" s="2017">
        <v>0</v>
      </c>
      <c r="V149" s="2017">
        <v>0</v>
      </c>
      <c r="W149" s="2017">
        <v>0</v>
      </c>
      <c r="X149" s="2017">
        <v>0</v>
      </c>
      <c r="Y149" s="2017">
        <v>0</v>
      </c>
      <c r="Z149" s="2017">
        <v>0</v>
      </c>
      <c r="AA149" s="2017">
        <v>0</v>
      </c>
      <c r="AB149" s="2017">
        <v>0</v>
      </c>
      <c r="AC149" s="2017">
        <v>0</v>
      </c>
      <c r="AD149" s="2017">
        <v>0</v>
      </c>
      <c r="AE149" s="2017">
        <v>0</v>
      </c>
      <c r="AF149" s="2017">
        <v>0</v>
      </c>
      <c r="AG149" s="1823">
        <v>0</v>
      </c>
      <c r="AI149" s="649">
        <f t="shared" si="20"/>
        <v>57794132.549999997</v>
      </c>
    </row>
    <row r="150" spans="1:35" x14ac:dyDescent="0.2">
      <c r="A150" s="1129">
        <v>2085</v>
      </c>
      <c r="B150" s="2876" t="s">
        <v>1226</v>
      </c>
      <c r="C150" s="2876"/>
      <c r="D150" t="str">
        <f t="shared" si="21"/>
        <v>OK</v>
      </c>
      <c r="E150" s="1823">
        <v>0</v>
      </c>
      <c r="F150" s="1823">
        <v>0</v>
      </c>
      <c r="G150" s="1823">
        <v>0</v>
      </c>
      <c r="H150" s="1823">
        <v>0</v>
      </c>
      <c r="I150" s="1823">
        <v>0</v>
      </c>
      <c r="J150" s="1823">
        <v>0</v>
      </c>
      <c r="K150" s="1823">
        <v>0</v>
      </c>
      <c r="L150" s="1823"/>
      <c r="M150" s="1823">
        <v>0</v>
      </c>
      <c r="N150" s="1823">
        <v>0</v>
      </c>
      <c r="O150" s="2017">
        <v>0</v>
      </c>
      <c r="P150" s="2017">
        <v>0</v>
      </c>
      <c r="Q150" s="2017">
        <v>4186114.58</v>
      </c>
      <c r="R150" s="2017">
        <v>0</v>
      </c>
      <c r="S150" s="2017">
        <v>0</v>
      </c>
      <c r="T150" s="2017">
        <v>0</v>
      </c>
      <c r="U150" s="2017">
        <v>0</v>
      </c>
      <c r="V150" s="2017">
        <v>0</v>
      </c>
      <c r="W150" s="2017">
        <v>0</v>
      </c>
      <c r="X150" s="2017">
        <v>0</v>
      </c>
      <c r="Y150" s="2017">
        <v>0</v>
      </c>
      <c r="Z150" s="2017">
        <v>0</v>
      </c>
      <c r="AA150" s="2017">
        <v>0</v>
      </c>
      <c r="AB150" s="2017">
        <v>0</v>
      </c>
      <c r="AC150" s="2017">
        <v>30000</v>
      </c>
      <c r="AD150" s="2017">
        <v>0</v>
      </c>
      <c r="AE150" s="2017">
        <v>0</v>
      </c>
      <c r="AF150" s="2017">
        <v>0</v>
      </c>
      <c r="AG150" s="1823">
        <v>0</v>
      </c>
      <c r="AI150" s="649">
        <f t="shared" si="20"/>
        <v>4216114.58</v>
      </c>
    </row>
    <row r="151" spans="1:35" x14ac:dyDescent="0.2">
      <c r="A151" s="1129">
        <v>2087</v>
      </c>
      <c r="B151" s="2876" t="s">
        <v>4593</v>
      </c>
      <c r="C151" s="2876"/>
      <c r="D151" t="str">
        <f t="shared" si="21"/>
        <v>OK</v>
      </c>
      <c r="E151" s="1823">
        <v>0</v>
      </c>
      <c r="F151" s="1823">
        <v>0</v>
      </c>
      <c r="G151" s="1823">
        <v>0</v>
      </c>
      <c r="H151" s="1823">
        <v>0</v>
      </c>
      <c r="I151" s="1823">
        <v>0</v>
      </c>
      <c r="J151" s="1823">
        <v>0</v>
      </c>
      <c r="K151" s="1823">
        <v>0</v>
      </c>
      <c r="L151" s="1823"/>
      <c r="M151" s="1823">
        <v>0</v>
      </c>
      <c r="N151" s="1823">
        <v>0</v>
      </c>
      <c r="O151" s="2017">
        <v>0</v>
      </c>
      <c r="P151" s="2017">
        <v>0</v>
      </c>
      <c r="Q151" s="2017">
        <v>14338276</v>
      </c>
      <c r="R151" s="2017">
        <v>0</v>
      </c>
      <c r="S151" s="2017">
        <v>0</v>
      </c>
      <c r="T151" s="2017">
        <v>0</v>
      </c>
      <c r="U151" s="2017">
        <v>0</v>
      </c>
      <c r="V151" s="2017">
        <v>0</v>
      </c>
      <c r="W151" s="2017">
        <v>0</v>
      </c>
      <c r="X151" s="2017">
        <v>0</v>
      </c>
      <c r="Y151" s="2017">
        <v>0</v>
      </c>
      <c r="Z151" s="2017">
        <v>0</v>
      </c>
      <c r="AA151" s="2017">
        <v>0</v>
      </c>
      <c r="AB151" s="2017">
        <v>0</v>
      </c>
      <c r="AC151" s="2017">
        <v>0</v>
      </c>
      <c r="AD151" s="2017">
        <v>0</v>
      </c>
      <c r="AE151" s="2017">
        <v>0</v>
      </c>
      <c r="AF151" s="2017">
        <v>0</v>
      </c>
      <c r="AG151" s="1823">
        <v>0</v>
      </c>
      <c r="AI151" s="649">
        <f t="shared" si="20"/>
        <v>14338276</v>
      </c>
    </row>
    <row r="152" spans="1:35" x14ac:dyDescent="0.2">
      <c r="A152" s="1129">
        <v>2090</v>
      </c>
      <c r="B152" s="2876" t="s">
        <v>80</v>
      </c>
      <c r="C152" s="2876"/>
      <c r="D152" t="str">
        <f t="shared" si="21"/>
        <v>OK</v>
      </c>
      <c r="E152" s="1823">
        <v>44368649.969999999</v>
      </c>
      <c r="F152" s="1823">
        <v>32818751.789999999</v>
      </c>
      <c r="G152" s="1823">
        <v>11549898.18</v>
      </c>
      <c r="H152" s="1823">
        <v>0</v>
      </c>
      <c r="I152" s="1823">
        <v>0</v>
      </c>
      <c r="J152" s="1823">
        <v>0</v>
      </c>
      <c r="K152" s="1823">
        <v>0</v>
      </c>
      <c r="L152" s="1823"/>
      <c r="M152" s="1823">
        <v>0</v>
      </c>
      <c r="N152" s="1823">
        <v>0</v>
      </c>
      <c r="O152" s="2017">
        <v>5380871.3700000001</v>
      </c>
      <c r="P152" s="2017">
        <v>194852219.71000001</v>
      </c>
      <c r="Q152" s="2017">
        <v>80789544.319999993</v>
      </c>
      <c r="R152" s="2017">
        <v>15528453.32</v>
      </c>
      <c r="S152" s="2017">
        <v>19522136.879999999</v>
      </c>
      <c r="T152" s="2017">
        <v>3038313</v>
      </c>
      <c r="U152" s="2017">
        <v>12459975.98</v>
      </c>
      <c r="V152" s="2017">
        <v>26794846.25</v>
      </c>
      <c r="W152" s="2017">
        <v>11546709.33</v>
      </c>
      <c r="X152" s="2017">
        <v>5062491</v>
      </c>
      <c r="Y152" s="2017">
        <v>13939776.789999999</v>
      </c>
      <c r="Z152" s="2017">
        <v>3524252.14</v>
      </c>
      <c r="AA152" s="2017">
        <v>4216128</v>
      </c>
      <c r="AB152" s="2017">
        <v>1981255.06</v>
      </c>
      <c r="AC152" s="2017">
        <v>3762271.05</v>
      </c>
      <c r="AD152" s="2017">
        <v>6102472</v>
      </c>
      <c r="AE152" s="2017">
        <v>2667936.96</v>
      </c>
      <c r="AF152" s="2017">
        <v>0</v>
      </c>
      <c r="AG152" s="1823">
        <v>163216.95000000001</v>
      </c>
      <c r="AI152" s="649">
        <f t="shared" si="20"/>
        <v>455538303.13</v>
      </c>
    </row>
    <row r="153" spans="1:35" x14ac:dyDescent="0.2">
      <c r="A153" s="2026">
        <v>2098</v>
      </c>
      <c r="B153" s="2876" t="s">
        <v>3845</v>
      </c>
      <c r="C153" s="2876"/>
      <c r="D153" t="str">
        <f t="shared" si="21"/>
        <v>OK</v>
      </c>
      <c r="E153" s="1823">
        <v>575846528</v>
      </c>
      <c r="F153" s="1823">
        <v>369100873.98000002</v>
      </c>
      <c r="G153" s="1823">
        <v>89076241.019999996</v>
      </c>
      <c r="H153" s="1823">
        <v>0</v>
      </c>
      <c r="I153" s="1823">
        <v>117669413</v>
      </c>
      <c r="J153" s="1823">
        <v>0</v>
      </c>
      <c r="K153" s="1823">
        <v>0</v>
      </c>
      <c r="L153" s="1823"/>
      <c r="M153" s="1823">
        <v>0</v>
      </c>
      <c r="N153" s="1823">
        <v>0</v>
      </c>
      <c r="O153" s="2017">
        <v>12629311</v>
      </c>
      <c r="P153" s="2017">
        <v>379561977</v>
      </c>
      <c r="Q153" s="2017">
        <v>274052313</v>
      </c>
      <c r="R153" s="2017">
        <v>64088953</v>
      </c>
      <c r="S153" s="2017">
        <v>90047124</v>
      </c>
      <c r="T153" s="2017">
        <v>13697360</v>
      </c>
      <c r="U153" s="2017">
        <v>50369845</v>
      </c>
      <c r="V153" s="2017">
        <v>165192312</v>
      </c>
      <c r="W153" s="2017">
        <v>51308617</v>
      </c>
      <c r="X153" s="2017">
        <v>40332122</v>
      </c>
      <c r="Y153" s="2017">
        <v>82318270</v>
      </c>
      <c r="Z153" s="2017">
        <v>24475710</v>
      </c>
      <c r="AA153" s="2017">
        <v>23355708</v>
      </c>
      <c r="AB153" s="2017">
        <v>12265643</v>
      </c>
      <c r="AC153" s="2017">
        <v>23795493</v>
      </c>
      <c r="AD153" s="2017">
        <v>41244313</v>
      </c>
      <c r="AE153" s="2017">
        <v>11027239</v>
      </c>
      <c r="AF153" s="2017">
        <v>0</v>
      </c>
      <c r="AG153" s="1823">
        <v>862203</v>
      </c>
      <c r="AH153" s="1491"/>
      <c r="AI153" s="649">
        <f t="shared" si="20"/>
        <v>1935608838</v>
      </c>
    </row>
    <row r="154" spans="1:35" x14ac:dyDescent="0.2">
      <c r="A154" s="2026">
        <v>2099</v>
      </c>
      <c r="B154" s="2876" t="s">
        <v>4428</v>
      </c>
      <c r="C154" s="2876"/>
      <c r="D154" t="str">
        <f t="shared" si="21"/>
        <v>OK</v>
      </c>
      <c r="E154" s="1823">
        <v>1216059289.49</v>
      </c>
      <c r="F154" s="1823">
        <v>968217608.19000006</v>
      </c>
      <c r="G154" s="1823">
        <v>247841681.30000001</v>
      </c>
      <c r="H154" s="1823">
        <v>0</v>
      </c>
      <c r="I154" s="1823">
        <v>0</v>
      </c>
      <c r="J154" s="1823">
        <v>0</v>
      </c>
      <c r="K154" s="1823">
        <v>0</v>
      </c>
      <c r="L154" s="1823"/>
      <c r="M154" s="1823">
        <v>0</v>
      </c>
      <c r="N154" s="1823">
        <v>0</v>
      </c>
      <c r="O154" s="2017">
        <v>46018292</v>
      </c>
      <c r="P154" s="2017">
        <v>1930637269</v>
      </c>
      <c r="Q154" s="2017">
        <v>1082941007</v>
      </c>
      <c r="R154" s="2017">
        <v>283448805</v>
      </c>
      <c r="S154" s="2017">
        <v>429421307</v>
      </c>
      <c r="T154" s="2017">
        <v>66832603</v>
      </c>
      <c r="U154" s="2017">
        <v>227540712</v>
      </c>
      <c r="V154" s="2017">
        <v>673169944</v>
      </c>
      <c r="W154" s="2017">
        <v>163896722</v>
      </c>
      <c r="X154" s="2017">
        <v>161140228</v>
      </c>
      <c r="Y154" s="2017">
        <v>287920246</v>
      </c>
      <c r="Z154" s="2017">
        <v>87509234.780000001</v>
      </c>
      <c r="AA154" s="2017">
        <v>77442729</v>
      </c>
      <c r="AB154" s="2017">
        <v>31959258</v>
      </c>
      <c r="AC154" s="2017">
        <v>75040414</v>
      </c>
      <c r="AD154" s="2017">
        <v>120303852</v>
      </c>
      <c r="AE154" s="2017">
        <v>42781867</v>
      </c>
      <c r="AF154" s="2017">
        <v>0</v>
      </c>
      <c r="AG154" s="1823">
        <v>2054345</v>
      </c>
      <c r="AH154" s="1491"/>
      <c r="AI154" s="649">
        <f t="shared" si="20"/>
        <v>7004063779.2700005</v>
      </c>
    </row>
    <row r="155" spans="1:35" x14ac:dyDescent="0.2">
      <c r="A155" s="1129">
        <v>2095</v>
      </c>
      <c r="B155" s="2876" t="s">
        <v>1424</v>
      </c>
      <c r="C155" s="2876"/>
      <c r="D155" t="str">
        <f t="shared" si="21"/>
        <v>OK</v>
      </c>
      <c r="E155" s="1823">
        <v>17237630</v>
      </c>
      <c r="F155" s="1823">
        <v>0</v>
      </c>
      <c r="G155" s="1823">
        <v>0</v>
      </c>
      <c r="H155" s="1823">
        <v>17237630</v>
      </c>
      <c r="I155" s="1823">
        <v>0</v>
      </c>
      <c r="J155" s="1823">
        <v>0</v>
      </c>
      <c r="K155" s="1823">
        <v>0</v>
      </c>
      <c r="L155" s="1823"/>
      <c r="M155" s="1823">
        <v>0</v>
      </c>
      <c r="N155" s="1823">
        <v>0</v>
      </c>
      <c r="O155" s="2017">
        <v>0</v>
      </c>
      <c r="P155" s="2017">
        <v>0</v>
      </c>
      <c r="Q155" s="2017">
        <v>0</v>
      </c>
      <c r="R155" s="2017">
        <v>0</v>
      </c>
      <c r="S155" s="2017">
        <v>0</v>
      </c>
      <c r="T155" s="2017">
        <v>0</v>
      </c>
      <c r="U155" s="2017">
        <v>0</v>
      </c>
      <c r="V155" s="2017">
        <v>0</v>
      </c>
      <c r="W155" s="2017">
        <v>0</v>
      </c>
      <c r="X155" s="2017">
        <v>0</v>
      </c>
      <c r="Y155" s="2017">
        <v>0</v>
      </c>
      <c r="Z155" s="2017">
        <v>0</v>
      </c>
      <c r="AA155" s="2017">
        <v>0</v>
      </c>
      <c r="AB155" s="2017">
        <v>0</v>
      </c>
      <c r="AC155" s="2017">
        <v>0</v>
      </c>
      <c r="AD155" s="2017">
        <v>0</v>
      </c>
      <c r="AE155" s="2017">
        <v>0</v>
      </c>
      <c r="AF155" s="2017">
        <v>0</v>
      </c>
      <c r="AG155" s="1823">
        <v>0</v>
      </c>
      <c r="AI155" s="649">
        <f t="shared" si="20"/>
        <v>17237630</v>
      </c>
    </row>
    <row r="156" spans="1:35" x14ac:dyDescent="0.2">
      <c r="A156" s="1129">
        <v>2096</v>
      </c>
      <c r="B156" s="2876" t="s">
        <v>1549</v>
      </c>
      <c r="C156" s="2876"/>
      <c r="D156" t="str">
        <f t="shared" si="21"/>
        <v>OK</v>
      </c>
      <c r="E156" s="1823">
        <v>0</v>
      </c>
      <c r="F156" s="1823">
        <v>0</v>
      </c>
      <c r="G156" s="1823">
        <v>0</v>
      </c>
      <c r="H156" s="1823">
        <v>0</v>
      </c>
      <c r="I156" s="1823">
        <v>0</v>
      </c>
      <c r="J156" s="1823">
        <v>0</v>
      </c>
      <c r="K156" s="1823">
        <v>0</v>
      </c>
      <c r="L156" s="1823"/>
      <c r="M156" s="1823">
        <v>0</v>
      </c>
      <c r="N156" s="1823">
        <v>0</v>
      </c>
      <c r="O156" s="2017">
        <v>0</v>
      </c>
      <c r="P156" s="2017">
        <v>0</v>
      </c>
      <c r="Q156" s="2017">
        <v>0</v>
      </c>
      <c r="R156" s="2017">
        <v>0</v>
      </c>
      <c r="S156" s="2017">
        <v>0</v>
      </c>
      <c r="T156" s="2017">
        <v>0</v>
      </c>
      <c r="U156" s="2017">
        <v>0</v>
      </c>
      <c r="V156" s="2017">
        <v>0</v>
      </c>
      <c r="W156" s="2017">
        <v>0</v>
      </c>
      <c r="X156" s="2017">
        <v>0</v>
      </c>
      <c r="Y156" s="2017">
        <v>0</v>
      </c>
      <c r="Z156" s="2017">
        <v>0</v>
      </c>
      <c r="AA156" s="2017">
        <v>0</v>
      </c>
      <c r="AB156" s="2017">
        <v>0</v>
      </c>
      <c r="AC156" s="2017">
        <v>0</v>
      </c>
      <c r="AD156" s="2017">
        <v>0</v>
      </c>
      <c r="AE156" s="2017">
        <v>0</v>
      </c>
      <c r="AF156" s="2017">
        <v>0</v>
      </c>
      <c r="AG156" s="1823">
        <v>0</v>
      </c>
      <c r="AI156" s="649">
        <f t="shared" si="20"/>
        <v>0</v>
      </c>
    </row>
    <row r="157" spans="1:35" x14ac:dyDescent="0.2">
      <c r="B157" s="2876" t="s">
        <v>474</v>
      </c>
      <c r="C157" s="2876"/>
      <c r="D157" t="str">
        <f t="shared" si="21"/>
        <v>OK</v>
      </c>
      <c r="E157" s="661">
        <f t="shared" ref="E157:AG157" si="22">SUM(E136:E156)</f>
        <v>2913369933.4000001</v>
      </c>
      <c r="F157" s="661">
        <f t="shared" si="22"/>
        <v>1938012998.1900001</v>
      </c>
      <c r="G157" s="661">
        <f t="shared" si="22"/>
        <v>365492107.45999998</v>
      </c>
      <c r="H157" s="661">
        <f t="shared" si="22"/>
        <v>17237630</v>
      </c>
      <c r="I157" s="661">
        <f t="shared" si="22"/>
        <v>573996984.38</v>
      </c>
      <c r="J157" s="661">
        <f t="shared" si="22"/>
        <v>11308390.289999999</v>
      </c>
      <c r="K157" s="661">
        <f t="shared" si="22"/>
        <v>0</v>
      </c>
      <c r="L157" s="661">
        <f t="shared" si="22"/>
        <v>0</v>
      </c>
      <c r="M157" s="661">
        <f t="shared" si="22"/>
        <v>0</v>
      </c>
      <c r="N157" s="661">
        <f t="shared" si="22"/>
        <v>7321823.0800000001</v>
      </c>
      <c r="O157" s="706">
        <f t="shared" si="22"/>
        <v>64483472.57</v>
      </c>
      <c r="P157" s="661">
        <f t="shared" si="22"/>
        <v>4019864153.0500002</v>
      </c>
      <c r="Q157" s="661">
        <f t="shared" si="22"/>
        <v>2100562017.71</v>
      </c>
      <c r="R157" s="661">
        <f t="shared" si="22"/>
        <v>668945964.46000004</v>
      </c>
      <c r="S157" s="661">
        <f t="shared" si="22"/>
        <v>1110074354.6600001</v>
      </c>
      <c r="T157" s="661">
        <f t="shared" si="22"/>
        <v>163088743.63999999</v>
      </c>
      <c r="U157" s="661">
        <f t="shared" si="22"/>
        <v>513670686.97000003</v>
      </c>
      <c r="V157" s="661">
        <f t="shared" si="22"/>
        <v>1255321531.1600001</v>
      </c>
      <c r="W157" s="661">
        <f t="shared" si="22"/>
        <v>324255449.08999997</v>
      </c>
      <c r="X157" s="661">
        <f t="shared" si="22"/>
        <v>474684430.11000001</v>
      </c>
      <c r="Y157" s="661">
        <f t="shared" si="22"/>
        <v>752029512.23000002</v>
      </c>
      <c r="Z157" s="661">
        <f t="shared" si="22"/>
        <v>168470873.86000001</v>
      </c>
      <c r="AA157" s="661">
        <f t="shared" si="22"/>
        <v>200020739.16</v>
      </c>
      <c r="AB157" s="661">
        <f t="shared" si="22"/>
        <v>86755691.810000002</v>
      </c>
      <c r="AC157" s="661">
        <f t="shared" si="22"/>
        <v>159582012.13</v>
      </c>
      <c r="AD157" s="661">
        <f t="shared" si="22"/>
        <v>284165548.19999999</v>
      </c>
      <c r="AE157" s="661">
        <f t="shared" si="22"/>
        <v>107460797.43000001</v>
      </c>
      <c r="AF157" s="661">
        <f t="shared" si="22"/>
        <v>19502215.16</v>
      </c>
      <c r="AG157" s="661">
        <f t="shared" si="22"/>
        <v>3079764.95</v>
      </c>
      <c r="AI157" s="649">
        <f t="shared" si="20"/>
        <v>15386308126.799999</v>
      </c>
    </row>
    <row r="158" spans="1:35" x14ac:dyDescent="0.2">
      <c r="B158" s="398"/>
      <c r="C158" s="398"/>
      <c r="E158" s="649"/>
      <c r="F158" s="649"/>
      <c r="G158" s="649"/>
      <c r="H158" s="649"/>
      <c r="I158" s="649"/>
      <c r="J158" s="649"/>
      <c r="K158" s="649"/>
      <c r="L158" s="649"/>
      <c r="M158" s="649"/>
      <c r="N158" s="649"/>
      <c r="O158" s="393"/>
      <c r="P158" s="649"/>
      <c r="Q158" s="649"/>
      <c r="R158" s="649"/>
      <c r="S158" s="649"/>
      <c r="T158" s="649"/>
      <c r="U158" s="649"/>
      <c r="V158" s="649"/>
      <c r="W158" s="649"/>
      <c r="X158" s="649"/>
      <c r="Y158" s="649"/>
      <c r="Z158" s="649"/>
      <c r="AA158" s="649"/>
      <c r="AB158" s="649"/>
      <c r="AC158" s="649"/>
      <c r="AD158" s="649"/>
      <c r="AE158" s="649"/>
      <c r="AF158" s="649"/>
      <c r="AG158" s="649"/>
      <c r="AI158" s="649">
        <f t="shared" si="20"/>
        <v>0</v>
      </c>
    </row>
    <row r="159" spans="1:35" x14ac:dyDescent="0.2">
      <c r="B159" s="2876" t="s">
        <v>791</v>
      </c>
      <c r="C159" s="2876"/>
      <c r="D159" s="2025" t="str">
        <f>IF(ROUND(SUM(F159:N159),2)-ROUND(E159,2)=0,"OK","prob")</f>
        <v>prob</v>
      </c>
      <c r="E159" s="651">
        <f t="shared" ref="E159:AG159" si="23">E132+E157</f>
        <v>4654623735.6300001</v>
      </c>
      <c r="F159" s="651">
        <f t="shared" si="23"/>
        <v>2576699961.54</v>
      </c>
      <c r="G159" s="651">
        <f t="shared" si="23"/>
        <v>1215724683.72</v>
      </c>
      <c r="H159" s="651">
        <f t="shared" si="23"/>
        <v>22729719</v>
      </c>
      <c r="I159" s="651">
        <f t="shared" si="23"/>
        <v>851327086.88</v>
      </c>
      <c r="J159" s="651">
        <f t="shared" si="23"/>
        <v>27226729.23</v>
      </c>
      <c r="K159" s="651">
        <f t="shared" si="23"/>
        <v>92188909.030000001</v>
      </c>
      <c r="L159" s="651">
        <f t="shared" si="23"/>
        <v>0</v>
      </c>
      <c r="M159" s="651">
        <f t="shared" si="23"/>
        <v>25067066.300000001</v>
      </c>
      <c r="N159" s="651">
        <f t="shared" si="23"/>
        <v>35025468.93</v>
      </c>
      <c r="O159" s="843">
        <f t="shared" si="23"/>
        <v>78375820.140000001</v>
      </c>
      <c r="P159" s="651">
        <f t="shared" si="23"/>
        <v>4512697481.1700001</v>
      </c>
      <c r="Q159" s="651">
        <f t="shared" si="23"/>
        <v>2274271036.5999999</v>
      </c>
      <c r="R159" s="651">
        <f t="shared" si="23"/>
        <v>707795723.15999997</v>
      </c>
      <c r="S159" s="651">
        <f t="shared" si="23"/>
        <v>1245515378.71</v>
      </c>
      <c r="T159" s="651">
        <f t="shared" si="23"/>
        <v>172125980.33000001</v>
      </c>
      <c r="U159" s="651">
        <f t="shared" si="23"/>
        <v>550123417.23000002</v>
      </c>
      <c r="V159" s="651">
        <f t="shared" si="23"/>
        <v>1350082442.03</v>
      </c>
      <c r="W159" s="651">
        <f t="shared" si="23"/>
        <v>340143795.07999998</v>
      </c>
      <c r="X159" s="651">
        <f t="shared" si="23"/>
        <v>512599861.50999999</v>
      </c>
      <c r="Y159" s="651">
        <f t="shared" si="23"/>
        <v>803621208.79999995</v>
      </c>
      <c r="Z159" s="651">
        <f t="shared" si="23"/>
        <v>186537820.16</v>
      </c>
      <c r="AA159" s="651">
        <f t="shared" si="23"/>
        <v>214890110.75999999</v>
      </c>
      <c r="AB159" s="651">
        <f t="shared" si="23"/>
        <v>93117665.980000004</v>
      </c>
      <c r="AC159" s="651">
        <f t="shared" si="23"/>
        <v>171402478.12</v>
      </c>
      <c r="AD159" s="651">
        <f t="shared" si="23"/>
        <v>304132158.49000001</v>
      </c>
      <c r="AE159" s="651">
        <f t="shared" si="23"/>
        <v>117819857.15000001</v>
      </c>
      <c r="AF159" s="651">
        <f t="shared" si="23"/>
        <v>21343159.550000001</v>
      </c>
      <c r="AG159" s="651">
        <f t="shared" si="23"/>
        <v>3217715.33</v>
      </c>
      <c r="AI159" s="649">
        <f t="shared" si="20"/>
        <v>18502585019.599998</v>
      </c>
    </row>
    <row r="160" spans="1:35" x14ac:dyDescent="0.2">
      <c r="B160" s="335"/>
      <c r="C160" s="335"/>
      <c r="E160" s="649"/>
      <c r="F160" s="649"/>
      <c r="G160" s="649"/>
      <c r="H160" s="649"/>
      <c r="I160" s="649"/>
      <c r="J160" s="649"/>
      <c r="K160" s="649"/>
      <c r="L160" s="649"/>
      <c r="M160" s="649"/>
      <c r="N160" s="649"/>
      <c r="O160" s="393"/>
      <c r="P160" s="649"/>
      <c r="Q160" s="649"/>
      <c r="R160" s="649"/>
      <c r="S160" s="649"/>
      <c r="T160" s="649"/>
      <c r="U160" s="649"/>
      <c r="V160" s="649"/>
      <c r="W160" s="649"/>
      <c r="X160" s="649"/>
      <c r="Y160" s="649"/>
      <c r="Z160" s="649"/>
      <c r="AA160" s="649"/>
      <c r="AB160" s="649"/>
      <c r="AC160" s="649"/>
      <c r="AD160" s="649"/>
      <c r="AE160" s="649"/>
      <c r="AF160" s="649"/>
      <c r="AG160" s="649"/>
      <c r="AI160" s="649">
        <f t="shared" si="20"/>
        <v>0</v>
      </c>
    </row>
    <row r="161" spans="1:35" x14ac:dyDescent="0.2">
      <c r="B161" s="394" t="s">
        <v>1931</v>
      </c>
      <c r="C161" s="335"/>
      <c r="E161" s="649"/>
      <c r="F161" s="649"/>
      <c r="G161" s="649"/>
      <c r="H161" s="649"/>
      <c r="I161" s="649"/>
      <c r="J161" s="649"/>
      <c r="K161" s="649"/>
      <c r="L161" s="649"/>
      <c r="M161" s="649"/>
      <c r="N161" s="649"/>
      <c r="O161" s="393"/>
      <c r="P161" s="649"/>
      <c r="Q161" s="649"/>
      <c r="R161" s="649"/>
      <c r="S161" s="649"/>
      <c r="T161" s="649"/>
      <c r="U161" s="649"/>
      <c r="V161" s="649"/>
      <c r="W161" s="649"/>
      <c r="X161" s="649"/>
      <c r="Y161" s="649"/>
      <c r="Z161" s="649"/>
      <c r="AA161" s="649"/>
      <c r="AB161" s="649"/>
      <c r="AC161" s="649"/>
      <c r="AD161" s="649"/>
      <c r="AE161" s="649"/>
      <c r="AF161" s="649"/>
      <c r="AG161" s="649"/>
      <c r="AI161" s="649">
        <f t="shared" si="20"/>
        <v>0</v>
      </c>
    </row>
    <row r="162" spans="1:35" x14ac:dyDescent="0.2">
      <c r="A162" s="335">
        <v>1764</v>
      </c>
      <c r="B162" s="2964" t="s">
        <v>1932</v>
      </c>
      <c r="C162" s="2964"/>
      <c r="D162" t="str">
        <f t="shared" ref="D162:D172" si="24">IF(SUM(F162:N162)-E162=0,"OK","prob")</f>
        <v>OK</v>
      </c>
      <c r="E162" s="649">
        <v>0</v>
      </c>
      <c r="F162" s="649">
        <v>0</v>
      </c>
      <c r="G162" s="649">
        <v>0</v>
      </c>
      <c r="H162" s="649">
        <v>0</v>
      </c>
      <c r="I162" s="649">
        <v>0</v>
      </c>
      <c r="J162" s="649">
        <v>0</v>
      </c>
      <c r="K162" s="649">
        <v>0</v>
      </c>
      <c r="L162" s="649"/>
      <c r="M162" s="649">
        <v>0</v>
      </c>
      <c r="N162" s="649">
        <v>0</v>
      </c>
      <c r="O162" s="393">
        <v>0</v>
      </c>
      <c r="P162" s="393">
        <v>0</v>
      </c>
      <c r="Q162" s="393">
        <v>0</v>
      </c>
      <c r="R162" s="393">
        <v>0</v>
      </c>
      <c r="S162" s="393">
        <v>0</v>
      </c>
      <c r="T162" s="393">
        <v>0</v>
      </c>
      <c r="U162" s="393">
        <v>0</v>
      </c>
      <c r="V162" s="393">
        <v>0</v>
      </c>
      <c r="W162" s="393">
        <v>0</v>
      </c>
      <c r="X162" s="393">
        <v>0</v>
      </c>
      <c r="Y162" s="393">
        <v>0</v>
      </c>
      <c r="Z162" s="393">
        <v>0</v>
      </c>
      <c r="AA162" s="393">
        <v>0</v>
      </c>
      <c r="AB162" s="393">
        <v>0</v>
      </c>
      <c r="AC162" s="393">
        <v>0</v>
      </c>
      <c r="AD162" s="393">
        <v>0</v>
      </c>
      <c r="AE162" s="393">
        <v>0</v>
      </c>
      <c r="AF162" s="393">
        <v>0</v>
      </c>
      <c r="AG162" s="649">
        <v>0</v>
      </c>
      <c r="AI162" s="649">
        <f t="shared" si="20"/>
        <v>0</v>
      </c>
    </row>
    <row r="163" spans="1:35" x14ac:dyDescent="0.2">
      <c r="A163" s="335">
        <v>2026</v>
      </c>
      <c r="B163" s="2964" t="s">
        <v>1933</v>
      </c>
      <c r="C163" s="2964"/>
      <c r="D163" t="str">
        <f t="shared" si="24"/>
        <v>OK</v>
      </c>
      <c r="E163" s="649">
        <v>0</v>
      </c>
      <c r="F163" s="649">
        <v>0</v>
      </c>
      <c r="G163" s="649">
        <v>0</v>
      </c>
      <c r="H163" s="649">
        <v>0</v>
      </c>
      <c r="I163" s="649">
        <v>0</v>
      </c>
      <c r="J163" s="649">
        <v>0</v>
      </c>
      <c r="K163" s="649">
        <v>0</v>
      </c>
      <c r="L163" s="649"/>
      <c r="M163" s="649">
        <v>0</v>
      </c>
      <c r="N163" s="649">
        <v>0</v>
      </c>
      <c r="O163" s="393">
        <v>0</v>
      </c>
      <c r="P163" s="393">
        <v>0</v>
      </c>
      <c r="Q163" s="393">
        <v>0</v>
      </c>
      <c r="R163" s="393">
        <v>0</v>
      </c>
      <c r="S163" s="393">
        <v>0</v>
      </c>
      <c r="T163" s="393">
        <v>0</v>
      </c>
      <c r="U163" s="393">
        <v>68012640.329999998</v>
      </c>
      <c r="V163" s="393">
        <v>0</v>
      </c>
      <c r="W163" s="393">
        <v>0</v>
      </c>
      <c r="X163" s="393">
        <v>20576824.149999999</v>
      </c>
      <c r="Y163" s="393">
        <v>30208065.859999999</v>
      </c>
      <c r="Z163" s="393">
        <v>0</v>
      </c>
      <c r="AA163" s="393">
        <v>0</v>
      </c>
      <c r="AB163" s="393">
        <v>0</v>
      </c>
      <c r="AC163" s="393">
        <v>0</v>
      </c>
      <c r="AD163" s="393">
        <v>65822500.659999996</v>
      </c>
      <c r="AE163" s="393">
        <v>0</v>
      </c>
      <c r="AF163" s="393">
        <v>0</v>
      </c>
      <c r="AG163" s="649">
        <v>0</v>
      </c>
      <c r="AI163" s="649">
        <f t="shared" si="20"/>
        <v>184620031</v>
      </c>
    </row>
    <row r="164" spans="1:35" x14ac:dyDescent="0.2">
      <c r="A164" s="335">
        <v>1766</v>
      </c>
      <c r="B164" s="2964" t="s">
        <v>3798</v>
      </c>
      <c r="C164" s="2964"/>
      <c r="D164" t="str">
        <f t="shared" si="24"/>
        <v>OK</v>
      </c>
      <c r="E164" s="649">
        <v>0</v>
      </c>
      <c r="F164" s="649">
        <v>0</v>
      </c>
      <c r="G164" s="649">
        <v>0</v>
      </c>
      <c r="H164" s="649">
        <v>0</v>
      </c>
      <c r="I164" s="649">
        <v>0</v>
      </c>
      <c r="J164" s="649">
        <v>0</v>
      </c>
      <c r="K164" s="649">
        <v>0</v>
      </c>
      <c r="L164" s="649"/>
      <c r="M164" s="649">
        <v>0</v>
      </c>
      <c r="N164" s="649">
        <v>0</v>
      </c>
      <c r="O164" s="393">
        <v>0</v>
      </c>
      <c r="P164" s="393">
        <v>0</v>
      </c>
      <c r="Q164" s="393">
        <v>0</v>
      </c>
      <c r="R164" s="393">
        <v>0</v>
      </c>
      <c r="S164" s="393">
        <v>25437.52</v>
      </c>
      <c r="T164" s="393">
        <v>74510.86</v>
      </c>
      <c r="U164" s="393">
        <v>1211674.8600000001</v>
      </c>
      <c r="V164" s="393">
        <v>0</v>
      </c>
      <c r="W164" s="393">
        <v>0</v>
      </c>
      <c r="X164" s="393">
        <v>0</v>
      </c>
      <c r="Y164" s="393">
        <v>0</v>
      </c>
      <c r="Z164" s="393">
        <v>0</v>
      </c>
      <c r="AA164" s="393">
        <v>0</v>
      </c>
      <c r="AB164" s="393">
        <v>0</v>
      </c>
      <c r="AC164" s="393">
        <v>0</v>
      </c>
      <c r="AD164" s="393">
        <v>0</v>
      </c>
      <c r="AE164" s="393">
        <v>0</v>
      </c>
      <c r="AF164" s="393">
        <v>0</v>
      </c>
      <c r="AG164" s="649">
        <v>0</v>
      </c>
      <c r="AI164" s="649">
        <f t="shared" si="20"/>
        <v>1311623.24</v>
      </c>
    </row>
    <row r="165" spans="1:35" x14ac:dyDescent="0.2">
      <c r="A165" s="335">
        <v>1768</v>
      </c>
      <c r="B165" s="2964" t="s">
        <v>3574</v>
      </c>
      <c r="C165" s="2964"/>
      <c r="D165" t="str">
        <f t="shared" si="24"/>
        <v>OK</v>
      </c>
      <c r="E165" s="649">
        <v>0</v>
      </c>
      <c r="F165" s="649">
        <v>0</v>
      </c>
      <c r="G165" s="649">
        <v>0</v>
      </c>
      <c r="H165" s="649">
        <v>0</v>
      </c>
      <c r="I165" s="649">
        <v>0</v>
      </c>
      <c r="J165" s="649">
        <v>0</v>
      </c>
      <c r="K165" s="649">
        <v>0</v>
      </c>
      <c r="L165" s="649"/>
      <c r="M165" s="649">
        <v>0</v>
      </c>
      <c r="N165" s="649">
        <v>0</v>
      </c>
      <c r="O165" s="393">
        <v>0</v>
      </c>
      <c r="P165" s="393">
        <v>0</v>
      </c>
      <c r="Q165" s="393">
        <v>0</v>
      </c>
      <c r="R165" s="393">
        <v>0</v>
      </c>
      <c r="S165" s="393">
        <v>0</v>
      </c>
      <c r="T165" s="393">
        <v>0</v>
      </c>
      <c r="U165" s="393">
        <v>0</v>
      </c>
      <c r="V165" s="393">
        <v>0</v>
      </c>
      <c r="W165" s="393">
        <v>356305</v>
      </c>
      <c r="X165" s="393">
        <v>0</v>
      </c>
      <c r="Y165" s="393">
        <v>0</v>
      </c>
      <c r="Z165" s="393">
        <v>0</v>
      </c>
      <c r="AA165" s="393">
        <v>0</v>
      </c>
      <c r="AB165" s="393">
        <v>0</v>
      </c>
      <c r="AC165" s="393">
        <v>0</v>
      </c>
      <c r="AD165" s="393">
        <v>0</v>
      </c>
      <c r="AE165" s="393">
        <v>0</v>
      </c>
      <c r="AF165" s="393">
        <v>0</v>
      </c>
      <c r="AG165" s="649">
        <v>0</v>
      </c>
      <c r="AI165" s="649">
        <f t="shared" si="20"/>
        <v>356305</v>
      </c>
    </row>
    <row r="166" spans="1:35" x14ac:dyDescent="0.2">
      <c r="A166" s="335">
        <v>1765</v>
      </c>
      <c r="B166" s="2964" t="s">
        <v>3872</v>
      </c>
      <c r="C166" s="2964"/>
      <c r="D166" t="str">
        <f t="shared" si="24"/>
        <v>OK</v>
      </c>
      <c r="E166" s="649">
        <v>0</v>
      </c>
      <c r="F166" s="649">
        <v>0</v>
      </c>
      <c r="G166" s="649">
        <v>0</v>
      </c>
      <c r="H166" s="649">
        <v>0</v>
      </c>
      <c r="I166" s="649">
        <v>0</v>
      </c>
      <c r="J166" s="649">
        <v>0</v>
      </c>
      <c r="K166" s="649">
        <v>0</v>
      </c>
      <c r="L166" s="649"/>
      <c r="M166" s="649">
        <v>0</v>
      </c>
      <c r="N166" s="649">
        <v>0</v>
      </c>
      <c r="O166" s="393">
        <v>74840000</v>
      </c>
      <c r="P166" s="393">
        <v>0</v>
      </c>
      <c r="Q166" s="393">
        <v>0</v>
      </c>
      <c r="R166" s="393">
        <v>0</v>
      </c>
      <c r="S166" s="393">
        <v>0</v>
      </c>
      <c r="T166" s="393">
        <v>0</v>
      </c>
      <c r="U166" s="393">
        <v>0</v>
      </c>
      <c r="V166" s="393">
        <v>0</v>
      </c>
      <c r="W166" s="393">
        <v>0</v>
      </c>
      <c r="X166" s="393">
        <v>0</v>
      </c>
      <c r="Y166" s="393">
        <v>0</v>
      </c>
      <c r="Z166" s="393">
        <v>0</v>
      </c>
      <c r="AA166" s="393">
        <v>0</v>
      </c>
      <c r="AB166" s="393">
        <v>0</v>
      </c>
      <c r="AC166" s="393">
        <v>0</v>
      </c>
      <c r="AD166" s="393">
        <v>0</v>
      </c>
      <c r="AE166" s="393">
        <v>0</v>
      </c>
      <c r="AF166" s="393">
        <v>0</v>
      </c>
      <c r="AG166" s="649">
        <v>0</v>
      </c>
      <c r="AI166" s="649">
        <f t="shared" si="20"/>
        <v>74840000</v>
      </c>
    </row>
    <row r="167" spans="1:35" x14ac:dyDescent="0.2">
      <c r="A167" s="335">
        <v>1772</v>
      </c>
      <c r="B167" s="2964" t="s">
        <v>4449</v>
      </c>
      <c r="C167" s="2964"/>
      <c r="D167" t="str">
        <f t="shared" si="24"/>
        <v>OK</v>
      </c>
      <c r="E167" s="649">
        <v>0</v>
      </c>
      <c r="F167" s="649">
        <v>0</v>
      </c>
      <c r="G167" s="649">
        <v>0</v>
      </c>
      <c r="H167" s="649">
        <v>0</v>
      </c>
      <c r="I167" s="649">
        <v>0</v>
      </c>
      <c r="J167" s="649">
        <v>0</v>
      </c>
      <c r="K167" s="649">
        <v>0</v>
      </c>
      <c r="L167" s="649"/>
      <c r="M167" s="649">
        <v>0</v>
      </c>
      <c r="N167" s="649">
        <v>0</v>
      </c>
      <c r="O167" s="393">
        <v>179780.09</v>
      </c>
      <c r="P167" s="393">
        <v>22179078.109999999</v>
      </c>
      <c r="Q167" s="393">
        <v>0</v>
      </c>
      <c r="R167" s="393">
        <v>86841.14</v>
      </c>
      <c r="S167" s="393">
        <v>0</v>
      </c>
      <c r="T167" s="393">
        <v>0</v>
      </c>
      <c r="U167" s="393">
        <v>0</v>
      </c>
      <c r="V167" s="393">
        <v>0</v>
      </c>
      <c r="W167" s="393">
        <v>0</v>
      </c>
      <c r="X167" s="393">
        <v>0</v>
      </c>
      <c r="Y167" s="393">
        <v>1361950</v>
      </c>
      <c r="Z167" s="393">
        <v>0</v>
      </c>
      <c r="AA167" s="393">
        <v>0</v>
      </c>
      <c r="AB167" s="393">
        <v>0</v>
      </c>
      <c r="AC167" s="393">
        <v>0</v>
      </c>
      <c r="AD167" s="393">
        <v>0</v>
      </c>
      <c r="AE167" s="393">
        <v>0</v>
      </c>
      <c r="AF167" s="393">
        <v>0</v>
      </c>
      <c r="AG167" s="649">
        <v>0</v>
      </c>
      <c r="AI167" s="649">
        <f t="shared" ref="AI167:AI185" si="25">SUM(F167:AF167)</f>
        <v>23807649.34</v>
      </c>
    </row>
    <row r="168" spans="1:35" x14ac:dyDescent="0.2">
      <c r="A168" s="335">
        <v>1767</v>
      </c>
      <c r="B168" s="2964" t="s">
        <v>3871</v>
      </c>
      <c r="C168" s="2964"/>
      <c r="D168" t="str">
        <f t="shared" si="24"/>
        <v>OK</v>
      </c>
      <c r="E168" s="649">
        <v>2103462.75</v>
      </c>
      <c r="F168" s="649">
        <v>0</v>
      </c>
      <c r="G168" s="649">
        <v>0</v>
      </c>
      <c r="H168" s="649">
        <v>0</v>
      </c>
      <c r="I168" s="649">
        <v>2103462.75</v>
      </c>
      <c r="J168" s="649">
        <v>0</v>
      </c>
      <c r="K168" s="649">
        <v>0</v>
      </c>
      <c r="L168" s="649"/>
      <c r="M168" s="649">
        <v>0</v>
      </c>
      <c r="N168" s="649">
        <v>0</v>
      </c>
      <c r="O168" s="393">
        <v>225646</v>
      </c>
      <c r="P168" s="393">
        <v>730409</v>
      </c>
      <c r="Q168" s="393">
        <v>0</v>
      </c>
      <c r="R168" s="393">
        <v>0</v>
      </c>
      <c r="S168" s="393">
        <v>0</v>
      </c>
      <c r="T168" s="393">
        <v>254127</v>
      </c>
      <c r="U168" s="393">
        <v>0</v>
      </c>
      <c r="V168" s="393">
        <v>1907731</v>
      </c>
      <c r="W168" s="393">
        <v>0</v>
      </c>
      <c r="X168" s="393">
        <v>0</v>
      </c>
      <c r="Y168" s="393">
        <v>0</v>
      </c>
      <c r="Z168" s="393">
        <v>0.01</v>
      </c>
      <c r="AA168" s="393">
        <v>867395</v>
      </c>
      <c r="AB168" s="393">
        <v>0</v>
      </c>
      <c r="AC168" s="393">
        <v>738655</v>
      </c>
      <c r="AD168" s="393">
        <v>0</v>
      </c>
      <c r="AE168" s="393">
        <v>0</v>
      </c>
      <c r="AF168" s="393">
        <v>0</v>
      </c>
      <c r="AG168" s="649">
        <v>188043</v>
      </c>
      <c r="AI168" s="649">
        <f t="shared" si="25"/>
        <v>6827425.7599999998</v>
      </c>
    </row>
    <row r="169" spans="1:35" x14ac:dyDescent="0.2">
      <c r="A169" s="335">
        <v>1771</v>
      </c>
      <c r="B169" s="2964" t="s">
        <v>4448</v>
      </c>
      <c r="C169" s="2964"/>
      <c r="D169" t="str">
        <f t="shared" si="24"/>
        <v>OK</v>
      </c>
      <c r="E169" s="649">
        <v>550089662.30999994</v>
      </c>
      <c r="F169" s="649">
        <v>436568163</v>
      </c>
      <c r="G169" s="649">
        <v>113521499.31</v>
      </c>
      <c r="H169" s="649">
        <v>0</v>
      </c>
      <c r="I169" s="649">
        <v>0</v>
      </c>
      <c r="J169" s="649">
        <v>0</v>
      </c>
      <c r="K169" s="649">
        <v>0</v>
      </c>
      <c r="L169" s="649"/>
      <c r="M169" s="649">
        <v>0</v>
      </c>
      <c r="N169" s="649">
        <v>0</v>
      </c>
      <c r="O169" s="393">
        <v>23734046</v>
      </c>
      <c r="P169" s="393">
        <v>987534734</v>
      </c>
      <c r="Q169" s="393">
        <v>544559203</v>
      </c>
      <c r="R169" s="393">
        <v>143200524</v>
      </c>
      <c r="S169" s="393">
        <v>205904440</v>
      </c>
      <c r="T169" s="393">
        <v>35795131</v>
      </c>
      <c r="U169" s="393">
        <v>112605135</v>
      </c>
      <c r="V169" s="393">
        <v>351163514</v>
      </c>
      <c r="W169" s="393">
        <v>83972433</v>
      </c>
      <c r="X169" s="393">
        <v>81215939</v>
      </c>
      <c r="Y169" s="393">
        <v>144610903</v>
      </c>
      <c r="Z169" s="393">
        <v>45723008.509999998</v>
      </c>
      <c r="AA169" s="393">
        <v>49879307</v>
      </c>
      <c r="AB169" s="393">
        <v>16673215</v>
      </c>
      <c r="AC169" s="393">
        <v>44023283</v>
      </c>
      <c r="AD169" s="393">
        <v>65501947</v>
      </c>
      <c r="AE169" s="393">
        <v>19826489</v>
      </c>
      <c r="AF169" s="393">
        <v>0</v>
      </c>
      <c r="AG169" s="649">
        <v>1092724</v>
      </c>
      <c r="AI169" s="649">
        <f t="shared" si="25"/>
        <v>3506012913.8200002</v>
      </c>
    </row>
    <row r="170" spans="1:35" x14ac:dyDescent="0.2">
      <c r="A170" s="2051">
        <v>1773</v>
      </c>
      <c r="B170" s="3037" t="s">
        <v>5656</v>
      </c>
      <c r="C170" s="3037"/>
      <c r="D170" t="str">
        <f t="shared" si="24"/>
        <v>OK</v>
      </c>
      <c r="E170" s="649">
        <v>0</v>
      </c>
      <c r="F170" s="649">
        <v>0</v>
      </c>
      <c r="G170" s="649">
        <v>0</v>
      </c>
      <c r="H170" s="649">
        <v>0</v>
      </c>
      <c r="I170" s="649">
        <v>0</v>
      </c>
      <c r="J170" s="649">
        <v>0</v>
      </c>
      <c r="K170" s="649">
        <v>0</v>
      </c>
      <c r="L170" s="649">
        <v>0</v>
      </c>
      <c r="M170" s="649">
        <v>0</v>
      </c>
      <c r="N170" s="649">
        <v>0</v>
      </c>
      <c r="O170" s="393">
        <v>0</v>
      </c>
      <c r="P170" s="393">
        <v>0</v>
      </c>
      <c r="Q170" s="393">
        <v>0</v>
      </c>
      <c r="R170" s="393">
        <v>0</v>
      </c>
      <c r="S170" s="393">
        <v>0</v>
      </c>
      <c r="T170" s="393">
        <v>0</v>
      </c>
      <c r="U170" s="393">
        <v>0</v>
      </c>
      <c r="V170" s="393">
        <v>0</v>
      </c>
      <c r="W170" s="393">
        <v>0</v>
      </c>
      <c r="X170" s="393">
        <v>0</v>
      </c>
      <c r="Y170" s="393">
        <v>0</v>
      </c>
      <c r="Z170" s="393">
        <v>0</v>
      </c>
      <c r="AA170" s="393">
        <v>0</v>
      </c>
      <c r="AB170" s="393">
        <v>0</v>
      </c>
      <c r="AC170" s="393">
        <v>0</v>
      </c>
      <c r="AD170" s="393">
        <v>0</v>
      </c>
      <c r="AE170" s="393">
        <v>0</v>
      </c>
      <c r="AF170" s="393">
        <v>0</v>
      </c>
      <c r="AG170" s="649">
        <v>0</v>
      </c>
      <c r="AI170" s="649"/>
    </row>
    <row r="171" spans="1:35" x14ac:dyDescent="0.2">
      <c r="A171" s="335">
        <v>1769</v>
      </c>
      <c r="B171" s="2964" t="s">
        <v>3945</v>
      </c>
      <c r="C171" s="2964"/>
      <c r="D171" t="str">
        <f t="shared" si="24"/>
        <v>prob</v>
      </c>
      <c r="E171" s="649">
        <v>815614.58</v>
      </c>
      <c r="F171" s="649">
        <v>0</v>
      </c>
      <c r="G171" s="649">
        <v>0</v>
      </c>
      <c r="H171" s="649">
        <v>0</v>
      </c>
      <c r="I171" s="649">
        <v>0</v>
      </c>
      <c r="J171" s="649">
        <v>195943.65</v>
      </c>
      <c r="K171" s="649">
        <v>619670.93000000005</v>
      </c>
      <c r="L171" s="649"/>
      <c r="M171" s="649">
        <v>0</v>
      </c>
      <c r="N171" s="649">
        <v>0</v>
      </c>
      <c r="O171" s="393">
        <v>0</v>
      </c>
      <c r="P171" s="393">
        <v>0</v>
      </c>
      <c r="Q171" s="393">
        <v>0</v>
      </c>
      <c r="R171" s="393">
        <v>0</v>
      </c>
      <c r="S171" s="393">
        <v>0</v>
      </c>
      <c r="T171" s="393">
        <v>0</v>
      </c>
      <c r="U171" s="393">
        <v>0</v>
      </c>
      <c r="V171" s="393">
        <v>0</v>
      </c>
      <c r="W171" s="393">
        <v>0</v>
      </c>
      <c r="X171" s="393">
        <v>0</v>
      </c>
      <c r="Y171" s="393">
        <v>3304415</v>
      </c>
      <c r="Z171" s="393">
        <v>0</v>
      </c>
      <c r="AA171" s="393">
        <v>2334907.2999999998</v>
      </c>
      <c r="AB171" s="393">
        <v>0</v>
      </c>
      <c r="AC171" s="393">
        <v>0</v>
      </c>
      <c r="AD171" s="393">
        <v>0</v>
      </c>
      <c r="AE171" s="393">
        <v>0</v>
      </c>
      <c r="AF171" s="393">
        <v>0</v>
      </c>
      <c r="AG171" s="649">
        <v>0</v>
      </c>
      <c r="AI171" s="649">
        <f t="shared" si="25"/>
        <v>6454936.8799999999</v>
      </c>
    </row>
    <row r="172" spans="1:35" x14ac:dyDescent="0.2">
      <c r="B172" s="3036" t="s">
        <v>1934</v>
      </c>
      <c r="C172" s="3036"/>
      <c r="D172" t="str">
        <f t="shared" si="24"/>
        <v>prob</v>
      </c>
      <c r="E172" s="661">
        <f>SUM(E161:E171)</f>
        <v>553008739.63999999</v>
      </c>
      <c r="F172" s="661">
        <f t="shared" ref="F172:AG172" si="26">SUM(F161:F171)</f>
        <v>436568163</v>
      </c>
      <c r="G172" s="661">
        <f t="shared" si="26"/>
        <v>113521499.31</v>
      </c>
      <c r="H172" s="661">
        <f t="shared" si="26"/>
        <v>0</v>
      </c>
      <c r="I172" s="661">
        <f t="shared" si="26"/>
        <v>2103462.75</v>
      </c>
      <c r="J172" s="661">
        <f t="shared" si="26"/>
        <v>195943.65</v>
      </c>
      <c r="K172" s="661">
        <f t="shared" si="26"/>
        <v>619670.93000000005</v>
      </c>
      <c r="L172" s="661">
        <f t="shared" si="26"/>
        <v>0</v>
      </c>
      <c r="M172" s="661">
        <f>SUM(M161:M171)</f>
        <v>0</v>
      </c>
      <c r="N172" s="661">
        <f t="shared" si="26"/>
        <v>0</v>
      </c>
      <c r="O172" s="706">
        <f t="shared" si="26"/>
        <v>98979472.090000004</v>
      </c>
      <c r="P172" s="661">
        <f>SUM(P161:P171)</f>
        <v>1010444221.11</v>
      </c>
      <c r="Q172" s="661">
        <f t="shared" si="26"/>
        <v>544559203</v>
      </c>
      <c r="R172" s="661">
        <f t="shared" si="26"/>
        <v>143287365.13999999</v>
      </c>
      <c r="S172" s="661">
        <f t="shared" si="26"/>
        <v>205929877.52000001</v>
      </c>
      <c r="T172" s="661">
        <f t="shared" si="26"/>
        <v>36123768.859999999</v>
      </c>
      <c r="U172" s="661">
        <f t="shared" si="26"/>
        <v>181829450.19</v>
      </c>
      <c r="V172" s="661">
        <f t="shared" si="26"/>
        <v>353071245</v>
      </c>
      <c r="W172" s="661">
        <f t="shared" si="26"/>
        <v>84328738</v>
      </c>
      <c r="X172" s="661">
        <f t="shared" si="26"/>
        <v>101792763.15000001</v>
      </c>
      <c r="Y172" s="661">
        <f t="shared" si="26"/>
        <v>179485333.86000001</v>
      </c>
      <c r="Z172" s="661">
        <f t="shared" si="26"/>
        <v>45723008.520000003</v>
      </c>
      <c r="AA172" s="661">
        <f t="shared" si="26"/>
        <v>53081609.299999997</v>
      </c>
      <c r="AB172" s="661">
        <f t="shared" si="26"/>
        <v>16673215</v>
      </c>
      <c r="AC172" s="661">
        <f t="shared" si="26"/>
        <v>44761938</v>
      </c>
      <c r="AD172" s="661">
        <f t="shared" si="26"/>
        <v>131324447.66</v>
      </c>
      <c r="AE172" s="661">
        <f t="shared" si="26"/>
        <v>19826489</v>
      </c>
      <c r="AF172" s="661">
        <f t="shared" si="26"/>
        <v>0</v>
      </c>
      <c r="AG172" s="661">
        <f t="shared" si="26"/>
        <v>1280767</v>
      </c>
      <c r="AI172" s="649">
        <f t="shared" si="25"/>
        <v>3804230885.04</v>
      </c>
    </row>
    <row r="173" spans="1:35" x14ac:dyDescent="0.2">
      <c r="B173" s="335"/>
      <c r="C173" s="335"/>
      <c r="E173" s="649"/>
      <c r="F173" s="649"/>
      <c r="G173" s="649"/>
      <c r="H173" s="649"/>
      <c r="I173" s="649"/>
      <c r="J173" s="649"/>
      <c r="K173" s="649"/>
      <c r="L173" s="649"/>
      <c r="M173" s="649"/>
      <c r="N173" s="649"/>
      <c r="O173" s="393"/>
      <c r="P173" s="649"/>
      <c r="Q173" s="649"/>
      <c r="R173" s="649"/>
      <c r="S173" s="649"/>
      <c r="T173" s="649"/>
      <c r="U173" s="649"/>
      <c r="V173" s="649"/>
      <c r="W173" s="649"/>
      <c r="X173" s="649"/>
      <c r="Y173" s="649"/>
      <c r="Z173" s="649"/>
      <c r="AA173" s="649"/>
      <c r="AB173" s="649"/>
      <c r="AC173" s="649"/>
      <c r="AD173" s="649"/>
      <c r="AE173" s="649"/>
      <c r="AF173" s="649"/>
      <c r="AG173" s="649"/>
      <c r="AI173" s="649">
        <f t="shared" si="25"/>
        <v>0</v>
      </c>
    </row>
    <row r="174" spans="1:35" x14ac:dyDescent="0.2">
      <c r="B174" s="395" t="s">
        <v>1905</v>
      </c>
      <c r="E174" s="649"/>
      <c r="F174" s="649"/>
      <c r="G174" s="649"/>
      <c r="H174" s="649"/>
      <c r="I174" s="649"/>
      <c r="J174" s="649"/>
      <c r="K174" s="649"/>
      <c r="L174" s="649"/>
      <c r="M174" s="649"/>
      <c r="N174" s="649"/>
      <c r="O174" s="1223" t="s">
        <v>1791</v>
      </c>
      <c r="P174" s="1222" t="s">
        <v>1792</v>
      </c>
      <c r="Q174" s="1222" t="s">
        <v>403</v>
      </c>
      <c r="R174" s="1223" t="s">
        <v>404</v>
      </c>
      <c r="S174" s="1223" t="s">
        <v>405</v>
      </c>
      <c r="T174" s="1223" t="s">
        <v>406</v>
      </c>
      <c r="U174" s="1223" t="s">
        <v>64</v>
      </c>
      <c r="V174" s="1223" t="s">
        <v>65</v>
      </c>
      <c r="W174" s="1223" t="s">
        <v>66</v>
      </c>
      <c r="X174" s="1223" t="s">
        <v>1793</v>
      </c>
      <c r="Y174" s="1223" t="s">
        <v>1794</v>
      </c>
      <c r="Z174" s="1223" t="s">
        <v>1795</v>
      </c>
      <c r="AA174" s="1223" t="s">
        <v>1796</v>
      </c>
      <c r="AB174" s="1223" t="s">
        <v>1797</v>
      </c>
      <c r="AC174" s="1223" t="s">
        <v>1798</v>
      </c>
      <c r="AD174" s="1223" t="s">
        <v>1799</v>
      </c>
      <c r="AE174" s="1223" t="s">
        <v>1800</v>
      </c>
      <c r="AF174" s="1223" t="s">
        <v>1689</v>
      </c>
      <c r="AG174" s="1234">
        <v>69</v>
      </c>
      <c r="AI174" s="649">
        <f t="shared" si="25"/>
        <v>0</v>
      </c>
    </row>
    <row r="175" spans="1:35" x14ac:dyDescent="0.2">
      <c r="A175" s="335">
        <v>2130</v>
      </c>
      <c r="B175" s="2876" t="s">
        <v>1937</v>
      </c>
      <c r="C175" s="2876"/>
      <c r="D175" t="str">
        <f>IF(SUM(F175:N175)-E175=0,"OK","prob")</f>
        <v>prob</v>
      </c>
      <c r="E175" s="649">
        <v>839663136.19000006</v>
      </c>
      <c r="F175" s="649">
        <v>625957600</v>
      </c>
      <c r="G175" s="649">
        <v>0</v>
      </c>
      <c r="H175" s="649">
        <v>0</v>
      </c>
      <c r="I175" s="649">
        <v>185585760.5</v>
      </c>
      <c r="J175" s="649">
        <v>-5486777.2199999997</v>
      </c>
      <c r="K175" s="649">
        <v>1180239.9099999999</v>
      </c>
      <c r="L175" s="649"/>
      <c r="M175" s="649">
        <v>0</v>
      </c>
      <c r="N175" s="649">
        <v>32426313</v>
      </c>
      <c r="O175" s="393">
        <v>59483956.82</v>
      </c>
      <c r="P175" s="393">
        <v>1656472890.3900001</v>
      </c>
      <c r="Q175" s="393">
        <v>1605410472.9100001</v>
      </c>
      <c r="R175" s="393">
        <v>524029897.69999999</v>
      </c>
      <c r="S175" s="393">
        <v>949136703.07000005</v>
      </c>
      <c r="T175" s="393">
        <v>167901060.66999999</v>
      </c>
      <c r="U175" s="393">
        <v>428354122.37</v>
      </c>
      <c r="V175" s="393">
        <v>859403840.23000002</v>
      </c>
      <c r="W175" s="393">
        <v>362801408.67000002</v>
      </c>
      <c r="X175" s="393">
        <v>388940117.13999999</v>
      </c>
      <c r="Y175" s="393">
        <v>457753355.88</v>
      </c>
      <c r="Z175" s="393">
        <v>163831259.78</v>
      </c>
      <c r="AA175" s="393">
        <v>174685710.53</v>
      </c>
      <c r="AB175" s="393">
        <v>114571056.28</v>
      </c>
      <c r="AC175" s="393">
        <v>145360989.86000001</v>
      </c>
      <c r="AD175" s="393">
        <v>198425886.88999999</v>
      </c>
      <c r="AE175" s="393">
        <v>117026872.31</v>
      </c>
      <c r="AF175" s="393">
        <v>52299936.140000001</v>
      </c>
      <c r="AG175" s="649">
        <v>5809919.1299999999</v>
      </c>
      <c r="AI175" s="649">
        <f t="shared" si="25"/>
        <v>9265552673.8299999</v>
      </c>
    </row>
    <row r="176" spans="1:35" x14ac:dyDescent="0.2">
      <c r="A176" s="330"/>
      <c r="B176" s="335" t="s">
        <v>1550</v>
      </c>
      <c r="C176" s="335"/>
      <c r="E176" s="649"/>
      <c r="F176" s="649"/>
      <c r="G176" s="649"/>
      <c r="H176" s="649"/>
      <c r="I176" s="649"/>
      <c r="J176" s="649"/>
      <c r="K176" s="649"/>
      <c r="L176" s="649"/>
      <c r="M176" s="649"/>
      <c r="N176" s="649"/>
      <c r="O176" s="393"/>
      <c r="P176" s="1286"/>
      <c r="Q176" s="649"/>
      <c r="R176" s="649"/>
      <c r="S176" s="649"/>
      <c r="T176" s="649"/>
      <c r="U176" s="649"/>
      <c r="V176" s="649"/>
      <c r="W176" s="649"/>
      <c r="X176" s="649"/>
      <c r="Y176" s="649"/>
      <c r="Z176" s="649"/>
      <c r="AA176" s="649"/>
      <c r="AB176" s="649"/>
      <c r="AC176" s="649"/>
      <c r="AD176" s="649"/>
      <c r="AE176" s="649"/>
      <c r="AF176" s="649"/>
      <c r="AG176" s="649"/>
      <c r="AI176" s="649">
        <f t="shared" si="25"/>
        <v>0</v>
      </c>
    </row>
    <row r="177" spans="1:35" x14ac:dyDescent="0.2">
      <c r="A177" s="335">
        <v>2140</v>
      </c>
      <c r="B177" s="2876" t="s">
        <v>192</v>
      </c>
      <c r="C177" s="2876"/>
      <c r="D177" t="str">
        <f>IF(SUM(F177:N177)-E177=0,"OK","prob")</f>
        <v>OK</v>
      </c>
      <c r="E177" s="649">
        <v>0</v>
      </c>
      <c r="F177" s="649">
        <v>0</v>
      </c>
      <c r="G177" s="649">
        <v>0</v>
      </c>
      <c r="H177" s="649">
        <v>0</v>
      </c>
      <c r="I177" s="649">
        <v>0</v>
      </c>
      <c r="J177" s="649">
        <v>0</v>
      </c>
      <c r="K177" s="649">
        <v>0</v>
      </c>
      <c r="L177" s="649"/>
      <c r="M177" s="649">
        <v>0</v>
      </c>
      <c r="N177" s="649">
        <v>0</v>
      </c>
      <c r="O177" s="393">
        <v>14802418.67</v>
      </c>
      <c r="P177" s="393">
        <v>949848314.09000003</v>
      </c>
      <c r="Q177" s="393">
        <v>175778620.58000001</v>
      </c>
      <c r="R177" s="393">
        <v>177517947.46000001</v>
      </c>
      <c r="S177" s="393">
        <v>47516604.780000001</v>
      </c>
      <c r="T177" s="393">
        <v>8145128.25</v>
      </c>
      <c r="U177" s="393">
        <v>72859495.170000002</v>
      </c>
      <c r="V177" s="393">
        <v>46649306.039999999</v>
      </c>
      <c r="W177" s="393">
        <v>60792054.140000001</v>
      </c>
      <c r="X177" s="393">
        <v>55419701.700000003</v>
      </c>
      <c r="Y177" s="393">
        <v>95332489.890000001</v>
      </c>
      <c r="Z177" s="393">
        <v>19044107.899999999</v>
      </c>
      <c r="AA177" s="393">
        <v>19878021.390000001</v>
      </c>
      <c r="AB177" s="393">
        <v>9045546.1699999999</v>
      </c>
      <c r="AC177" s="393">
        <v>13129763.98</v>
      </c>
      <c r="AD177" s="393">
        <v>53631397.560000002</v>
      </c>
      <c r="AE177" s="393">
        <v>22390695.16</v>
      </c>
      <c r="AF177" s="393">
        <v>0</v>
      </c>
      <c r="AG177" s="649">
        <v>0</v>
      </c>
      <c r="AI177" s="649">
        <f t="shared" si="25"/>
        <v>1841781612.9300001</v>
      </c>
    </row>
    <row r="178" spans="1:35" x14ac:dyDescent="0.2">
      <c r="A178" s="335">
        <v>2141</v>
      </c>
      <c r="B178" s="2876" t="s">
        <v>475</v>
      </c>
      <c r="C178" s="2876"/>
      <c r="D178" t="str">
        <f>IF(SUM(F178:N178)-E178=0,"OK","prob")</f>
        <v>OK</v>
      </c>
      <c r="E178" s="649">
        <v>402363.83</v>
      </c>
      <c r="F178" s="649">
        <v>0</v>
      </c>
      <c r="G178" s="649">
        <v>0</v>
      </c>
      <c r="H178" s="649">
        <v>0</v>
      </c>
      <c r="I178" s="649">
        <v>402363.83</v>
      </c>
      <c r="J178" s="649">
        <v>0</v>
      </c>
      <c r="K178" s="649">
        <v>0</v>
      </c>
      <c r="L178" s="649"/>
      <c r="M178" s="649">
        <v>0</v>
      </c>
      <c r="N178" s="649">
        <v>0</v>
      </c>
      <c r="O178" s="393">
        <v>0</v>
      </c>
      <c r="P178" s="393">
        <v>0</v>
      </c>
      <c r="Q178" s="393">
        <v>0</v>
      </c>
      <c r="R178" s="393">
        <v>0</v>
      </c>
      <c r="S178" s="393">
        <v>0</v>
      </c>
      <c r="T178" s="393">
        <v>0</v>
      </c>
      <c r="U178" s="393">
        <v>0</v>
      </c>
      <c r="V178" s="393">
        <v>0</v>
      </c>
      <c r="W178" s="393">
        <v>0</v>
      </c>
      <c r="X178" s="393">
        <v>0</v>
      </c>
      <c r="Y178" s="393">
        <v>0</v>
      </c>
      <c r="Z178" s="393">
        <v>0</v>
      </c>
      <c r="AA178" s="393">
        <v>0</v>
      </c>
      <c r="AB178" s="393">
        <v>0</v>
      </c>
      <c r="AC178" s="393">
        <v>0</v>
      </c>
      <c r="AD178" s="393">
        <v>0</v>
      </c>
      <c r="AE178" s="393">
        <v>0</v>
      </c>
      <c r="AF178" s="393">
        <v>0</v>
      </c>
      <c r="AG178" s="649">
        <v>0</v>
      </c>
      <c r="AI178" s="649">
        <f t="shared" si="25"/>
        <v>402363.83</v>
      </c>
    </row>
    <row r="179" spans="1:35" x14ac:dyDescent="0.2">
      <c r="A179" s="335">
        <v>2142</v>
      </c>
      <c r="B179" s="2876" t="s">
        <v>476</v>
      </c>
      <c r="C179" s="2876"/>
      <c r="D179" t="str">
        <f>IF(SUM(F179:N179)-E179=0,"OK","prob")</f>
        <v>OK</v>
      </c>
      <c r="E179" s="649">
        <v>0</v>
      </c>
      <c r="F179" s="649">
        <v>0</v>
      </c>
      <c r="G179" s="649">
        <v>0</v>
      </c>
      <c r="H179" s="649">
        <v>0</v>
      </c>
      <c r="I179" s="649">
        <v>0</v>
      </c>
      <c r="J179" s="649">
        <v>0</v>
      </c>
      <c r="K179" s="649">
        <v>0</v>
      </c>
      <c r="L179" s="649"/>
      <c r="M179" s="649">
        <v>0</v>
      </c>
      <c r="N179" s="649">
        <v>0</v>
      </c>
      <c r="O179" s="393">
        <v>0</v>
      </c>
      <c r="P179" s="393">
        <v>0</v>
      </c>
      <c r="Q179" s="393">
        <v>0</v>
      </c>
      <c r="R179" s="393">
        <v>0</v>
      </c>
      <c r="S179" s="393">
        <v>0</v>
      </c>
      <c r="T179" s="393">
        <v>0</v>
      </c>
      <c r="U179" s="393">
        <v>0</v>
      </c>
      <c r="V179" s="393">
        <v>0</v>
      </c>
      <c r="W179" s="393">
        <v>0</v>
      </c>
      <c r="X179" s="393">
        <v>0</v>
      </c>
      <c r="Y179" s="393">
        <v>0</v>
      </c>
      <c r="Z179" s="393">
        <v>0</v>
      </c>
      <c r="AA179" s="393">
        <v>0</v>
      </c>
      <c r="AB179" s="393">
        <v>0</v>
      </c>
      <c r="AC179" s="393">
        <v>0</v>
      </c>
      <c r="AD179" s="393">
        <v>0</v>
      </c>
      <c r="AE179" s="393">
        <v>0</v>
      </c>
      <c r="AF179" s="393">
        <v>0</v>
      </c>
      <c r="AG179" s="649">
        <v>0</v>
      </c>
      <c r="AI179" s="649">
        <f t="shared" si="25"/>
        <v>0</v>
      </c>
    </row>
    <row r="180" spans="1:35" x14ac:dyDescent="0.2">
      <c r="A180" s="330"/>
      <c r="B180" s="335" t="s">
        <v>1303</v>
      </c>
      <c r="C180" s="335"/>
      <c r="E180" s="649"/>
      <c r="F180" s="649"/>
      <c r="G180" s="649"/>
      <c r="H180" s="649"/>
      <c r="I180" s="649"/>
      <c r="J180" s="649"/>
      <c r="K180" s="649"/>
      <c r="L180" s="649"/>
      <c r="M180" s="649"/>
      <c r="N180" s="649"/>
      <c r="O180" s="393"/>
      <c r="P180" s="1286"/>
      <c r="Q180" s="649"/>
      <c r="R180" s="649"/>
      <c r="S180" s="649"/>
      <c r="T180" s="649"/>
      <c r="U180" s="649"/>
      <c r="V180" s="649"/>
      <c r="W180" s="649"/>
      <c r="X180" s="649"/>
      <c r="Y180" s="649"/>
      <c r="Z180" s="649"/>
      <c r="AA180" s="649"/>
      <c r="AB180" s="649"/>
      <c r="AC180" s="649"/>
      <c r="AD180" s="649"/>
      <c r="AE180" s="649"/>
      <c r="AF180" s="649"/>
      <c r="AG180" s="649"/>
      <c r="AI180" s="649">
        <f t="shared" si="25"/>
        <v>0</v>
      </c>
    </row>
    <row r="181" spans="1:35" x14ac:dyDescent="0.2">
      <c r="A181" s="335">
        <v>2150</v>
      </c>
      <c r="B181" s="2876" t="s">
        <v>192</v>
      </c>
      <c r="C181" s="2876"/>
      <c r="D181" t="str">
        <f>IF(SUM(F181:N181)-E181=0,"OK","prob")</f>
        <v>OK</v>
      </c>
      <c r="E181" s="649">
        <v>0</v>
      </c>
      <c r="F181" s="649">
        <v>0</v>
      </c>
      <c r="G181" s="649">
        <v>0</v>
      </c>
      <c r="H181" s="649">
        <v>0</v>
      </c>
      <c r="I181" s="649">
        <v>0</v>
      </c>
      <c r="J181" s="649">
        <v>0</v>
      </c>
      <c r="K181" s="649">
        <v>0</v>
      </c>
      <c r="L181" s="649"/>
      <c r="M181" s="649">
        <v>0</v>
      </c>
      <c r="N181" s="649">
        <v>0</v>
      </c>
      <c r="O181" s="393">
        <v>120593018.61</v>
      </c>
      <c r="P181" s="393">
        <v>2381550114.6300001</v>
      </c>
      <c r="Q181" s="393">
        <v>532933058.26999998</v>
      </c>
      <c r="R181" s="393">
        <v>232650843.00999999</v>
      </c>
      <c r="S181" s="393">
        <v>47810399.359999999</v>
      </c>
      <c r="T181" s="393">
        <v>17341613.84</v>
      </c>
      <c r="U181" s="393">
        <v>136453822.28</v>
      </c>
      <c r="V181" s="393">
        <v>97909216.5</v>
      </c>
      <c r="W181" s="393">
        <v>66856104.100000001</v>
      </c>
      <c r="X181" s="393">
        <v>117713402.17</v>
      </c>
      <c r="Y181" s="393">
        <v>137331341.16999999</v>
      </c>
      <c r="Z181" s="393">
        <v>25495884.109999999</v>
      </c>
      <c r="AA181" s="393">
        <v>24473302.210000001</v>
      </c>
      <c r="AB181" s="393">
        <v>26944920.23</v>
      </c>
      <c r="AC181" s="393">
        <v>27799064.100000001</v>
      </c>
      <c r="AD181" s="393">
        <v>0</v>
      </c>
      <c r="AE181" s="393">
        <v>32146489.75</v>
      </c>
      <c r="AF181" s="393">
        <v>0</v>
      </c>
      <c r="AG181" s="649">
        <v>0</v>
      </c>
      <c r="AI181" s="649">
        <f t="shared" si="25"/>
        <v>4026002594.3400002</v>
      </c>
    </row>
    <row r="182" spans="1:35" x14ac:dyDescent="0.2">
      <c r="A182" s="335">
        <v>2151</v>
      </c>
      <c r="B182" s="2876" t="s">
        <v>475</v>
      </c>
      <c r="C182" s="2876"/>
      <c r="D182" t="str">
        <f>IF(SUM(F182:N182)-E182=0,"OK","prob")</f>
        <v>OK</v>
      </c>
      <c r="E182" s="649">
        <v>428564179.31999999</v>
      </c>
      <c r="F182" s="649">
        <v>422328191</v>
      </c>
      <c r="G182" s="649">
        <v>0</v>
      </c>
      <c r="H182" s="649">
        <v>0</v>
      </c>
      <c r="I182" s="649">
        <v>6235988.3200000003</v>
      </c>
      <c r="J182" s="649">
        <v>0</v>
      </c>
      <c r="K182" s="649">
        <v>0</v>
      </c>
      <c r="L182" s="649"/>
      <c r="M182" s="649">
        <v>0</v>
      </c>
      <c r="N182" s="649">
        <v>0</v>
      </c>
      <c r="O182" s="393">
        <v>0</v>
      </c>
      <c r="P182" s="393">
        <v>0</v>
      </c>
      <c r="Q182" s="393">
        <v>0</v>
      </c>
      <c r="R182" s="393">
        <v>0</v>
      </c>
      <c r="S182" s="393">
        <v>0</v>
      </c>
      <c r="T182" s="393">
        <v>0</v>
      </c>
      <c r="U182" s="393">
        <v>0</v>
      </c>
      <c r="V182" s="393">
        <v>0</v>
      </c>
      <c r="W182" s="393">
        <v>0</v>
      </c>
      <c r="X182" s="393">
        <v>0</v>
      </c>
      <c r="Y182" s="393">
        <v>0</v>
      </c>
      <c r="Z182" s="393">
        <v>0</v>
      </c>
      <c r="AA182" s="393">
        <v>0</v>
      </c>
      <c r="AB182" s="393">
        <v>0</v>
      </c>
      <c r="AC182" s="393">
        <v>0</v>
      </c>
      <c r="AD182" s="393">
        <v>0</v>
      </c>
      <c r="AE182" s="393">
        <v>0</v>
      </c>
      <c r="AF182" s="393">
        <v>0</v>
      </c>
      <c r="AG182" s="649">
        <v>0</v>
      </c>
      <c r="AI182" s="649">
        <f t="shared" si="25"/>
        <v>428564179.31999999</v>
      </c>
    </row>
    <row r="183" spans="1:35" x14ac:dyDescent="0.2">
      <c r="A183" s="335">
        <v>2152</v>
      </c>
      <c r="B183" s="2876" t="s">
        <v>476</v>
      </c>
      <c r="C183" s="2876"/>
      <c r="D183" t="str">
        <f>IF(SUM(F183:N183)-E183=0,"OK","prob")</f>
        <v>OK</v>
      </c>
      <c r="E183" s="649">
        <v>0</v>
      </c>
      <c r="F183" s="649">
        <v>0</v>
      </c>
      <c r="G183" s="649">
        <v>0</v>
      </c>
      <c r="H183" s="649">
        <v>0</v>
      </c>
      <c r="I183" s="649">
        <v>0</v>
      </c>
      <c r="J183" s="649">
        <v>0</v>
      </c>
      <c r="K183" s="649">
        <v>0</v>
      </c>
      <c r="L183" s="649"/>
      <c r="M183" s="649">
        <v>0</v>
      </c>
      <c r="N183" s="649">
        <v>0</v>
      </c>
      <c r="O183" s="393">
        <v>0</v>
      </c>
      <c r="P183" s="393">
        <v>0</v>
      </c>
      <c r="Q183" s="393">
        <v>0</v>
      </c>
      <c r="R183" s="393">
        <v>0</v>
      </c>
      <c r="S183" s="393">
        <v>0</v>
      </c>
      <c r="T183" s="393">
        <v>0</v>
      </c>
      <c r="U183" s="393">
        <v>0</v>
      </c>
      <c r="V183" s="393">
        <v>0</v>
      </c>
      <c r="W183" s="393">
        <v>0</v>
      </c>
      <c r="X183" s="393">
        <v>0</v>
      </c>
      <c r="Y183" s="393">
        <v>0</v>
      </c>
      <c r="Z183" s="393">
        <v>0</v>
      </c>
      <c r="AA183" s="393">
        <v>0</v>
      </c>
      <c r="AB183" s="393">
        <v>0</v>
      </c>
      <c r="AC183" s="393">
        <v>0</v>
      </c>
      <c r="AD183" s="393">
        <v>0</v>
      </c>
      <c r="AE183" s="393">
        <v>0</v>
      </c>
      <c r="AF183" s="393">
        <v>0</v>
      </c>
      <c r="AG183" s="649">
        <v>2701608.43</v>
      </c>
      <c r="AI183" s="649">
        <f t="shared" si="25"/>
        <v>0</v>
      </c>
    </row>
    <row r="184" spans="1:35" x14ac:dyDescent="0.2">
      <c r="A184" s="335">
        <v>0</v>
      </c>
      <c r="B184" s="2974" t="s">
        <v>5657</v>
      </c>
      <c r="C184" s="2974"/>
      <c r="D184" t="str">
        <f>IF(SUM(F184:N184)-E184=0,"OK","prob")</f>
        <v>OK</v>
      </c>
      <c r="E184" s="649">
        <v>0</v>
      </c>
      <c r="F184" s="649">
        <v>0</v>
      </c>
      <c r="G184" s="649">
        <v>0</v>
      </c>
      <c r="H184" s="649">
        <v>0</v>
      </c>
      <c r="I184" s="649">
        <v>0</v>
      </c>
      <c r="J184" s="649">
        <v>0</v>
      </c>
      <c r="K184" s="649">
        <v>0</v>
      </c>
      <c r="L184" s="649">
        <v>0</v>
      </c>
      <c r="M184" s="649">
        <v>0</v>
      </c>
      <c r="N184" s="649">
        <v>0</v>
      </c>
      <c r="O184" s="649">
        <v>0</v>
      </c>
      <c r="P184" s="649">
        <v>0</v>
      </c>
      <c r="Q184" s="649">
        <v>0</v>
      </c>
      <c r="R184" s="649">
        <v>0</v>
      </c>
      <c r="S184" s="649">
        <v>0</v>
      </c>
      <c r="T184" s="649">
        <v>0</v>
      </c>
      <c r="U184" s="649">
        <v>0</v>
      </c>
      <c r="V184" s="649">
        <v>0</v>
      </c>
      <c r="W184" s="649">
        <v>0</v>
      </c>
      <c r="X184" s="649">
        <v>0</v>
      </c>
      <c r="Y184" s="649">
        <v>0</v>
      </c>
      <c r="Z184" s="649">
        <v>0</v>
      </c>
      <c r="AA184" s="649">
        <v>0</v>
      </c>
      <c r="AB184" s="649">
        <v>0</v>
      </c>
      <c r="AC184" s="649">
        <v>0</v>
      </c>
      <c r="AD184" s="649">
        <v>0</v>
      </c>
      <c r="AE184" s="649">
        <v>0</v>
      </c>
      <c r="AF184" s="649">
        <v>0</v>
      </c>
      <c r="AG184" s="649">
        <v>0</v>
      </c>
      <c r="AI184" s="649"/>
    </row>
    <row r="185" spans="1:35" x14ac:dyDescent="0.2">
      <c r="A185" s="335">
        <v>2180</v>
      </c>
      <c r="B185" s="2876" t="s">
        <v>923</v>
      </c>
      <c r="C185" s="2876"/>
      <c r="D185" t="str">
        <f>IF(SUM(F185:N185)=E185,"OK","prob")</f>
        <v>OK</v>
      </c>
      <c r="E185" s="651">
        <v>925609892.86000001</v>
      </c>
      <c r="F185" s="651">
        <v>-82972537.560000002</v>
      </c>
      <c r="G185" s="651">
        <v>129352347.98999999</v>
      </c>
      <c r="H185" s="651">
        <v>31789089</v>
      </c>
      <c r="I185" s="651">
        <v>752601444.55999994</v>
      </c>
      <c r="J185" s="651">
        <v>4604244.43</v>
      </c>
      <c r="K185" s="651">
        <v>36077336.960000001</v>
      </c>
      <c r="L185" s="651"/>
      <c r="M185" s="651">
        <v>14154557.119999999</v>
      </c>
      <c r="N185" s="651">
        <v>40003410.359999999</v>
      </c>
      <c r="O185" s="393">
        <v>-21677094.359999999</v>
      </c>
      <c r="P185" s="393">
        <v>-1337939017.1900001</v>
      </c>
      <c r="Q185" s="393">
        <v>-1252576526.8399999</v>
      </c>
      <c r="R185" s="393">
        <v>-264287730.78</v>
      </c>
      <c r="S185" s="393">
        <v>-248298365.11000001</v>
      </c>
      <c r="T185" s="393">
        <v>-89236460.239999995</v>
      </c>
      <c r="U185" s="393">
        <v>-200271518.16</v>
      </c>
      <c r="V185" s="393">
        <v>-777943259.46000004</v>
      </c>
      <c r="W185" s="393">
        <v>-88731694.430000007</v>
      </c>
      <c r="X185" s="393">
        <v>-96666399.200000003</v>
      </c>
      <c r="Y185" s="393">
        <v>-313008818.81</v>
      </c>
      <c r="Z185" s="393">
        <v>-116009739.31999999</v>
      </c>
      <c r="AA185" s="393">
        <v>-111066788.5</v>
      </c>
      <c r="AB185" s="393">
        <v>-23750287.09</v>
      </c>
      <c r="AC185" s="393">
        <v>-120585128.43000001</v>
      </c>
      <c r="AD185" s="393">
        <v>-161659971.90000001</v>
      </c>
      <c r="AE185" s="393">
        <v>-39308617.350000001</v>
      </c>
      <c r="AF185" s="393">
        <v>1643806.13</v>
      </c>
      <c r="AG185" s="651">
        <v>1134784.78</v>
      </c>
      <c r="AH185" s="335"/>
      <c r="AI185" s="649">
        <f t="shared" si="25"/>
        <v>-4335763718.1800003</v>
      </c>
    </row>
    <row r="186" spans="1:35" ht="13.5" thickBot="1" x14ac:dyDescent="0.25">
      <c r="B186" s="2876" t="s">
        <v>1889</v>
      </c>
      <c r="C186" s="2876"/>
      <c r="D186" t="str">
        <f>IF(SUM(F186:N186)-E186=0,"OK","prob")</f>
        <v>OK</v>
      </c>
      <c r="E186" s="804">
        <f t="shared" ref="E186:AG186" si="27">SUM(E175:E185)</f>
        <v>2194239572.1999998</v>
      </c>
      <c r="F186" s="804">
        <f t="shared" si="27"/>
        <v>965313253.44000006</v>
      </c>
      <c r="G186" s="804">
        <f t="shared" si="27"/>
        <v>129352347.98999999</v>
      </c>
      <c r="H186" s="804">
        <f t="shared" si="27"/>
        <v>31789089</v>
      </c>
      <c r="I186" s="804">
        <f t="shared" si="27"/>
        <v>944825557.21000004</v>
      </c>
      <c r="J186" s="804">
        <f t="shared" si="27"/>
        <v>-882532.79</v>
      </c>
      <c r="K186" s="804">
        <f t="shared" si="27"/>
        <v>37257576.869999997</v>
      </c>
      <c r="L186" s="804">
        <f t="shared" si="27"/>
        <v>0</v>
      </c>
      <c r="M186" s="804">
        <f>SUM(M175:M185)</f>
        <v>14154557.119999999</v>
      </c>
      <c r="N186" s="804">
        <f t="shared" si="27"/>
        <v>72429723.359999999</v>
      </c>
      <c r="O186" s="707">
        <f t="shared" si="27"/>
        <v>173202299.74000001</v>
      </c>
      <c r="P186" s="804">
        <f t="shared" si="27"/>
        <v>3649932301.9200001</v>
      </c>
      <c r="Q186" s="804">
        <f t="shared" si="27"/>
        <v>1061545624.92</v>
      </c>
      <c r="R186" s="804">
        <f t="shared" si="27"/>
        <v>669910957.38999999</v>
      </c>
      <c r="S186" s="804">
        <f t="shared" si="27"/>
        <v>796165342.10000002</v>
      </c>
      <c r="T186" s="804">
        <f t="shared" si="27"/>
        <v>104151342.52</v>
      </c>
      <c r="U186" s="804">
        <f t="shared" si="27"/>
        <v>437395921.66000003</v>
      </c>
      <c r="V186" s="804">
        <f t="shared" si="27"/>
        <v>226019103.31</v>
      </c>
      <c r="W186" s="804">
        <f t="shared" si="27"/>
        <v>401717872.48000002</v>
      </c>
      <c r="X186" s="804">
        <f t="shared" si="27"/>
        <v>465406821.81</v>
      </c>
      <c r="Y186" s="804">
        <f t="shared" si="27"/>
        <v>377408368.13</v>
      </c>
      <c r="Z186" s="804">
        <f t="shared" si="27"/>
        <v>92361512.469999999</v>
      </c>
      <c r="AA186" s="804">
        <f t="shared" si="27"/>
        <v>107970245.63</v>
      </c>
      <c r="AB186" s="804">
        <f t="shared" si="27"/>
        <v>126811235.59</v>
      </c>
      <c r="AC186" s="804">
        <f t="shared" si="27"/>
        <v>65704689.509999998</v>
      </c>
      <c r="AD186" s="804">
        <f t="shared" si="27"/>
        <v>90397312.549999997</v>
      </c>
      <c r="AE186" s="804">
        <f t="shared" si="27"/>
        <v>132255439.87</v>
      </c>
      <c r="AF186" s="804">
        <f t="shared" si="27"/>
        <v>53943742.270000003</v>
      </c>
      <c r="AG186" s="804">
        <f t="shared" si="27"/>
        <v>9646312.3399999999</v>
      </c>
      <c r="AH186" s="650">
        <f>SUM(F186:AF186)</f>
        <v>11226539706.07</v>
      </c>
    </row>
    <row r="187" spans="1:35" ht="13.5" thickTop="1" x14ac:dyDescent="0.2">
      <c r="B187" s="398"/>
      <c r="C187" s="398"/>
      <c r="E187" s="649"/>
      <c r="F187" s="649"/>
      <c r="G187" s="649"/>
      <c r="H187" s="649"/>
      <c r="I187" s="649"/>
      <c r="J187" s="649"/>
      <c r="K187" s="649"/>
      <c r="L187" s="649"/>
      <c r="M187" s="649"/>
      <c r="N187" s="649"/>
      <c r="O187" s="393"/>
      <c r="P187" s="649"/>
      <c r="Q187" s="649"/>
      <c r="R187" s="649"/>
      <c r="S187" s="649"/>
      <c r="T187" s="649"/>
      <c r="U187" s="649"/>
      <c r="V187" s="649"/>
      <c r="W187" s="649"/>
      <c r="X187" s="649"/>
      <c r="Y187" s="649"/>
      <c r="Z187" s="649"/>
      <c r="AA187" s="649"/>
      <c r="AB187" s="649"/>
      <c r="AC187" s="649"/>
      <c r="AD187" s="649"/>
      <c r="AE187" s="649"/>
      <c r="AF187" s="649"/>
      <c r="AG187" s="649"/>
      <c r="AH187" s="335" t="s">
        <v>3493</v>
      </c>
    </row>
    <row r="188" spans="1:35" x14ac:dyDescent="0.2">
      <c r="B188" s="335" t="s">
        <v>1936</v>
      </c>
      <c r="C188" s="44"/>
      <c r="E188" s="805" t="str">
        <f t="shared" ref="E188:AG188" si="28">IF(ROUND(E84+E94-E159-E172,2)=E186, "In Bal.","Out of Bal.")</f>
        <v>In Bal.</v>
      </c>
      <c r="F188" s="805" t="str">
        <f t="shared" si="28"/>
        <v>In Bal.</v>
      </c>
      <c r="G188" s="805" t="str">
        <f t="shared" si="28"/>
        <v>In Bal.</v>
      </c>
      <c r="H188" s="805" t="str">
        <f t="shared" si="28"/>
        <v>In Bal.</v>
      </c>
      <c r="I188" s="805" t="str">
        <f t="shared" si="28"/>
        <v>In Bal.</v>
      </c>
      <c r="J188" s="805" t="str">
        <f t="shared" si="28"/>
        <v>In Bal.</v>
      </c>
      <c r="K188" s="805" t="str">
        <f t="shared" si="28"/>
        <v>In Bal.</v>
      </c>
      <c r="L188" s="805" t="str">
        <f t="shared" si="28"/>
        <v>In Bal.</v>
      </c>
      <c r="M188" s="805" t="str">
        <f t="shared" si="28"/>
        <v>In Bal.</v>
      </c>
      <c r="N188" s="805" t="str">
        <f t="shared" si="28"/>
        <v>In Bal.</v>
      </c>
      <c r="O188" s="2018" t="str">
        <f t="shared" si="28"/>
        <v>In Bal.</v>
      </c>
      <c r="P188" s="805" t="str">
        <f t="shared" si="28"/>
        <v>In Bal.</v>
      </c>
      <c r="Q188" s="805" t="str">
        <f t="shared" si="28"/>
        <v>In Bal.</v>
      </c>
      <c r="R188" s="805" t="str">
        <f t="shared" si="28"/>
        <v>In Bal.</v>
      </c>
      <c r="S188" s="805" t="str">
        <f t="shared" si="28"/>
        <v>In Bal.</v>
      </c>
      <c r="T188" s="805" t="str">
        <f t="shared" si="28"/>
        <v>In Bal.</v>
      </c>
      <c r="U188" s="805" t="str">
        <f t="shared" si="28"/>
        <v>In Bal.</v>
      </c>
      <c r="V188" s="805" t="str">
        <f t="shared" si="28"/>
        <v>In Bal.</v>
      </c>
      <c r="W188" s="805" t="str">
        <f t="shared" si="28"/>
        <v>In Bal.</v>
      </c>
      <c r="X188" s="805" t="str">
        <f t="shared" si="28"/>
        <v>In Bal.</v>
      </c>
      <c r="Y188" s="805" t="str">
        <f t="shared" si="28"/>
        <v>In Bal.</v>
      </c>
      <c r="Z188" s="805" t="str">
        <f t="shared" si="28"/>
        <v>In Bal.</v>
      </c>
      <c r="AA188" s="805" t="str">
        <f t="shared" si="28"/>
        <v>In Bal.</v>
      </c>
      <c r="AB188" s="805" t="str">
        <f t="shared" si="28"/>
        <v>In Bal.</v>
      </c>
      <c r="AC188" s="805" t="str">
        <f t="shared" si="28"/>
        <v>In Bal.</v>
      </c>
      <c r="AD188" s="805" t="str">
        <f t="shared" si="28"/>
        <v>In Bal.</v>
      </c>
      <c r="AE188" s="805" t="str">
        <f t="shared" si="28"/>
        <v>In Bal.</v>
      </c>
      <c r="AF188" s="805" t="str">
        <f t="shared" si="28"/>
        <v>In Bal.</v>
      </c>
      <c r="AG188" s="805" t="str">
        <f t="shared" si="28"/>
        <v>In Bal.</v>
      </c>
      <c r="AH188" s="1223"/>
    </row>
    <row r="189" spans="1:35" x14ac:dyDescent="0.2">
      <c r="B189" s="44"/>
      <c r="C189" s="44"/>
      <c r="E189" s="649"/>
      <c r="F189" s="649"/>
      <c r="G189" s="649"/>
      <c r="H189" s="649"/>
      <c r="I189" s="649"/>
      <c r="J189" s="649"/>
      <c r="K189" s="649"/>
      <c r="L189" s="649"/>
      <c r="M189" s="649"/>
      <c r="N189" s="649"/>
      <c r="O189" s="1223" t="s">
        <v>401</v>
      </c>
      <c r="P189" s="1222" t="s">
        <v>402</v>
      </c>
      <c r="Q189" s="1222" t="s">
        <v>403</v>
      </c>
      <c r="R189" s="1223" t="s">
        <v>404</v>
      </c>
      <c r="S189" s="1223" t="s">
        <v>405</v>
      </c>
      <c r="T189" s="1223" t="s">
        <v>406</v>
      </c>
      <c r="U189" s="1223" t="s">
        <v>64</v>
      </c>
      <c r="V189" s="1223" t="s">
        <v>65</v>
      </c>
      <c r="W189" s="1223" t="s">
        <v>66</v>
      </c>
      <c r="X189" s="1223" t="s">
        <v>67</v>
      </c>
      <c r="Y189" s="1223" t="s">
        <v>741</v>
      </c>
      <c r="Z189" s="1223" t="s">
        <v>742</v>
      </c>
      <c r="AA189" s="1223" t="s">
        <v>743</v>
      </c>
      <c r="AB189" s="1223" t="s">
        <v>744</v>
      </c>
      <c r="AC189" s="1223" t="s">
        <v>745</v>
      </c>
      <c r="AD189" s="1223" t="s">
        <v>746</v>
      </c>
      <c r="AE189" s="1223" t="s">
        <v>747</v>
      </c>
      <c r="AF189" s="1223" t="s">
        <v>1689</v>
      </c>
      <c r="AG189" s="1234" t="s">
        <v>399</v>
      </c>
    </row>
    <row r="190" spans="1:35" x14ac:dyDescent="0.2">
      <c r="B190" s="407" t="s">
        <v>1906</v>
      </c>
      <c r="C190" s="653"/>
      <c r="E190" s="792" t="str">
        <f>CONCATENATE("FYE ",+TEXT(Data!$A$4,"mmmm d,yyyy"))</f>
        <v>FYE June 30,2021</v>
      </c>
      <c r="F190" s="792" t="str">
        <f>CONCATENATE("FYE ",+TEXT(Data!$A$4,"mmmm d,yyyy"))</f>
        <v>FYE June 30,2021</v>
      </c>
      <c r="G190" s="792" t="str">
        <f>CONCATENATE("FYE ",+TEXT(Data!$A$4,"mmmm d,yyyy"))</f>
        <v>FYE June 30,2021</v>
      </c>
      <c r="H190" s="792" t="str">
        <f>CONCATENATE("FYE ",+TEXT(Data!$A$4,"mmmm d,yyyy"))</f>
        <v>FYE June 30,2021</v>
      </c>
      <c r="I190" s="792" t="str">
        <f>CONCATENATE("FYE ",+TEXT(Data!$A$4,"mmmm d,yyyy"))</f>
        <v>FYE June 30,2021</v>
      </c>
      <c r="J190" s="792" t="str">
        <f>CONCATENATE("FYE ",+TEXT(Data!$A$4,"mmmm d,yyyy"))</f>
        <v>FYE June 30,2021</v>
      </c>
      <c r="K190" s="792" t="str">
        <f>CONCATENATE("FYE ",+TEXT(Data!$A$4,"mmmm d,yyyy"))</f>
        <v>FYE June 30,2021</v>
      </c>
      <c r="L190" s="792" t="str">
        <f>CONCATENATE("FYE ",+TEXT(Data!$A$4,"mmmm d,yyyy"))</f>
        <v>FYE June 30,2021</v>
      </c>
      <c r="M190" s="792" t="str">
        <f>CONCATENATE("FYE ",+TEXT(Data!$A$4,"mmmm d,yyyy"))</f>
        <v>FYE June 30,2021</v>
      </c>
      <c r="N190" s="792" t="str">
        <f>CONCATENATE("FYE ",+TEXT(Data!$A$4,"mmmm d,yyyy"))</f>
        <v>FYE June 30,2021</v>
      </c>
      <c r="O190" s="792" t="str">
        <f>CONCATENATE("FYE ",+TEXT(Data!$A$4,"mmmm d,yyyy"))</f>
        <v>FYE June 30,2021</v>
      </c>
      <c r="P190" s="792" t="str">
        <f>CONCATENATE("FYE ",+TEXT(Data!$A$4,"mmmm d,yyyy"))</f>
        <v>FYE June 30,2021</v>
      </c>
      <c r="Q190" s="792" t="str">
        <f>CONCATENATE("FYE ",+TEXT(Data!$A$4,"mmmm d,yyyy"))</f>
        <v>FYE June 30,2021</v>
      </c>
      <c r="R190" s="792" t="str">
        <f>CONCATENATE("FYE ",+TEXT(Data!$A$4,"mmmm d,yyyy"))</f>
        <v>FYE June 30,2021</v>
      </c>
      <c r="S190" s="792" t="str">
        <f>CONCATENATE("FYE ",+TEXT(Data!$A$4,"mmmm d,yyyy"))</f>
        <v>FYE June 30,2021</v>
      </c>
      <c r="T190" s="792" t="str">
        <f>CONCATENATE("FYE ",+TEXT(Data!$A$4,"mmmm d,yyyy"))</f>
        <v>FYE June 30,2021</v>
      </c>
      <c r="U190" s="792" t="str">
        <f>CONCATENATE("FYE ",+TEXT(Data!$A$4,"mmmm d,yyyy"))</f>
        <v>FYE June 30,2021</v>
      </c>
      <c r="V190" s="792" t="str">
        <f>CONCATENATE("FYE ",+TEXT(Data!$A$4,"mmmm d,yyyy"))</f>
        <v>FYE June 30,2021</v>
      </c>
      <c r="W190" s="792" t="str">
        <f>CONCATENATE("FYE ",+TEXT(Data!$A$4,"mmmm d,yyyy"))</f>
        <v>FYE June 30,2021</v>
      </c>
      <c r="X190" s="792" t="str">
        <f>CONCATENATE("FYE ",+TEXT(Data!$A$4,"mmmm d,yyyy"))</f>
        <v>FYE June 30,2021</v>
      </c>
      <c r="Y190" s="792" t="str">
        <f>CONCATENATE("FYE ",+TEXT(Data!$A$4,"mmmm d,yyyy"))</f>
        <v>FYE June 30,2021</v>
      </c>
      <c r="Z190" s="792" t="str">
        <f>CONCATENATE("FYE ",+TEXT(Data!$A$4,"mmmm d,yyyy"))</f>
        <v>FYE June 30,2021</v>
      </c>
      <c r="AA190" s="792" t="str">
        <f>CONCATENATE("FYE ",+TEXT(Data!$A$4,"mmmm d,yyyy"))</f>
        <v>FYE June 30,2021</v>
      </c>
      <c r="AB190" s="792" t="str">
        <f>CONCATENATE("FYE ",+TEXT(Data!$A$4,"mmmm d,yyyy"))</f>
        <v>FYE June 30,2021</v>
      </c>
      <c r="AC190" s="792" t="str">
        <f>CONCATENATE("FYE ",+TEXT(Data!$A$4,"mmmm d,yyyy"))</f>
        <v>FYE June 30,2021</v>
      </c>
      <c r="AD190" s="792" t="str">
        <f>CONCATENATE("FYE ",+TEXT(Data!$A$4,"mmmm d,yyyy"))</f>
        <v>FYE June 30,2021</v>
      </c>
      <c r="AE190" s="792" t="str">
        <f>CONCATENATE("FYE ",+TEXT(Data!$A$4,"mmmm d,yyyy"))</f>
        <v>FYE June 30,2021</v>
      </c>
      <c r="AF190" s="792" t="str">
        <f>CONCATENATE("FYE ",+TEXT(Data!$A$4,"mmmm d,yyyy"))</f>
        <v>FYE June 30,2021</v>
      </c>
      <c r="AG190" s="792" t="str">
        <f>CONCATENATE("FYE ",+TEXT(Data!$A$4,"mmmm d,yyyy"))</f>
        <v>FYE June 30,2021</v>
      </c>
    </row>
    <row r="191" spans="1:35" x14ac:dyDescent="0.2">
      <c r="B191" s="407" t="s">
        <v>387</v>
      </c>
      <c r="C191" s="407"/>
      <c r="E191" s="649"/>
      <c r="F191" s="649"/>
      <c r="G191" s="649"/>
      <c r="H191" s="649"/>
      <c r="I191" s="649"/>
      <c r="J191" s="649"/>
      <c r="K191" s="649"/>
      <c r="L191" s="649"/>
      <c r="M191" s="649"/>
      <c r="N191" s="649"/>
      <c r="O191" s="393"/>
      <c r="P191" s="649"/>
      <c r="Q191" s="649"/>
      <c r="R191" s="649"/>
      <c r="S191" s="649"/>
      <c r="T191" s="649"/>
      <c r="U191" s="649"/>
      <c r="V191" s="649"/>
      <c r="W191" s="649"/>
      <c r="X191" s="649"/>
      <c r="Y191" s="649"/>
      <c r="Z191" s="649"/>
      <c r="AA191" s="649"/>
      <c r="AB191" s="649"/>
      <c r="AC191" s="649"/>
      <c r="AD191" s="649"/>
      <c r="AE191" s="649"/>
      <c r="AF191" s="649"/>
      <c r="AG191" s="649"/>
      <c r="AI191" s="649">
        <f t="shared" ref="AI191:AI222" si="29">SUM(F191:AF191)</f>
        <v>0</v>
      </c>
    </row>
    <row r="192" spans="1:35" x14ac:dyDescent="0.2">
      <c r="A192" s="335">
        <v>2310</v>
      </c>
      <c r="B192" s="2876" t="s">
        <v>782</v>
      </c>
      <c r="C192" s="2876"/>
      <c r="D192" t="str">
        <f t="shared" ref="D192:D203" si="30">IF(SUM(F192:N192)-E192=0,"OK","prob")</f>
        <v>OK</v>
      </c>
      <c r="E192" s="650">
        <v>69200108.670000002</v>
      </c>
      <c r="F192" s="650">
        <v>0</v>
      </c>
      <c r="G192" s="650">
        <v>0</v>
      </c>
      <c r="H192" s="650">
        <v>2850000</v>
      </c>
      <c r="I192" s="650">
        <v>66350108.670000002</v>
      </c>
      <c r="J192" s="650">
        <v>0</v>
      </c>
      <c r="K192" s="650">
        <v>0</v>
      </c>
      <c r="L192" s="650"/>
      <c r="M192" s="650">
        <v>0</v>
      </c>
      <c r="N192" s="650">
        <v>0</v>
      </c>
      <c r="O192" s="1825">
        <v>12831268.380000001</v>
      </c>
      <c r="P192" s="1822">
        <v>397368948.55000001</v>
      </c>
      <c r="Q192" s="650">
        <v>179067420.09999999</v>
      </c>
      <c r="R192" s="650">
        <v>41375783.170000002</v>
      </c>
      <c r="S192" s="650">
        <v>38502980.439999998</v>
      </c>
      <c r="T192" s="1825">
        <v>9952297.6099999994</v>
      </c>
      <c r="U192" s="650">
        <v>37287675.039999999</v>
      </c>
      <c r="V192" s="650">
        <v>47711703.950000003</v>
      </c>
      <c r="W192" s="650">
        <v>18191628.219999999</v>
      </c>
      <c r="X192" s="650">
        <v>38047879.460000001</v>
      </c>
      <c r="Y192" s="650">
        <v>69452823.200000003</v>
      </c>
      <c r="Z192" s="650">
        <v>14378960.92</v>
      </c>
      <c r="AA192" s="650">
        <v>17103474.309999999</v>
      </c>
      <c r="AB192" s="650">
        <v>4597941.3099999996</v>
      </c>
      <c r="AC192" s="650">
        <v>8153016.4800000004</v>
      </c>
      <c r="AD192" s="650">
        <v>25833026.609999999</v>
      </c>
      <c r="AE192" s="650">
        <v>6202462.7800000003</v>
      </c>
      <c r="AF192" s="1826">
        <v>2613995.88</v>
      </c>
      <c r="AG192" s="650">
        <v>544981.73</v>
      </c>
      <c r="AI192" s="649">
        <f t="shared" si="29"/>
        <v>1037873395.08</v>
      </c>
    </row>
    <row r="193" spans="1:35" ht="15" x14ac:dyDescent="0.25">
      <c r="A193" s="335">
        <v>2320</v>
      </c>
      <c r="B193" s="2876" t="s">
        <v>1425</v>
      </c>
      <c r="C193" s="2876"/>
      <c r="D193" t="str">
        <f t="shared" si="30"/>
        <v>OK</v>
      </c>
      <c r="E193" s="649">
        <v>0</v>
      </c>
      <c r="F193" s="649">
        <v>0</v>
      </c>
      <c r="G193" s="649">
        <v>0</v>
      </c>
      <c r="H193" s="649">
        <v>0</v>
      </c>
      <c r="I193" s="649">
        <v>0</v>
      </c>
      <c r="J193" s="649">
        <v>0</v>
      </c>
      <c r="K193" s="649">
        <v>0</v>
      </c>
      <c r="L193" s="649"/>
      <c r="M193" s="649">
        <v>0</v>
      </c>
      <c r="N193" s="649">
        <v>0</v>
      </c>
      <c r="O193" s="2011">
        <v>0</v>
      </c>
      <c r="P193" s="1987">
        <v>412071787.94999999</v>
      </c>
      <c r="Q193" s="1829">
        <v>329081528.61000001</v>
      </c>
      <c r="R193" s="1829">
        <v>100030185.40000001</v>
      </c>
      <c r="S193" s="1829">
        <v>214358068.66999999</v>
      </c>
      <c r="T193" s="2011">
        <v>19561396.190000001</v>
      </c>
      <c r="U193" s="649">
        <v>105270022.68000001</v>
      </c>
      <c r="V193" s="649">
        <v>180877492.46000001</v>
      </c>
      <c r="W193" s="649">
        <v>67369163.519999996</v>
      </c>
      <c r="X193" s="649">
        <v>43520281.399999999</v>
      </c>
      <c r="Y193" s="649">
        <v>130660907.44</v>
      </c>
      <c r="Z193" s="649">
        <v>23055191.449999999</v>
      </c>
      <c r="AA193" s="1827">
        <v>20402159.68</v>
      </c>
      <c r="AB193" s="649">
        <v>4772203.26</v>
      </c>
      <c r="AC193" s="649">
        <v>17785646.120000001</v>
      </c>
      <c r="AD193" s="649">
        <v>52118390.619999997</v>
      </c>
      <c r="AE193" s="649">
        <v>15454231.02</v>
      </c>
      <c r="AF193" s="1288">
        <v>0</v>
      </c>
      <c r="AG193" s="649">
        <v>0</v>
      </c>
      <c r="AI193" s="649">
        <f t="shared" si="29"/>
        <v>1736388656.47</v>
      </c>
    </row>
    <row r="194" spans="1:35" x14ac:dyDescent="0.2">
      <c r="A194" s="335">
        <v>2330</v>
      </c>
      <c r="B194" s="2876" t="s">
        <v>1426</v>
      </c>
      <c r="C194" s="2876"/>
      <c r="D194" t="str">
        <f t="shared" si="30"/>
        <v>OK</v>
      </c>
      <c r="E194" s="649">
        <v>4009397330.6999998</v>
      </c>
      <c r="F194" s="649">
        <v>2361574427</v>
      </c>
      <c r="G194" s="649">
        <v>191952</v>
      </c>
      <c r="H194" s="649">
        <v>0</v>
      </c>
      <c r="I194" s="649">
        <v>1215056082.99</v>
      </c>
      <c r="J194" s="649">
        <v>39609163.329999998</v>
      </c>
      <c r="K194" s="649">
        <v>201844370.08000001</v>
      </c>
      <c r="L194" s="649"/>
      <c r="M194" s="649">
        <v>52443735.539999999</v>
      </c>
      <c r="N194" s="649">
        <v>138677599.75999999</v>
      </c>
      <c r="O194" s="2011">
        <v>0</v>
      </c>
      <c r="P194" s="1987">
        <v>545209574.26999998</v>
      </c>
      <c r="Q194" s="1829">
        <v>0</v>
      </c>
      <c r="R194" s="1829">
        <v>0</v>
      </c>
      <c r="S194" s="1829">
        <v>0</v>
      </c>
      <c r="T194" s="2011">
        <v>0</v>
      </c>
      <c r="U194" s="649">
        <v>0</v>
      </c>
      <c r="V194" s="649">
        <v>233127640.86000001</v>
      </c>
      <c r="W194" s="649">
        <v>0</v>
      </c>
      <c r="X194" s="649">
        <v>0</v>
      </c>
      <c r="Y194" s="649">
        <v>0</v>
      </c>
      <c r="Z194" s="649">
        <v>0</v>
      </c>
      <c r="AA194" s="649">
        <v>0</v>
      </c>
      <c r="AB194" s="649">
        <v>0</v>
      </c>
      <c r="AC194" s="649">
        <v>0</v>
      </c>
      <c r="AD194" s="649">
        <v>0</v>
      </c>
      <c r="AE194" s="649">
        <v>0</v>
      </c>
      <c r="AF194" s="1288">
        <v>0</v>
      </c>
      <c r="AG194" s="649">
        <v>0</v>
      </c>
      <c r="AI194" s="649">
        <f t="shared" si="29"/>
        <v>4787734545.8299999</v>
      </c>
    </row>
    <row r="195" spans="1:35" x14ac:dyDescent="0.2">
      <c r="A195" s="335">
        <v>2350</v>
      </c>
      <c r="B195" s="2876" t="s">
        <v>1427</v>
      </c>
      <c r="C195" s="2876"/>
      <c r="D195" t="str">
        <f t="shared" si="30"/>
        <v>OK</v>
      </c>
      <c r="E195" s="649">
        <v>0</v>
      </c>
      <c r="F195" s="649">
        <v>0</v>
      </c>
      <c r="G195" s="649">
        <v>0</v>
      </c>
      <c r="H195" s="649">
        <v>0</v>
      </c>
      <c r="I195" s="649">
        <v>0</v>
      </c>
      <c r="J195" s="649">
        <v>0</v>
      </c>
      <c r="K195" s="649">
        <v>0</v>
      </c>
      <c r="L195" s="649"/>
      <c r="M195" s="649">
        <v>0</v>
      </c>
      <c r="N195" s="649">
        <v>0</v>
      </c>
      <c r="O195" s="2011">
        <v>0</v>
      </c>
      <c r="P195" s="1987">
        <v>0</v>
      </c>
      <c r="Q195" s="1829">
        <v>23020618.43</v>
      </c>
      <c r="R195" s="1829">
        <v>0</v>
      </c>
      <c r="S195" s="1829">
        <v>0</v>
      </c>
      <c r="T195" s="2011">
        <v>0</v>
      </c>
      <c r="U195" s="649">
        <v>0</v>
      </c>
      <c r="V195" s="649">
        <v>0</v>
      </c>
      <c r="W195" s="649">
        <v>10712962.390000001</v>
      </c>
      <c r="X195" s="649">
        <v>0</v>
      </c>
      <c r="Y195" s="649">
        <v>0</v>
      </c>
      <c r="Z195" s="649">
        <v>0</v>
      </c>
      <c r="AA195" s="649">
        <v>0</v>
      </c>
      <c r="AB195" s="649">
        <v>0</v>
      </c>
      <c r="AC195" s="649">
        <v>0</v>
      </c>
      <c r="AD195" s="649">
        <v>0</v>
      </c>
      <c r="AE195" s="649">
        <v>0</v>
      </c>
      <c r="AF195" s="1288">
        <v>0</v>
      </c>
      <c r="AG195" s="649">
        <v>0</v>
      </c>
      <c r="AI195" s="649">
        <f t="shared" si="29"/>
        <v>33733580.82</v>
      </c>
    </row>
    <row r="196" spans="1:35" x14ac:dyDescent="0.2">
      <c r="A196" s="335">
        <v>2370</v>
      </c>
      <c r="B196" s="2876" t="s">
        <v>388</v>
      </c>
      <c r="C196" s="2876"/>
      <c r="D196" t="str">
        <f t="shared" si="30"/>
        <v>OK</v>
      </c>
      <c r="E196" s="649">
        <v>36771359</v>
      </c>
      <c r="F196" s="649">
        <v>0</v>
      </c>
      <c r="G196" s="649">
        <v>36771359</v>
      </c>
      <c r="H196" s="649">
        <v>0</v>
      </c>
      <c r="I196" s="649">
        <v>0</v>
      </c>
      <c r="J196" s="649">
        <v>0</v>
      </c>
      <c r="K196" s="649">
        <v>0</v>
      </c>
      <c r="L196" s="649"/>
      <c r="M196" s="649">
        <v>0</v>
      </c>
      <c r="N196" s="649">
        <v>0</v>
      </c>
      <c r="O196" s="2011">
        <v>0</v>
      </c>
      <c r="P196" s="1987">
        <v>763623334.87</v>
      </c>
      <c r="Q196" s="1829">
        <v>180385370.58000001</v>
      </c>
      <c r="R196" s="1829">
        <v>26449742.43</v>
      </c>
      <c r="S196" s="1829">
        <v>37205607.200000003</v>
      </c>
      <c r="T196" s="2011">
        <v>1869649.75</v>
      </c>
      <c r="U196" s="649">
        <v>7231863.8499999996</v>
      </c>
      <c r="V196" s="649">
        <v>36734686.780000001</v>
      </c>
      <c r="W196" s="649">
        <v>22637512.969999999</v>
      </c>
      <c r="X196" s="649">
        <v>5390042.9100000001</v>
      </c>
      <c r="Y196" s="649">
        <v>6342456.7199999997</v>
      </c>
      <c r="Z196" s="649">
        <v>0</v>
      </c>
      <c r="AA196" s="649">
        <v>0</v>
      </c>
      <c r="AB196" s="649">
        <v>0</v>
      </c>
      <c r="AC196" s="649">
        <v>321228.08</v>
      </c>
      <c r="AD196" s="649">
        <v>12341891.84</v>
      </c>
      <c r="AE196" s="649">
        <v>55674.48</v>
      </c>
      <c r="AF196" s="1288">
        <v>0</v>
      </c>
      <c r="AG196" s="649">
        <v>0</v>
      </c>
      <c r="AI196" s="649">
        <f t="shared" si="29"/>
        <v>1137360421.46</v>
      </c>
    </row>
    <row r="197" spans="1:35" x14ac:dyDescent="0.2">
      <c r="A197" s="335">
        <v>2390</v>
      </c>
      <c r="B197" s="2876" t="s">
        <v>389</v>
      </c>
      <c r="C197" s="2876"/>
      <c r="D197" t="str">
        <f t="shared" si="30"/>
        <v>OK</v>
      </c>
      <c r="E197" s="649">
        <v>0</v>
      </c>
      <c r="F197" s="649">
        <v>0</v>
      </c>
      <c r="G197" s="649">
        <v>0</v>
      </c>
      <c r="H197" s="649">
        <v>0</v>
      </c>
      <c r="I197" s="649">
        <v>0</v>
      </c>
      <c r="J197" s="649">
        <v>0</v>
      </c>
      <c r="K197" s="649">
        <v>0</v>
      </c>
      <c r="L197" s="649"/>
      <c r="M197" s="649">
        <v>0</v>
      </c>
      <c r="N197" s="649">
        <v>0</v>
      </c>
      <c r="O197" s="2011">
        <v>0</v>
      </c>
      <c r="P197" s="1987">
        <v>12375102.289999999</v>
      </c>
      <c r="Q197" s="1829">
        <v>52473340.789999999</v>
      </c>
      <c r="R197" s="1829">
        <v>9928004.7300000004</v>
      </c>
      <c r="S197" s="1829">
        <v>3289915.34</v>
      </c>
      <c r="T197" s="2011">
        <v>870224.46</v>
      </c>
      <c r="U197" s="649">
        <v>3420402.35</v>
      </c>
      <c r="V197" s="649">
        <v>8567529.1099999994</v>
      </c>
      <c r="W197" s="649">
        <v>5037128.5599999996</v>
      </c>
      <c r="X197" s="649">
        <v>800225.9</v>
      </c>
      <c r="Y197" s="649">
        <v>3135370.18</v>
      </c>
      <c r="Z197" s="649">
        <v>356519.22</v>
      </c>
      <c r="AA197" s="649">
        <v>0</v>
      </c>
      <c r="AB197" s="649">
        <v>0</v>
      </c>
      <c r="AC197" s="649">
        <v>0</v>
      </c>
      <c r="AD197" s="649">
        <v>127003.6</v>
      </c>
      <c r="AE197" s="649">
        <v>0</v>
      </c>
      <c r="AF197" s="1288">
        <v>0</v>
      </c>
      <c r="AG197" s="649">
        <v>0</v>
      </c>
      <c r="AI197" s="649">
        <f t="shared" si="29"/>
        <v>100380766.53</v>
      </c>
    </row>
    <row r="198" spans="1:35" x14ac:dyDescent="0.2">
      <c r="A198" s="335">
        <v>2400</v>
      </c>
      <c r="B198" s="2876" t="s">
        <v>390</v>
      </c>
      <c r="C198" s="2876"/>
      <c r="D198" t="str">
        <f t="shared" si="30"/>
        <v>OK</v>
      </c>
      <c r="E198" s="649">
        <v>16577820</v>
      </c>
      <c r="F198" s="649">
        <v>0</v>
      </c>
      <c r="G198" s="649">
        <v>16577820</v>
      </c>
      <c r="H198" s="649">
        <v>0</v>
      </c>
      <c r="I198" s="649">
        <v>0</v>
      </c>
      <c r="J198" s="649">
        <v>0</v>
      </c>
      <c r="K198" s="649">
        <v>0</v>
      </c>
      <c r="L198" s="649"/>
      <c r="M198" s="649">
        <v>0</v>
      </c>
      <c r="N198" s="649">
        <v>0</v>
      </c>
      <c r="O198" s="2011">
        <v>0</v>
      </c>
      <c r="P198" s="1987">
        <v>182500012.66999999</v>
      </c>
      <c r="Q198" s="1829">
        <v>94157324.709999993</v>
      </c>
      <c r="R198" s="1829">
        <v>1497993.85</v>
      </c>
      <c r="S198" s="1829">
        <v>5333401.76</v>
      </c>
      <c r="T198" s="2011">
        <v>1060544.52</v>
      </c>
      <c r="U198" s="649">
        <v>1754763.89</v>
      </c>
      <c r="V198" s="649">
        <v>13521801.939999999</v>
      </c>
      <c r="W198" s="649">
        <v>1238393.6000000001</v>
      </c>
      <c r="X198" s="649">
        <v>765479.19</v>
      </c>
      <c r="Y198" s="649">
        <v>587345.55000000005</v>
      </c>
      <c r="Z198" s="649">
        <v>101969.2</v>
      </c>
      <c r="AA198" s="649">
        <v>0</v>
      </c>
      <c r="AB198" s="649">
        <v>0</v>
      </c>
      <c r="AC198" s="649">
        <v>0</v>
      </c>
      <c r="AD198" s="649">
        <v>1237609.6599999999</v>
      </c>
      <c r="AE198" s="649">
        <v>0</v>
      </c>
      <c r="AF198" s="1288">
        <v>1118301</v>
      </c>
      <c r="AG198" s="649">
        <v>0</v>
      </c>
      <c r="AI198" s="649">
        <f t="shared" si="29"/>
        <v>321452761.54000002</v>
      </c>
    </row>
    <row r="199" spans="1:35" ht="15" x14ac:dyDescent="0.25">
      <c r="A199" s="335">
        <v>2410</v>
      </c>
      <c r="B199" s="2876" t="s">
        <v>391</v>
      </c>
      <c r="C199" s="2876"/>
      <c r="D199" t="str">
        <f t="shared" si="30"/>
        <v>OK</v>
      </c>
      <c r="E199" s="649">
        <v>0</v>
      </c>
      <c r="F199" s="649">
        <v>0</v>
      </c>
      <c r="G199" s="649">
        <v>0</v>
      </c>
      <c r="H199" s="649">
        <v>0</v>
      </c>
      <c r="I199" s="649">
        <v>0</v>
      </c>
      <c r="J199" s="649">
        <v>0</v>
      </c>
      <c r="K199" s="649">
        <v>0</v>
      </c>
      <c r="L199" s="649"/>
      <c r="M199" s="649">
        <v>0</v>
      </c>
      <c r="N199" s="649">
        <v>0</v>
      </c>
      <c r="O199" s="2011">
        <v>0</v>
      </c>
      <c r="P199" s="1987">
        <v>951583.87</v>
      </c>
      <c r="Q199" s="1829">
        <v>219261.6</v>
      </c>
      <c r="R199" s="1829">
        <v>102749.3</v>
      </c>
      <c r="S199" s="1829">
        <v>173170.93</v>
      </c>
      <c r="T199" s="2011">
        <v>32038.58</v>
      </c>
      <c r="U199" s="649">
        <v>7567.69</v>
      </c>
      <c r="V199" s="649">
        <v>289319.75</v>
      </c>
      <c r="W199" s="649">
        <v>3539.53</v>
      </c>
      <c r="X199" s="649">
        <v>16239.5</v>
      </c>
      <c r="Y199" s="649">
        <v>53567.47</v>
      </c>
      <c r="Z199" s="649">
        <v>20764.25</v>
      </c>
      <c r="AA199" s="1827">
        <v>4.21</v>
      </c>
      <c r="AB199" s="649">
        <v>0</v>
      </c>
      <c r="AC199" s="649">
        <v>0</v>
      </c>
      <c r="AD199" s="649">
        <v>-58405.11</v>
      </c>
      <c r="AE199" s="649">
        <v>0</v>
      </c>
      <c r="AF199" s="1288">
        <v>7557.92</v>
      </c>
      <c r="AG199" s="649">
        <v>0</v>
      </c>
      <c r="AI199" s="649">
        <f t="shared" si="29"/>
        <v>1818959.49</v>
      </c>
    </row>
    <row r="200" spans="1:35" x14ac:dyDescent="0.2">
      <c r="A200" s="335">
        <v>2420</v>
      </c>
      <c r="B200" s="2876" t="s">
        <v>783</v>
      </c>
      <c r="C200" s="2876"/>
      <c r="D200" t="str">
        <f t="shared" si="30"/>
        <v>OK</v>
      </c>
      <c r="E200" s="649">
        <v>8059030</v>
      </c>
      <c r="F200" s="649">
        <v>0</v>
      </c>
      <c r="G200" s="649">
        <v>8059030</v>
      </c>
      <c r="H200" s="649">
        <v>0</v>
      </c>
      <c r="I200" s="649">
        <v>0</v>
      </c>
      <c r="J200" s="649">
        <v>0</v>
      </c>
      <c r="K200" s="649">
        <v>0</v>
      </c>
      <c r="L200" s="649"/>
      <c r="M200" s="649">
        <v>0</v>
      </c>
      <c r="N200" s="649">
        <v>0</v>
      </c>
      <c r="O200" s="2011">
        <v>327285.99</v>
      </c>
      <c r="P200" s="1987">
        <v>0</v>
      </c>
      <c r="Q200" s="1829">
        <v>6443915.9500000002</v>
      </c>
      <c r="R200" s="1829">
        <v>352420</v>
      </c>
      <c r="S200" s="1829">
        <v>1029669.59</v>
      </c>
      <c r="T200" s="2011">
        <v>421029.38</v>
      </c>
      <c r="U200" s="649">
        <v>699551.1</v>
      </c>
      <c r="V200" s="649">
        <v>260205.05</v>
      </c>
      <c r="W200" s="649">
        <v>0</v>
      </c>
      <c r="X200" s="649">
        <v>618554.36</v>
      </c>
      <c r="Y200" s="649">
        <v>201005.1</v>
      </c>
      <c r="Z200" s="649">
        <v>0</v>
      </c>
      <c r="AA200" s="649">
        <v>97185.72</v>
      </c>
      <c r="AB200" s="649">
        <v>183598.46</v>
      </c>
      <c r="AC200" s="649">
        <v>144961.69</v>
      </c>
      <c r="AD200" s="649">
        <v>0</v>
      </c>
      <c r="AE200" s="649">
        <v>1171603.1200000001</v>
      </c>
      <c r="AF200" s="1288">
        <v>2105061.5499999998</v>
      </c>
      <c r="AG200" s="649">
        <v>64502</v>
      </c>
      <c r="AI200" s="649">
        <f t="shared" si="29"/>
        <v>22115077.059999999</v>
      </c>
    </row>
    <row r="201" spans="1:35" x14ac:dyDescent="0.2">
      <c r="A201" s="335">
        <v>2430</v>
      </c>
      <c r="B201" s="2876" t="s">
        <v>8</v>
      </c>
      <c r="C201" s="2876"/>
      <c r="D201" s="2025" t="str">
        <f t="shared" si="30"/>
        <v>prob</v>
      </c>
      <c r="E201" s="649">
        <v>42982931.329999998</v>
      </c>
      <c r="F201" s="649">
        <v>0</v>
      </c>
      <c r="G201" s="649">
        <v>140794651</v>
      </c>
      <c r="H201" s="649">
        <v>0</v>
      </c>
      <c r="I201" s="649">
        <v>0</v>
      </c>
      <c r="J201" s="649">
        <v>0</v>
      </c>
      <c r="K201" s="649">
        <v>0</v>
      </c>
      <c r="L201" s="649"/>
      <c r="M201" s="649">
        <v>0</v>
      </c>
      <c r="N201" s="649">
        <v>0</v>
      </c>
      <c r="O201" s="2011">
        <v>0</v>
      </c>
      <c r="P201" s="1987">
        <v>1603809.55</v>
      </c>
      <c r="Q201" s="1829">
        <v>382</v>
      </c>
      <c r="R201" s="1829">
        <v>0</v>
      </c>
      <c r="S201" s="1829">
        <v>597045.67000000004</v>
      </c>
      <c r="T201" s="2011">
        <v>458928.59</v>
      </c>
      <c r="U201" s="649">
        <v>766373.18</v>
      </c>
      <c r="V201" s="649">
        <v>40868.639999999999</v>
      </c>
      <c r="W201" s="649">
        <v>0</v>
      </c>
      <c r="X201" s="649">
        <v>505752.45</v>
      </c>
      <c r="Y201" s="649">
        <v>0</v>
      </c>
      <c r="Z201" s="649">
        <v>0</v>
      </c>
      <c r="AA201" s="649">
        <v>529.29</v>
      </c>
      <c r="AB201" s="649">
        <v>0</v>
      </c>
      <c r="AC201" s="649">
        <v>68428.600000000006</v>
      </c>
      <c r="AD201" s="649">
        <v>0</v>
      </c>
      <c r="AE201" s="649">
        <v>0</v>
      </c>
      <c r="AF201" s="1288">
        <v>0</v>
      </c>
      <c r="AG201" s="649">
        <v>1097280</v>
      </c>
      <c r="AI201" s="649">
        <f t="shared" si="29"/>
        <v>144836768.97</v>
      </c>
    </row>
    <row r="202" spans="1:35" x14ac:dyDescent="0.2">
      <c r="A202" s="335">
        <v>2450</v>
      </c>
      <c r="B202" s="2876" t="s">
        <v>643</v>
      </c>
      <c r="C202" s="2876"/>
      <c r="D202" t="str">
        <f t="shared" si="30"/>
        <v>prob</v>
      </c>
      <c r="E202" s="651">
        <v>165449704.06</v>
      </c>
      <c r="F202" s="651">
        <v>36225406.100000001</v>
      </c>
      <c r="G202" s="651">
        <v>2318716</v>
      </c>
      <c r="H202" s="651">
        <v>0</v>
      </c>
      <c r="I202" s="651">
        <v>0</v>
      </c>
      <c r="J202" s="651">
        <v>1244718.8899999999</v>
      </c>
      <c r="K202" s="651">
        <v>119307314.39</v>
      </c>
      <c r="L202" s="651"/>
      <c r="M202" s="651">
        <v>1918592.7</v>
      </c>
      <c r="N202" s="651">
        <v>5969561.9800000004</v>
      </c>
      <c r="O202" s="2011">
        <v>31882.85</v>
      </c>
      <c r="P202" s="1987">
        <v>3512734.23</v>
      </c>
      <c r="Q202" s="1829">
        <v>12814762.199999999</v>
      </c>
      <c r="R202" s="1829">
        <v>2775637.24</v>
      </c>
      <c r="S202" s="1829">
        <v>2032825.12</v>
      </c>
      <c r="T202" s="2011">
        <v>893466.12</v>
      </c>
      <c r="U202" s="651">
        <v>2787175.56</v>
      </c>
      <c r="V202" s="651">
        <v>876069.74</v>
      </c>
      <c r="W202" s="651">
        <v>5704444.9500000002</v>
      </c>
      <c r="X202" s="651">
        <v>2055516.48</v>
      </c>
      <c r="Y202" s="651">
        <v>3123343.73</v>
      </c>
      <c r="Z202" s="651">
        <v>3101679.51</v>
      </c>
      <c r="AA202" s="651">
        <v>2682623.25</v>
      </c>
      <c r="AB202" s="651">
        <v>947677.72</v>
      </c>
      <c r="AC202" s="651">
        <v>1452388.19</v>
      </c>
      <c r="AD202" s="651">
        <v>6921803.0099999998</v>
      </c>
      <c r="AE202" s="651">
        <v>0</v>
      </c>
      <c r="AF202" s="1828">
        <v>526838.17000000004</v>
      </c>
      <c r="AG202" s="651">
        <v>123028.75</v>
      </c>
      <c r="AI202" s="649">
        <f t="shared" si="29"/>
        <v>219225178.13</v>
      </c>
    </row>
    <row r="203" spans="1:35" x14ac:dyDescent="0.2">
      <c r="A203" s="785"/>
      <c r="B203" s="2876" t="s">
        <v>392</v>
      </c>
      <c r="C203" s="2876"/>
      <c r="D203" t="str">
        <f t="shared" si="30"/>
        <v>prob</v>
      </c>
      <c r="E203" s="661">
        <f t="shared" ref="E203:AG203" si="31">SUM(E192:E202)</f>
        <v>4348438283.7600002</v>
      </c>
      <c r="F203" s="661">
        <f t="shared" si="31"/>
        <v>2397799833.0999999</v>
      </c>
      <c r="G203" s="661">
        <f t="shared" si="31"/>
        <v>204713528</v>
      </c>
      <c r="H203" s="661">
        <f t="shared" si="31"/>
        <v>2850000</v>
      </c>
      <c r="I203" s="661">
        <f t="shared" si="31"/>
        <v>1281406191.6600001</v>
      </c>
      <c r="J203" s="661">
        <f t="shared" si="31"/>
        <v>40853882.219999999</v>
      </c>
      <c r="K203" s="661">
        <f t="shared" si="31"/>
        <v>321151684.47000003</v>
      </c>
      <c r="L203" s="661">
        <f t="shared" si="31"/>
        <v>0</v>
      </c>
      <c r="M203" s="661">
        <f t="shared" si="31"/>
        <v>54362328.240000002</v>
      </c>
      <c r="N203" s="661">
        <f t="shared" si="31"/>
        <v>144647161.74000001</v>
      </c>
      <c r="O203" s="706">
        <f t="shared" si="31"/>
        <v>13190437.220000001</v>
      </c>
      <c r="P203" s="661">
        <f t="shared" si="31"/>
        <v>2319216888.25</v>
      </c>
      <c r="Q203" s="661">
        <f t="shared" si="31"/>
        <v>877663924.97000003</v>
      </c>
      <c r="R203" s="661">
        <f t="shared" si="31"/>
        <v>182512516.12</v>
      </c>
      <c r="S203" s="661">
        <f t="shared" si="31"/>
        <v>302522684.72000003</v>
      </c>
      <c r="T203" s="661">
        <f t="shared" si="31"/>
        <v>35119575.200000003</v>
      </c>
      <c r="U203" s="661">
        <f t="shared" si="31"/>
        <v>159225395.34</v>
      </c>
      <c r="V203" s="661">
        <f t="shared" si="31"/>
        <v>522007318.27999997</v>
      </c>
      <c r="W203" s="661">
        <f t="shared" si="31"/>
        <v>130894773.73999999</v>
      </c>
      <c r="X203" s="661">
        <f t="shared" si="31"/>
        <v>91719971.650000006</v>
      </c>
      <c r="Y203" s="661">
        <f t="shared" si="31"/>
        <v>213556819.38999999</v>
      </c>
      <c r="Z203" s="661">
        <f t="shared" si="31"/>
        <v>41015084.549999997</v>
      </c>
      <c r="AA203" s="661">
        <f t="shared" si="31"/>
        <v>40285976.460000001</v>
      </c>
      <c r="AB203" s="661">
        <f t="shared" si="31"/>
        <v>10501420.75</v>
      </c>
      <c r="AC203" s="661">
        <f t="shared" si="31"/>
        <v>27925669.16</v>
      </c>
      <c r="AD203" s="661">
        <f t="shared" si="31"/>
        <v>98521320.230000004</v>
      </c>
      <c r="AE203" s="661">
        <f t="shared" si="31"/>
        <v>22883971.399999999</v>
      </c>
      <c r="AF203" s="661">
        <f t="shared" si="31"/>
        <v>6371754.5199999996</v>
      </c>
      <c r="AG203" s="661">
        <f t="shared" si="31"/>
        <v>1829792.48</v>
      </c>
      <c r="AI203" s="649">
        <f t="shared" si="29"/>
        <v>9542920111.3799992</v>
      </c>
    </row>
    <row r="204" spans="1:35" x14ac:dyDescent="0.2">
      <c r="B204" s="398"/>
      <c r="C204" s="398"/>
      <c r="E204" s="649"/>
      <c r="F204" s="649"/>
      <c r="G204" s="649"/>
      <c r="H204" s="649"/>
      <c r="I204" s="649"/>
      <c r="J204" s="649"/>
      <c r="K204" s="649"/>
      <c r="L204" s="649"/>
      <c r="M204" s="649"/>
      <c r="N204" s="649"/>
      <c r="O204" s="393"/>
      <c r="P204" s="649"/>
      <c r="Q204" s="649"/>
      <c r="R204" s="649"/>
      <c r="S204" s="649"/>
      <c r="T204" s="649"/>
      <c r="U204" s="649"/>
      <c r="V204" s="649"/>
      <c r="W204" s="649"/>
      <c r="X204" s="649"/>
      <c r="Y204" s="649"/>
      <c r="Z204" s="649"/>
      <c r="AA204" s="649"/>
      <c r="AB204" s="649"/>
      <c r="AC204" s="649"/>
      <c r="AD204" s="649"/>
      <c r="AE204" s="649"/>
      <c r="AF204" s="649"/>
      <c r="AG204" s="649"/>
      <c r="AI204" s="649">
        <f t="shared" si="29"/>
        <v>0</v>
      </c>
    </row>
    <row r="205" spans="1:35" x14ac:dyDescent="0.2">
      <c r="B205" s="407" t="s">
        <v>393</v>
      </c>
      <c r="C205" s="407"/>
      <c r="E205" s="649"/>
      <c r="F205" s="649"/>
      <c r="G205" s="649"/>
      <c r="H205" s="649"/>
      <c r="I205" s="649"/>
      <c r="J205" s="649"/>
      <c r="K205" s="649"/>
      <c r="L205" s="649"/>
      <c r="M205" s="649"/>
      <c r="N205" s="649"/>
      <c r="O205" s="393"/>
      <c r="P205" s="649"/>
      <c r="Q205" s="649"/>
      <c r="R205" s="649"/>
      <c r="S205" s="649"/>
      <c r="T205" s="649"/>
      <c r="U205" s="649"/>
      <c r="V205" s="649"/>
      <c r="W205" s="649"/>
      <c r="X205" s="649"/>
      <c r="Y205" s="649"/>
      <c r="Z205" s="649"/>
      <c r="AA205" s="649"/>
      <c r="AB205" s="649"/>
      <c r="AC205" s="649"/>
      <c r="AD205" s="649"/>
      <c r="AE205" s="649"/>
      <c r="AF205" s="649"/>
      <c r="AG205" s="649"/>
      <c r="AI205" s="649">
        <f t="shared" si="29"/>
        <v>0</v>
      </c>
    </row>
    <row r="206" spans="1:35" x14ac:dyDescent="0.2">
      <c r="A206" s="335">
        <v>2490</v>
      </c>
      <c r="B206" s="2876" t="s">
        <v>394</v>
      </c>
      <c r="C206" s="2876"/>
      <c r="D206" t="str">
        <f>IF(SUM(F206:N206)-E206=0,"OK","prob")</f>
        <v>prob</v>
      </c>
      <c r="E206" s="649">
        <v>1807681486.1600001</v>
      </c>
      <c r="F206" s="649">
        <v>879417763.5</v>
      </c>
      <c r="G206" s="649">
        <v>0</v>
      </c>
      <c r="H206" s="649">
        <v>0</v>
      </c>
      <c r="I206" s="649">
        <v>593534746.20000005</v>
      </c>
      <c r="J206" s="649">
        <v>14119839.359999999</v>
      </c>
      <c r="K206" s="649">
        <v>218569463.06999999</v>
      </c>
      <c r="L206" s="649"/>
      <c r="M206" s="649">
        <v>30186606.699999999</v>
      </c>
      <c r="N206" s="649">
        <v>71853067.329999998</v>
      </c>
      <c r="O206" s="393">
        <v>40864681.509999998</v>
      </c>
      <c r="P206" s="1286">
        <v>1811778597.0699999</v>
      </c>
      <c r="Q206" s="649">
        <v>953216704.07000005</v>
      </c>
      <c r="R206" s="649">
        <v>281121503.67000002</v>
      </c>
      <c r="S206" s="649">
        <v>401245909.54000002</v>
      </c>
      <c r="T206" s="649">
        <v>56514365.020000003</v>
      </c>
      <c r="U206" s="649">
        <v>217064716.75</v>
      </c>
      <c r="V206" s="649">
        <v>571439084.91999996</v>
      </c>
      <c r="W206" s="649">
        <v>178781161.65000001</v>
      </c>
      <c r="X206" s="649">
        <v>142875165.87</v>
      </c>
      <c r="Y206" s="649">
        <v>263694624.49000001</v>
      </c>
      <c r="Z206" s="649">
        <v>77540157.400000006</v>
      </c>
      <c r="AA206" s="649">
        <v>69259917.75</v>
      </c>
      <c r="AB206" s="649">
        <v>31994423.02</v>
      </c>
      <c r="AC206" s="649">
        <v>72384051.340000004</v>
      </c>
      <c r="AD206" s="649">
        <v>119995339.76000001</v>
      </c>
      <c r="AE206" s="649">
        <v>43785867.390000001</v>
      </c>
      <c r="AF206" s="1288">
        <v>0</v>
      </c>
      <c r="AG206" s="649">
        <v>2074475.22</v>
      </c>
      <c r="AI206" s="649">
        <f t="shared" si="29"/>
        <v>7141237757.3800001</v>
      </c>
    </row>
    <row r="207" spans="1:35" x14ac:dyDescent="0.2">
      <c r="A207" s="335">
        <v>2510</v>
      </c>
      <c r="B207" s="2876" t="s">
        <v>395</v>
      </c>
      <c r="C207" s="2876"/>
      <c r="D207" t="str">
        <f>IF(ROUND(SUM(F207:N207),2)-ROUND(E207,2)=0,"OK","prob")</f>
        <v>OK</v>
      </c>
      <c r="E207" s="649">
        <v>1198554026.6900001</v>
      </c>
      <c r="F207" s="649">
        <v>757926240.41999996</v>
      </c>
      <c r="G207" s="649">
        <v>18804539.870000001</v>
      </c>
      <c r="H207" s="649">
        <v>0</v>
      </c>
      <c r="I207" s="649">
        <v>363699844.23000002</v>
      </c>
      <c r="J207" s="649">
        <v>3056094.67</v>
      </c>
      <c r="K207" s="649">
        <v>22495480.329999998</v>
      </c>
      <c r="L207" s="649"/>
      <c r="M207" s="649">
        <v>7156194.7599999998</v>
      </c>
      <c r="N207" s="649">
        <v>25415632.41</v>
      </c>
      <c r="O207" s="393">
        <v>3707302.17</v>
      </c>
      <c r="P207" s="1286">
        <v>192007910.84</v>
      </c>
      <c r="Q207" s="649">
        <v>98448939.890000001</v>
      </c>
      <c r="R207" s="649">
        <v>27984709.120000001</v>
      </c>
      <c r="S207" s="649">
        <v>30147968.879999999</v>
      </c>
      <c r="T207" s="649">
        <v>4232909.4400000004</v>
      </c>
      <c r="U207" s="649">
        <v>24569402.579999998</v>
      </c>
      <c r="V207" s="649">
        <v>50656785.890000001</v>
      </c>
      <c r="W207" s="649">
        <v>20002010.239999998</v>
      </c>
      <c r="X207" s="649">
        <v>23564421.579999998</v>
      </c>
      <c r="Y207" s="649">
        <v>22570658.75</v>
      </c>
      <c r="Z207" s="649">
        <v>14079063.02</v>
      </c>
      <c r="AA207" s="649">
        <v>8563525.6899999995</v>
      </c>
      <c r="AB207" s="649">
        <v>8647775.1699999999</v>
      </c>
      <c r="AC207" s="649">
        <v>9461782.1699999999</v>
      </c>
      <c r="AD207" s="649">
        <v>16252167.02</v>
      </c>
      <c r="AE207" s="649">
        <v>4692766.2699999996</v>
      </c>
      <c r="AF207" s="1288">
        <v>438228.86</v>
      </c>
      <c r="AG207" s="649">
        <v>71095.23</v>
      </c>
      <c r="AI207" s="649">
        <f t="shared" si="29"/>
        <v>1758582354.27</v>
      </c>
    </row>
    <row r="208" spans="1:35" x14ac:dyDescent="0.2">
      <c r="A208" s="335">
        <v>2520</v>
      </c>
      <c r="B208" s="2876" t="s">
        <v>396</v>
      </c>
      <c r="C208" s="2876"/>
      <c r="D208" s="2025" t="str">
        <f t="shared" ref="D208:D213" si="32">IF(SUM(F208:N208)-E208=0,"OK","prob")</f>
        <v>prob</v>
      </c>
      <c r="E208" s="649">
        <v>731877886.11000001</v>
      </c>
      <c r="F208" s="649">
        <v>414678606.31999999</v>
      </c>
      <c r="G208" s="649">
        <v>0</v>
      </c>
      <c r="H208" s="649">
        <v>129246</v>
      </c>
      <c r="I208" s="649">
        <v>231628462.43000001</v>
      </c>
      <c r="J208" s="649">
        <v>21092012.25</v>
      </c>
      <c r="K208" s="649">
        <v>103055316.77</v>
      </c>
      <c r="L208" s="649"/>
      <c r="M208" s="649">
        <v>24498129.989999998</v>
      </c>
      <c r="N208" s="649">
        <v>34607832.020000003</v>
      </c>
      <c r="O208" s="393">
        <v>33873748.469999999</v>
      </c>
      <c r="P208" s="1286">
        <v>784453111.02999997</v>
      </c>
      <c r="Q208" s="649">
        <v>209156225.25</v>
      </c>
      <c r="R208" s="649">
        <v>45151199.82</v>
      </c>
      <c r="S208" s="649">
        <v>70573648.719999999</v>
      </c>
      <c r="T208" s="649">
        <v>12169124.060000001</v>
      </c>
      <c r="U208" s="649">
        <v>49718104.07</v>
      </c>
      <c r="V208" s="649">
        <v>86615577.909999996</v>
      </c>
      <c r="W208" s="649">
        <v>43226390.350000001</v>
      </c>
      <c r="X208" s="649">
        <v>34658686.810000002</v>
      </c>
      <c r="Y208" s="649">
        <v>44968716.43</v>
      </c>
      <c r="Z208" s="649">
        <v>28363756.879999999</v>
      </c>
      <c r="AA208" s="649">
        <v>19602477.140000001</v>
      </c>
      <c r="AB208" s="649">
        <v>10525838.960000001</v>
      </c>
      <c r="AC208" s="649">
        <v>17187154.620000001</v>
      </c>
      <c r="AD208" s="649">
        <v>40423065.939999998</v>
      </c>
      <c r="AE208" s="649">
        <v>8743792.5500000007</v>
      </c>
      <c r="AF208" s="1288">
        <v>2125032.86</v>
      </c>
      <c r="AG208" s="649">
        <v>639197.37</v>
      </c>
      <c r="AI208" s="649">
        <f t="shared" si="29"/>
        <v>2371225257.6500001</v>
      </c>
    </row>
    <row r="209" spans="1:35" x14ac:dyDescent="0.2">
      <c r="A209" s="335">
        <v>2550</v>
      </c>
      <c r="B209" s="2876" t="s">
        <v>397</v>
      </c>
      <c r="C209" s="2876"/>
      <c r="D209" t="str">
        <f t="shared" si="32"/>
        <v>OK</v>
      </c>
      <c r="E209" s="649">
        <v>0</v>
      </c>
      <c r="F209" s="649">
        <v>0</v>
      </c>
      <c r="G209" s="649">
        <v>0</v>
      </c>
      <c r="H209" s="649">
        <v>0</v>
      </c>
      <c r="I209" s="649">
        <v>0</v>
      </c>
      <c r="J209" s="649">
        <v>0</v>
      </c>
      <c r="K209" s="649">
        <v>0</v>
      </c>
      <c r="L209" s="649"/>
      <c r="M209" s="649">
        <v>0</v>
      </c>
      <c r="N209" s="649">
        <v>0</v>
      </c>
      <c r="O209" s="393">
        <v>0</v>
      </c>
      <c r="P209" s="1286">
        <v>282314.88</v>
      </c>
      <c r="Q209" s="649">
        <v>22893305.149999999</v>
      </c>
      <c r="R209" s="649">
        <v>317303.08</v>
      </c>
      <c r="S209" s="649">
        <v>4675478.55</v>
      </c>
      <c r="T209" s="649">
        <v>6373.29</v>
      </c>
      <c r="U209" s="649">
        <v>1141474.5</v>
      </c>
      <c r="V209" s="649">
        <v>35499623.810000002</v>
      </c>
      <c r="W209" s="649">
        <v>0</v>
      </c>
      <c r="X209" s="649">
        <v>5549514.9299999997</v>
      </c>
      <c r="Y209" s="649">
        <v>20313608.850000001</v>
      </c>
      <c r="Z209" s="649">
        <v>0</v>
      </c>
      <c r="AA209" s="649">
        <v>39625</v>
      </c>
      <c r="AB209" s="649">
        <v>37500</v>
      </c>
      <c r="AC209" s="649">
        <v>0</v>
      </c>
      <c r="AD209" s="649">
        <v>0</v>
      </c>
      <c r="AE209" s="393">
        <v>0</v>
      </c>
      <c r="AF209" s="1288">
        <v>0</v>
      </c>
      <c r="AG209" s="649">
        <v>217327.97</v>
      </c>
      <c r="AI209" s="649">
        <f t="shared" si="29"/>
        <v>90756122.040000007</v>
      </c>
    </row>
    <row r="210" spans="1:35" x14ac:dyDescent="0.2">
      <c r="A210" s="335">
        <v>2540</v>
      </c>
      <c r="B210" s="2876" t="s">
        <v>1171</v>
      </c>
      <c r="C210" s="2876"/>
      <c r="D210" t="str">
        <f t="shared" si="32"/>
        <v>prob</v>
      </c>
      <c r="E210" s="649">
        <v>4734632</v>
      </c>
      <c r="F210" s="649">
        <v>0</v>
      </c>
      <c r="G210" s="649">
        <v>0</v>
      </c>
      <c r="H210" s="649">
        <v>6269238</v>
      </c>
      <c r="I210" s="649">
        <v>0</v>
      </c>
      <c r="J210" s="649">
        <v>0</v>
      </c>
      <c r="K210" s="649">
        <v>0</v>
      </c>
      <c r="L210" s="649"/>
      <c r="M210" s="649">
        <v>0</v>
      </c>
      <c r="N210" s="649">
        <v>0</v>
      </c>
      <c r="O210" s="393">
        <v>0</v>
      </c>
      <c r="P210" s="1286">
        <v>185517.45</v>
      </c>
      <c r="Q210" s="649">
        <v>83806.559999999998</v>
      </c>
      <c r="R210" s="649">
        <v>107388.49</v>
      </c>
      <c r="S210" s="649">
        <v>16734.240000000002</v>
      </c>
      <c r="T210" s="649">
        <v>0</v>
      </c>
      <c r="U210" s="649">
        <v>23043.21</v>
      </c>
      <c r="V210" s="649">
        <v>47190.13</v>
      </c>
      <c r="W210" s="649">
        <v>48419.44</v>
      </c>
      <c r="X210" s="649">
        <v>41844.49</v>
      </c>
      <c r="Y210" s="649">
        <v>36793.379999999997</v>
      </c>
      <c r="Z210" s="649">
        <v>0</v>
      </c>
      <c r="AA210" s="649">
        <v>8115.12</v>
      </c>
      <c r="AB210" s="649">
        <v>30970.68</v>
      </c>
      <c r="AC210" s="649">
        <v>0</v>
      </c>
      <c r="AD210" s="649">
        <v>0</v>
      </c>
      <c r="AE210" s="649">
        <v>17941.96</v>
      </c>
      <c r="AF210" s="1288">
        <v>0</v>
      </c>
      <c r="AG210" s="649">
        <v>0</v>
      </c>
      <c r="AI210" s="649">
        <f t="shared" si="29"/>
        <v>6917003.1500000004</v>
      </c>
    </row>
    <row r="211" spans="1:35" x14ac:dyDescent="0.2">
      <c r="A211" s="335">
        <v>2560</v>
      </c>
      <c r="B211" s="2876" t="s">
        <v>379</v>
      </c>
      <c r="C211" s="2876"/>
      <c r="D211" t="str">
        <f t="shared" si="32"/>
        <v>prob</v>
      </c>
      <c r="E211" s="649">
        <v>197154684.15000001</v>
      </c>
      <c r="F211" s="649">
        <v>87957773</v>
      </c>
      <c r="G211" s="649">
        <v>47091304</v>
      </c>
      <c r="H211" s="649">
        <v>0</v>
      </c>
      <c r="I211" s="649">
        <v>48259861.810000002</v>
      </c>
      <c r="J211" s="649">
        <v>2021562.26</v>
      </c>
      <c r="K211" s="649">
        <v>2277323.34</v>
      </c>
      <c r="L211" s="649"/>
      <c r="M211" s="649">
        <v>1983331.01</v>
      </c>
      <c r="N211" s="649">
        <v>7563528.7300000004</v>
      </c>
      <c r="O211" s="393">
        <v>4922100.58</v>
      </c>
      <c r="P211" s="1286">
        <v>159181030.25</v>
      </c>
      <c r="Q211" s="649">
        <v>114947437.93000001</v>
      </c>
      <c r="R211" s="649">
        <v>24614292.350000001</v>
      </c>
      <c r="S211" s="649">
        <v>35169232.280000001</v>
      </c>
      <c r="T211" s="649">
        <v>6704747.4500000002</v>
      </c>
      <c r="U211" s="649">
        <v>16741544.76</v>
      </c>
      <c r="V211" s="649">
        <v>36738693.600000001</v>
      </c>
      <c r="W211" s="649">
        <v>14658461.67</v>
      </c>
      <c r="X211" s="649">
        <v>10507106.83</v>
      </c>
      <c r="Y211" s="649">
        <v>24429627.690000001</v>
      </c>
      <c r="Z211" s="649">
        <v>7357875.3499999996</v>
      </c>
      <c r="AA211" s="649">
        <v>9461147.6099999994</v>
      </c>
      <c r="AB211" s="649">
        <v>4493031.9000000004</v>
      </c>
      <c r="AC211" s="649">
        <v>5013207.62</v>
      </c>
      <c r="AD211" s="649">
        <v>12492915.74</v>
      </c>
      <c r="AE211" s="649">
        <v>4154727.01</v>
      </c>
      <c r="AF211" s="1288">
        <v>2469187.69</v>
      </c>
      <c r="AG211" s="649">
        <v>178146.74</v>
      </c>
      <c r="AI211" s="649">
        <f t="shared" si="29"/>
        <v>691211052.46000004</v>
      </c>
    </row>
    <row r="212" spans="1:35" x14ac:dyDescent="0.2">
      <c r="A212" s="335">
        <v>2570</v>
      </c>
      <c r="B212" s="2876" t="s">
        <v>1183</v>
      </c>
      <c r="C212" s="2876"/>
      <c r="D212" t="str">
        <f t="shared" si="32"/>
        <v>OK</v>
      </c>
      <c r="E212" s="649">
        <v>8495355.6500000004</v>
      </c>
      <c r="F212" s="649">
        <v>0</v>
      </c>
      <c r="G212" s="649">
        <v>0</v>
      </c>
      <c r="H212" s="649">
        <v>39083</v>
      </c>
      <c r="I212" s="649">
        <v>5554244.3200000003</v>
      </c>
      <c r="J212" s="649">
        <v>0</v>
      </c>
      <c r="K212" s="649">
        <v>1589418.01</v>
      </c>
      <c r="L212" s="649"/>
      <c r="M212" s="649">
        <v>479230.95</v>
      </c>
      <c r="N212" s="649">
        <v>833379.37</v>
      </c>
      <c r="O212" s="393">
        <v>1241142.73</v>
      </c>
      <c r="P212" s="1286">
        <v>7086893.7300000004</v>
      </c>
      <c r="Q212" s="649">
        <v>3666545.94</v>
      </c>
      <c r="R212" s="649">
        <v>1646249.15</v>
      </c>
      <c r="S212" s="649">
        <v>12056864.27</v>
      </c>
      <c r="T212" s="649">
        <v>647071.54</v>
      </c>
      <c r="U212" s="649">
        <v>3721680.75</v>
      </c>
      <c r="V212" s="649">
        <v>7145810.7599999998</v>
      </c>
      <c r="W212" s="649">
        <v>1131733.1599999999</v>
      </c>
      <c r="X212" s="649">
        <v>1029237.66</v>
      </c>
      <c r="Y212" s="649">
        <v>1254044.97</v>
      </c>
      <c r="Z212" s="649">
        <v>2563821.56</v>
      </c>
      <c r="AA212" s="649">
        <v>1724489.14</v>
      </c>
      <c r="AB212" s="649">
        <v>1480127.77</v>
      </c>
      <c r="AC212" s="649">
        <v>460118.58</v>
      </c>
      <c r="AD212" s="649">
        <v>922042.48</v>
      </c>
      <c r="AE212" s="649">
        <v>443801.14</v>
      </c>
      <c r="AF212" s="1288">
        <v>107156.09</v>
      </c>
      <c r="AG212" s="649">
        <v>23069.599999999999</v>
      </c>
      <c r="AI212" s="649">
        <f t="shared" si="29"/>
        <v>56824187.07</v>
      </c>
    </row>
    <row r="213" spans="1:35" x14ac:dyDescent="0.2">
      <c r="A213" s="335">
        <v>2590</v>
      </c>
      <c r="B213" s="2876" t="s">
        <v>1428</v>
      </c>
      <c r="C213" s="2876"/>
      <c r="D213" t="str">
        <f t="shared" si="32"/>
        <v>OK</v>
      </c>
      <c r="E213" s="649">
        <v>0</v>
      </c>
      <c r="F213" s="649">
        <v>0</v>
      </c>
      <c r="G213" s="649">
        <v>0</v>
      </c>
      <c r="H213" s="649">
        <v>0</v>
      </c>
      <c r="I213" s="649">
        <v>0</v>
      </c>
      <c r="J213" s="649">
        <v>0</v>
      </c>
      <c r="K213" s="649">
        <v>0</v>
      </c>
      <c r="L213" s="649"/>
      <c r="M213" s="649">
        <v>0</v>
      </c>
      <c r="N213" s="649">
        <v>0</v>
      </c>
      <c r="O213" s="393">
        <v>0</v>
      </c>
      <c r="P213" s="1286">
        <v>121919611.23</v>
      </c>
      <c r="Q213" s="649">
        <v>69942017.599999994</v>
      </c>
      <c r="R213" s="649">
        <v>38104641.729999997</v>
      </c>
      <c r="S213" s="649">
        <v>72114513.299999997</v>
      </c>
      <c r="T213" s="649">
        <v>7165285.2199999997</v>
      </c>
      <c r="U213" s="649">
        <v>41958140.619999997</v>
      </c>
      <c r="V213" s="649">
        <v>54831838.969999999</v>
      </c>
      <c r="W213" s="649">
        <v>37532508.369999997</v>
      </c>
      <c r="X213" s="649">
        <v>24540351.68</v>
      </c>
      <c r="Y213" s="649">
        <v>46451744.140000001</v>
      </c>
      <c r="Z213" s="649">
        <v>16825822.32</v>
      </c>
      <c r="AA213" s="649">
        <v>15868741.939999999</v>
      </c>
      <c r="AB213" s="649">
        <v>7593469.4800000004</v>
      </c>
      <c r="AC213" s="649">
        <v>17039088.690000001</v>
      </c>
      <c r="AD213" s="649">
        <v>29143538.050000001</v>
      </c>
      <c r="AE213" s="649">
        <v>1730314.51</v>
      </c>
      <c r="AF213" s="1288">
        <v>0</v>
      </c>
      <c r="AG213" s="649">
        <v>0</v>
      </c>
      <c r="AI213" s="649">
        <f t="shared" si="29"/>
        <v>602761627.85000002</v>
      </c>
    </row>
    <row r="214" spans="1:35" x14ac:dyDescent="0.2">
      <c r="A214" s="335"/>
      <c r="B214" s="335" t="s">
        <v>635</v>
      </c>
      <c r="C214" s="335"/>
      <c r="E214" s="649"/>
      <c r="F214" s="649"/>
      <c r="G214" s="649"/>
      <c r="H214" s="649"/>
      <c r="I214" s="649"/>
      <c r="J214" s="649"/>
      <c r="K214" s="649"/>
      <c r="L214" s="649"/>
      <c r="M214" s="649"/>
      <c r="N214" s="649"/>
      <c r="O214" s="393"/>
      <c r="P214" s="1286"/>
      <c r="Q214" s="649"/>
      <c r="R214" s="649"/>
      <c r="S214" s="649"/>
      <c r="T214" s="649"/>
      <c r="U214" s="649"/>
      <c r="V214" s="649"/>
      <c r="W214" s="649"/>
      <c r="X214" s="649"/>
      <c r="Y214" s="649"/>
      <c r="Z214" s="649"/>
      <c r="AA214" s="649"/>
      <c r="AB214" s="649"/>
      <c r="AC214" s="649"/>
      <c r="AD214" s="649"/>
      <c r="AE214" s="649"/>
      <c r="AF214" s="1288"/>
      <c r="AG214" s="649"/>
      <c r="AI214" s="649">
        <f t="shared" si="29"/>
        <v>0</v>
      </c>
    </row>
    <row r="215" spans="1:35" x14ac:dyDescent="0.2">
      <c r="A215" s="335">
        <v>2610</v>
      </c>
      <c r="B215" s="3007" t="s">
        <v>1429</v>
      </c>
      <c r="C215" s="3007"/>
      <c r="D215" t="str">
        <f>IF(SUM(F215:N215)-E215=0,"OK","prob")</f>
        <v>OK</v>
      </c>
      <c r="E215" s="649">
        <v>2654788</v>
      </c>
      <c r="F215" s="649">
        <v>2654788</v>
      </c>
      <c r="G215" s="649">
        <v>0</v>
      </c>
      <c r="H215" s="649">
        <v>0</v>
      </c>
      <c r="I215" s="649">
        <v>0</v>
      </c>
      <c r="J215" s="649">
        <v>0</v>
      </c>
      <c r="K215" s="649">
        <v>0</v>
      </c>
      <c r="L215" s="649"/>
      <c r="M215" s="649">
        <v>0</v>
      </c>
      <c r="N215" s="649">
        <v>0</v>
      </c>
      <c r="O215" s="393">
        <v>1182337.76</v>
      </c>
      <c r="P215" s="1286">
        <v>24130019.16</v>
      </c>
      <c r="Q215" s="649">
        <v>22636779.859999999</v>
      </c>
      <c r="R215" s="649">
        <v>5048564.42</v>
      </c>
      <c r="S215" s="649">
        <v>8829782.3900000006</v>
      </c>
      <c r="T215" s="649">
        <v>1066706.93</v>
      </c>
      <c r="U215" s="649">
        <v>4246642.03</v>
      </c>
      <c r="V215" s="649">
        <v>14654079.529999999</v>
      </c>
      <c r="W215" s="649">
        <v>5255247.8499999996</v>
      </c>
      <c r="X215" s="649">
        <v>3158510.09</v>
      </c>
      <c r="Y215" s="649">
        <v>3562768.82</v>
      </c>
      <c r="Z215" s="649">
        <v>3085982.51</v>
      </c>
      <c r="AA215" s="649">
        <v>5738061.4800000004</v>
      </c>
      <c r="AB215" s="649">
        <v>3408524.77</v>
      </c>
      <c r="AC215" s="649">
        <v>2934828.89</v>
      </c>
      <c r="AD215" s="649">
        <v>2448094.3199999998</v>
      </c>
      <c r="AE215" s="649">
        <v>2131203.61</v>
      </c>
      <c r="AF215" s="1288">
        <v>236250</v>
      </c>
      <c r="AG215" s="649">
        <v>0</v>
      </c>
      <c r="AI215" s="649">
        <f t="shared" si="29"/>
        <v>116409172.42</v>
      </c>
    </row>
    <row r="216" spans="1:35" x14ac:dyDescent="0.2">
      <c r="A216" s="335">
        <v>2625</v>
      </c>
      <c r="B216" s="3007" t="s">
        <v>1464</v>
      </c>
      <c r="C216" s="3007"/>
      <c r="D216" t="str">
        <f>IF(SUM(F216:N216)-E216=0,"OK","prob")</f>
        <v>OK</v>
      </c>
      <c r="E216" s="649">
        <v>0</v>
      </c>
      <c r="F216" s="649">
        <v>0</v>
      </c>
      <c r="G216" s="649">
        <v>0</v>
      </c>
      <c r="H216" s="649">
        <v>0</v>
      </c>
      <c r="I216" s="649">
        <v>0</v>
      </c>
      <c r="J216" s="649">
        <v>0</v>
      </c>
      <c r="K216" s="649">
        <v>0</v>
      </c>
      <c r="L216" s="649"/>
      <c r="M216" s="649">
        <v>0</v>
      </c>
      <c r="N216" s="649">
        <v>0</v>
      </c>
      <c r="O216" s="393">
        <v>0</v>
      </c>
      <c r="P216" s="1286">
        <v>98666.97</v>
      </c>
      <c r="Q216" s="649">
        <v>0</v>
      </c>
      <c r="R216" s="649">
        <v>5839482.6699999999</v>
      </c>
      <c r="S216" s="649">
        <v>5145888.0599999996</v>
      </c>
      <c r="T216" s="649">
        <v>44677.77</v>
      </c>
      <c r="U216" s="649">
        <v>227285.38</v>
      </c>
      <c r="V216" s="649">
        <v>0</v>
      </c>
      <c r="W216" s="649">
        <v>305912.89</v>
      </c>
      <c r="X216" s="649">
        <v>4152.7700000000004</v>
      </c>
      <c r="Y216" s="649">
        <v>0</v>
      </c>
      <c r="Z216" s="649">
        <v>0</v>
      </c>
      <c r="AA216" s="649">
        <v>271655.08</v>
      </c>
      <c r="AB216" s="649">
        <v>0</v>
      </c>
      <c r="AC216" s="649">
        <v>154811.92000000001</v>
      </c>
      <c r="AD216" s="649">
        <v>1742792.5</v>
      </c>
      <c r="AE216" s="649">
        <v>0</v>
      </c>
      <c r="AF216" s="1288">
        <v>0</v>
      </c>
      <c r="AG216" s="649">
        <v>0</v>
      </c>
      <c r="AI216" s="649">
        <f t="shared" si="29"/>
        <v>13835326.01</v>
      </c>
    </row>
    <row r="217" spans="1:35" x14ac:dyDescent="0.2">
      <c r="A217" s="335">
        <v>2630</v>
      </c>
      <c r="B217" s="3007" t="s">
        <v>1430</v>
      </c>
      <c r="C217" s="3007"/>
      <c r="D217" t="str">
        <f>IF(SUM(F217:N217)-E217=0,"OK","prob")</f>
        <v>OK</v>
      </c>
      <c r="E217" s="651">
        <v>55529988.32</v>
      </c>
      <c r="F217" s="651">
        <v>0</v>
      </c>
      <c r="G217" s="651">
        <v>53754940</v>
      </c>
      <c r="H217" s="651">
        <v>0</v>
      </c>
      <c r="I217" s="651">
        <v>0</v>
      </c>
      <c r="J217" s="651">
        <v>1757892.17</v>
      </c>
      <c r="K217" s="651">
        <v>0</v>
      </c>
      <c r="L217" s="651"/>
      <c r="M217" s="651">
        <v>0</v>
      </c>
      <c r="N217" s="651">
        <v>17156.150000000001</v>
      </c>
      <c r="O217" s="393">
        <v>882523.27</v>
      </c>
      <c r="P217" s="1286">
        <v>35023907.119999997</v>
      </c>
      <c r="Q217" s="649">
        <v>41805387.880000003</v>
      </c>
      <c r="R217" s="649">
        <v>1904660.78</v>
      </c>
      <c r="S217" s="649">
        <v>4195100.1900000004</v>
      </c>
      <c r="T217" s="649">
        <v>1854863.83</v>
      </c>
      <c r="U217" s="651">
        <v>1514526.37</v>
      </c>
      <c r="V217" s="651">
        <v>6994018.8300000001</v>
      </c>
      <c r="W217" s="651">
        <v>1250406.76</v>
      </c>
      <c r="X217" s="651">
        <v>3464067.2</v>
      </c>
      <c r="Y217" s="651">
        <v>6000283.9900000002</v>
      </c>
      <c r="Z217" s="651">
        <v>0</v>
      </c>
      <c r="AA217" s="651">
        <v>1182011.8400000001</v>
      </c>
      <c r="AB217" s="651">
        <v>114170.62</v>
      </c>
      <c r="AC217" s="651">
        <v>2139628.02</v>
      </c>
      <c r="AD217" s="651">
        <v>759333.04</v>
      </c>
      <c r="AE217" s="651">
        <v>974232.55</v>
      </c>
      <c r="AF217" s="1828">
        <v>1468468.16</v>
      </c>
      <c r="AG217" s="651">
        <v>115968.68</v>
      </c>
      <c r="AI217" s="649">
        <f t="shared" si="29"/>
        <v>167057578.77000001</v>
      </c>
    </row>
    <row r="218" spans="1:35" x14ac:dyDescent="0.2">
      <c r="B218" s="2876" t="s">
        <v>1184</v>
      </c>
      <c r="C218" s="2876"/>
      <c r="D218" s="2025" t="str">
        <f>IF(SUM(F218:N218)-E218=0,"OK","prob")</f>
        <v>prob</v>
      </c>
      <c r="E218" s="706">
        <f t="shared" ref="E218:AG218" si="33">SUM(E206:E217)</f>
        <v>4006682847.0799999</v>
      </c>
      <c r="F218" s="706">
        <f t="shared" si="33"/>
        <v>2142635171.24</v>
      </c>
      <c r="G218" s="706">
        <f t="shared" si="33"/>
        <v>119650783.87</v>
      </c>
      <c r="H218" s="706">
        <f t="shared" si="33"/>
        <v>6437567</v>
      </c>
      <c r="I218" s="706">
        <f t="shared" si="33"/>
        <v>1242677158.99</v>
      </c>
      <c r="J218" s="706">
        <f t="shared" si="33"/>
        <v>42047400.710000001</v>
      </c>
      <c r="K218" s="706">
        <f t="shared" si="33"/>
        <v>347987001.51999998</v>
      </c>
      <c r="L218" s="706">
        <f>SUM(L206:L217)</f>
        <v>0</v>
      </c>
      <c r="M218" s="706">
        <f>SUM(M206:M217)</f>
        <v>64303493.409999996</v>
      </c>
      <c r="N218" s="706">
        <f>SUM(N206:N217)</f>
        <v>140290596.00999999</v>
      </c>
      <c r="O218" s="706">
        <f t="shared" si="33"/>
        <v>86673836.489999995</v>
      </c>
      <c r="P218" s="706">
        <f t="shared" si="33"/>
        <v>3136147579.73</v>
      </c>
      <c r="Q218" s="706">
        <f t="shared" si="33"/>
        <v>1536797150.1300001</v>
      </c>
      <c r="R218" s="706">
        <f t="shared" si="33"/>
        <v>431839995.27999997</v>
      </c>
      <c r="S218" s="706">
        <f t="shared" si="33"/>
        <v>644171120.41999996</v>
      </c>
      <c r="T218" s="706">
        <f t="shared" si="33"/>
        <v>90406124.549999997</v>
      </c>
      <c r="U218" s="706">
        <f t="shared" si="33"/>
        <v>360926561.01999998</v>
      </c>
      <c r="V218" s="706">
        <f t="shared" si="33"/>
        <v>864622704.35000002</v>
      </c>
      <c r="W218" s="706">
        <f t="shared" si="33"/>
        <v>302192252.38</v>
      </c>
      <c r="X218" s="706">
        <f t="shared" si="33"/>
        <v>249393059.91</v>
      </c>
      <c r="Y218" s="706">
        <f t="shared" si="33"/>
        <v>433282871.50999999</v>
      </c>
      <c r="Z218" s="706">
        <f t="shared" si="33"/>
        <v>149816479.03999999</v>
      </c>
      <c r="AA218" s="706">
        <f t="shared" si="33"/>
        <v>131719767.79000001</v>
      </c>
      <c r="AB218" s="706">
        <f t="shared" si="33"/>
        <v>68325832.370000005</v>
      </c>
      <c r="AC218" s="706">
        <f t="shared" si="33"/>
        <v>126774671.84999999</v>
      </c>
      <c r="AD218" s="706">
        <f t="shared" si="33"/>
        <v>224179288.84999999</v>
      </c>
      <c r="AE218" s="706">
        <f t="shared" si="33"/>
        <v>66674646.990000002</v>
      </c>
      <c r="AF218" s="706">
        <f t="shared" si="33"/>
        <v>6844323.6600000001</v>
      </c>
      <c r="AG218" s="706">
        <f t="shared" si="33"/>
        <v>3319280.81</v>
      </c>
      <c r="AI218" s="649">
        <f t="shared" si="29"/>
        <v>13016817439.07</v>
      </c>
    </row>
    <row r="219" spans="1:35" x14ac:dyDescent="0.2">
      <c r="B219" s="2876" t="s">
        <v>933</v>
      </c>
      <c r="C219" s="2876"/>
      <c r="D219" t="str">
        <f>IF(SUM(F219:N219)-E219=0,"OK","prob")</f>
        <v>OK</v>
      </c>
      <c r="E219" s="706">
        <f t="shared" ref="E219:AG219" si="34">E203-E218</f>
        <v>341755436.68000001</v>
      </c>
      <c r="F219" s="706">
        <f t="shared" si="34"/>
        <v>255164661.86000001</v>
      </c>
      <c r="G219" s="706">
        <f t="shared" si="34"/>
        <v>85062744.129999995</v>
      </c>
      <c r="H219" s="706">
        <f t="shared" si="34"/>
        <v>-3587567</v>
      </c>
      <c r="I219" s="706">
        <f t="shared" si="34"/>
        <v>38729032.670000002</v>
      </c>
      <c r="J219" s="706">
        <f t="shared" si="34"/>
        <v>-1193518.49</v>
      </c>
      <c r="K219" s="706">
        <f t="shared" si="34"/>
        <v>-26835317.050000001</v>
      </c>
      <c r="L219" s="706">
        <f>L203-L218</f>
        <v>0</v>
      </c>
      <c r="M219" s="706">
        <f>M203-M218</f>
        <v>-9941165.1699999999</v>
      </c>
      <c r="N219" s="706">
        <f>N203-N218</f>
        <v>4356565.7300000004</v>
      </c>
      <c r="O219" s="706">
        <f t="shared" si="34"/>
        <v>-73483399.269999996</v>
      </c>
      <c r="P219" s="706">
        <f t="shared" si="34"/>
        <v>-816930691.48000002</v>
      </c>
      <c r="Q219" s="706">
        <f t="shared" si="34"/>
        <v>-659133225.15999997</v>
      </c>
      <c r="R219" s="706">
        <f t="shared" si="34"/>
        <v>-249327479.16</v>
      </c>
      <c r="S219" s="706">
        <f t="shared" si="34"/>
        <v>-341648435.69999999</v>
      </c>
      <c r="T219" s="706">
        <f t="shared" si="34"/>
        <v>-55286549.350000001</v>
      </c>
      <c r="U219" s="706">
        <f t="shared" si="34"/>
        <v>-201701165.68000001</v>
      </c>
      <c r="V219" s="706">
        <f t="shared" si="34"/>
        <v>-342615386.06999999</v>
      </c>
      <c r="W219" s="706">
        <f t="shared" si="34"/>
        <v>-171297478.63999999</v>
      </c>
      <c r="X219" s="706">
        <f t="shared" si="34"/>
        <v>-157673088.25999999</v>
      </c>
      <c r="Y219" s="706">
        <f t="shared" si="34"/>
        <v>-219726052.12</v>
      </c>
      <c r="Z219" s="706">
        <f t="shared" si="34"/>
        <v>-108801394.48999999</v>
      </c>
      <c r="AA219" s="706">
        <f t="shared" si="34"/>
        <v>-91433791.329999998</v>
      </c>
      <c r="AB219" s="706">
        <f t="shared" si="34"/>
        <v>-57824411.619999997</v>
      </c>
      <c r="AC219" s="706">
        <f t="shared" si="34"/>
        <v>-98849002.689999998</v>
      </c>
      <c r="AD219" s="706">
        <f t="shared" si="34"/>
        <v>-125657968.62</v>
      </c>
      <c r="AE219" s="706">
        <f t="shared" si="34"/>
        <v>-43790675.590000004</v>
      </c>
      <c r="AF219" s="706">
        <f t="shared" si="34"/>
        <v>-472569.14</v>
      </c>
      <c r="AG219" s="706">
        <f t="shared" si="34"/>
        <v>-1489488.33</v>
      </c>
      <c r="AI219" s="649">
        <f t="shared" si="29"/>
        <v>-3473897327.6900001</v>
      </c>
    </row>
    <row r="220" spans="1:35" x14ac:dyDescent="0.2">
      <c r="B220" s="398"/>
      <c r="C220" s="398"/>
      <c r="E220" s="649"/>
      <c r="F220" s="649"/>
      <c r="G220" s="649"/>
      <c r="H220" s="649"/>
      <c r="I220" s="649"/>
      <c r="J220" s="649"/>
      <c r="K220" s="649"/>
      <c r="L220" s="649"/>
      <c r="M220" s="649"/>
      <c r="N220" s="649"/>
      <c r="O220" s="393"/>
      <c r="P220" s="649"/>
      <c r="Q220" s="649"/>
      <c r="R220" s="649"/>
      <c r="S220" s="649"/>
      <c r="T220" s="649"/>
      <c r="U220" s="649"/>
      <c r="V220" s="649"/>
      <c r="W220" s="649"/>
      <c r="X220" s="649"/>
      <c r="Y220" s="649"/>
      <c r="Z220" s="649"/>
      <c r="AA220" s="649"/>
      <c r="AB220" s="649"/>
      <c r="AC220" s="649"/>
      <c r="AD220" s="649"/>
      <c r="AE220" s="649"/>
      <c r="AF220" s="649"/>
      <c r="AG220" s="649"/>
      <c r="AI220" s="649">
        <f t="shared" si="29"/>
        <v>0</v>
      </c>
    </row>
    <row r="221" spans="1:35" x14ac:dyDescent="0.2">
      <c r="B221" s="395" t="s">
        <v>1185</v>
      </c>
      <c r="E221" s="649"/>
      <c r="F221" s="649"/>
      <c r="G221" s="649"/>
      <c r="H221" s="649"/>
      <c r="I221" s="649"/>
      <c r="J221" s="649"/>
      <c r="K221" s="649"/>
      <c r="L221" s="649"/>
      <c r="M221" s="649"/>
      <c r="N221" s="649"/>
      <c r="O221" s="393"/>
      <c r="P221" s="649"/>
      <c r="Q221" s="649"/>
      <c r="R221" s="649"/>
      <c r="S221" s="649"/>
      <c r="T221" s="649"/>
      <c r="U221" s="649"/>
      <c r="V221" s="649"/>
      <c r="W221" s="649"/>
      <c r="X221" s="649"/>
      <c r="Y221" s="649"/>
      <c r="Z221" s="649"/>
      <c r="AA221" s="649"/>
      <c r="AB221" s="649"/>
      <c r="AC221" s="649"/>
      <c r="AD221" s="649"/>
      <c r="AE221" s="649"/>
      <c r="AF221" s="649"/>
      <c r="AG221" s="649"/>
      <c r="AI221" s="649">
        <f t="shared" si="29"/>
        <v>0</v>
      </c>
    </row>
    <row r="222" spans="1:35" x14ac:dyDescent="0.2">
      <c r="A222" s="335">
        <v>2690</v>
      </c>
      <c r="B222" s="2876" t="s">
        <v>898</v>
      </c>
      <c r="C222" s="2876"/>
      <c r="D222" t="str">
        <f t="shared" ref="D222:D240" si="35">IF(SUM(F222:N222)-E222=0,"OK","prob")</f>
        <v>OK</v>
      </c>
      <c r="E222" s="649">
        <v>0</v>
      </c>
      <c r="F222" s="649">
        <v>0</v>
      </c>
      <c r="G222" s="649">
        <v>0</v>
      </c>
      <c r="H222" s="649">
        <v>0</v>
      </c>
      <c r="I222" s="649">
        <v>0</v>
      </c>
      <c r="J222" s="649">
        <v>0</v>
      </c>
      <c r="K222" s="649">
        <v>0</v>
      </c>
      <c r="L222" s="649"/>
      <c r="M222" s="649">
        <v>0</v>
      </c>
      <c r="N222" s="649">
        <v>0</v>
      </c>
      <c r="O222" s="393">
        <v>345797292.69</v>
      </c>
      <c r="P222" s="1286">
        <v>537409228.96000004</v>
      </c>
      <c r="Q222" s="649">
        <v>520557104.12</v>
      </c>
      <c r="R222" s="649">
        <v>179816778.18000001</v>
      </c>
      <c r="S222" s="649">
        <v>255438158.15000001</v>
      </c>
      <c r="T222" s="649">
        <v>40619983.030000001</v>
      </c>
      <c r="U222" s="649">
        <v>148882748.47999999</v>
      </c>
      <c r="V222" s="649">
        <v>296470173.10000002</v>
      </c>
      <c r="W222" s="649">
        <v>88887955.760000005</v>
      </c>
      <c r="X222" s="649">
        <v>128977387.42</v>
      </c>
      <c r="Y222" s="649">
        <v>149535624.83000001</v>
      </c>
      <c r="Z222" s="649">
        <v>81282060.739999995</v>
      </c>
      <c r="AA222" s="649">
        <v>64374313.039999999</v>
      </c>
      <c r="AB222" s="1829">
        <v>35390924.170000002</v>
      </c>
      <c r="AC222" s="649">
        <v>59753593.579999998</v>
      </c>
      <c r="AD222" s="649">
        <v>85116591</v>
      </c>
      <c r="AE222" s="649">
        <v>32240042.649999999</v>
      </c>
      <c r="AF222" s="1288">
        <v>0</v>
      </c>
      <c r="AG222" s="649">
        <v>0</v>
      </c>
      <c r="AI222" s="649">
        <f t="shared" si="29"/>
        <v>3050549959.9000001</v>
      </c>
    </row>
    <row r="223" spans="1:35" x14ac:dyDescent="0.2">
      <c r="A223" s="335">
        <v>2691</v>
      </c>
      <c r="B223" s="2876" t="s">
        <v>1340</v>
      </c>
      <c r="C223" s="2876"/>
      <c r="D223" t="str">
        <f t="shared" si="35"/>
        <v>OK</v>
      </c>
      <c r="E223" s="649">
        <v>0</v>
      </c>
      <c r="F223" s="649">
        <v>0</v>
      </c>
      <c r="G223" s="649">
        <v>0</v>
      </c>
      <c r="H223" s="649">
        <v>0</v>
      </c>
      <c r="I223" s="649">
        <v>0</v>
      </c>
      <c r="J223" s="649">
        <v>0</v>
      </c>
      <c r="K223" s="649">
        <v>0</v>
      </c>
      <c r="L223" s="649"/>
      <c r="M223" s="649">
        <v>0</v>
      </c>
      <c r="N223" s="649">
        <v>0</v>
      </c>
      <c r="O223" s="393">
        <v>0</v>
      </c>
      <c r="P223" s="1286">
        <v>0</v>
      </c>
      <c r="Q223" s="649">
        <v>0</v>
      </c>
      <c r="R223" s="649">
        <v>0</v>
      </c>
      <c r="S223" s="649">
        <v>0</v>
      </c>
      <c r="T223" s="649">
        <v>0</v>
      </c>
      <c r="U223" s="649">
        <v>1308041</v>
      </c>
      <c r="V223" s="649">
        <v>0</v>
      </c>
      <c r="W223" s="649">
        <v>0</v>
      </c>
      <c r="X223" s="649">
        <v>0</v>
      </c>
      <c r="Y223" s="649">
        <v>0</v>
      </c>
      <c r="Z223" s="649">
        <v>0</v>
      </c>
      <c r="AA223" s="649">
        <v>0</v>
      </c>
      <c r="AB223" s="649">
        <v>0</v>
      </c>
      <c r="AC223" s="649">
        <v>0</v>
      </c>
      <c r="AD223" s="649">
        <v>0</v>
      </c>
      <c r="AE223" s="649">
        <v>0</v>
      </c>
      <c r="AF223" s="1288">
        <v>0</v>
      </c>
      <c r="AG223" s="649">
        <v>0</v>
      </c>
      <c r="AI223" s="649">
        <f t="shared" ref="AI223:AI253" si="36">SUM(F223:AF223)</f>
        <v>1308041</v>
      </c>
    </row>
    <row r="224" spans="1:35" x14ac:dyDescent="0.2">
      <c r="A224" s="335">
        <v>2692</v>
      </c>
      <c r="B224" s="2876" t="s">
        <v>1339</v>
      </c>
      <c r="C224" s="2876"/>
      <c r="D224" t="str">
        <f t="shared" si="35"/>
        <v>OK</v>
      </c>
      <c r="E224" s="649">
        <v>0</v>
      </c>
      <c r="F224" s="649">
        <v>0</v>
      </c>
      <c r="G224" s="649">
        <v>0</v>
      </c>
      <c r="H224" s="649">
        <v>0</v>
      </c>
      <c r="I224" s="649">
        <v>0</v>
      </c>
      <c r="J224" s="649">
        <v>0</v>
      </c>
      <c r="K224" s="649">
        <v>0</v>
      </c>
      <c r="L224" s="649"/>
      <c r="M224" s="649">
        <v>0</v>
      </c>
      <c r="N224" s="649">
        <v>0</v>
      </c>
      <c r="O224" s="393">
        <v>0</v>
      </c>
      <c r="P224" s="1286">
        <v>0</v>
      </c>
      <c r="Q224" s="649">
        <v>0</v>
      </c>
      <c r="R224" s="649">
        <v>0</v>
      </c>
      <c r="S224" s="649">
        <v>0</v>
      </c>
      <c r="T224" s="649">
        <v>0</v>
      </c>
      <c r="U224" s="649">
        <v>0</v>
      </c>
      <c r="V224" s="649">
        <v>0</v>
      </c>
      <c r="W224" s="649">
        <v>0</v>
      </c>
      <c r="X224" s="649">
        <v>0</v>
      </c>
      <c r="Y224" s="649">
        <v>0</v>
      </c>
      <c r="Z224" s="649">
        <v>0</v>
      </c>
      <c r="AA224" s="649">
        <v>0</v>
      </c>
      <c r="AB224" s="649">
        <v>0</v>
      </c>
      <c r="AC224" s="649">
        <v>0</v>
      </c>
      <c r="AD224" s="649">
        <v>0</v>
      </c>
      <c r="AE224" s="649">
        <v>0</v>
      </c>
      <c r="AF224" s="1288">
        <v>0</v>
      </c>
      <c r="AG224" s="649">
        <v>0</v>
      </c>
      <c r="AI224" s="649">
        <f t="shared" si="36"/>
        <v>0</v>
      </c>
    </row>
    <row r="225" spans="1:35" x14ac:dyDescent="0.2">
      <c r="A225" s="335">
        <v>2693</v>
      </c>
      <c r="B225" s="2876" t="s">
        <v>4782</v>
      </c>
      <c r="C225" s="2876"/>
      <c r="D225" t="str">
        <f t="shared" si="35"/>
        <v>OK</v>
      </c>
      <c r="E225" s="649">
        <v>5488427</v>
      </c>
      <c r="F225" s="649">
        <v>3000000</v>
      </c>
      <c r="G225" s="649">
        <v>0</v>
      </c>
      <c r="H225" s="649">
        <v>0</v>
      </c>
      <c r="I225" s="649">
        <v>1559788</v>
      </c>
      <c r="J225" s="649">
        <v>0</v>
      </c>
      <c r="K225" s="649">
        <v>0</v>
      </c>
      <c r="L225" s="649"/>
      <c r="M225" s="649">
        <v>0</v>
      </c>
      <c r="N225" s="649">
        <v>928639</v>
      </c>
      <c r="O225" s="393">
        <v>98601228.790000007</v>
      </c>
      <c r="P225" s="1286">
        <v>36885130</v>
      </c>
      <c r="Q225" s="649">
        <v>0</v>
      </c>
      <c r="R225" s="649">
        <v>1501532</v>
      </c>
      <c r="S225" s="649">
        <v>11027786.17</v>
      </c>
      <c r="T225" s="649">
        <v>569578.64</v>
      </c>
      <c r="U225" s="649">
        <v>1167421</v>
      </c>
      <c r="V225" s="649">
        <v>17930910.07</v>
      </c>
      <c r="W225" s="649">
        <v>1904344</v>
      </c>
      <c r="X225" s="649">
        <v>918937.74</v>
      </c>
      <c r="Y225" s="649">
        <v>1314773</v>
      </c>
      <c r="Z225" s="649">
        <v>4577179</v>
      </c>
      <c r="AA225" s="649">
        <v>768217</v>
      </c>
      <c r="AB225" s="649">
        <v>423146</v>
      </c>
      <c r="AC225" s="649">
        <v>0</v>
      </c>
      <c r="AD225" s="649">
        <v>0</v>
      </c>
      <c r="AE225" s="649">
        <v>608792</v>
      </c>
      <c r="AF225" s="1288">
        <v>0</v>
      </c>
      <c r="AG225" s="649">
        <v>0</v>
      </c>
      <c r="AI225" s="649">
        <f t="shared" si="36"/>
        <v>183687402.41</v>
      </c>
    </row>
    <row r="226" spans="1:35" x14ac:dyDescent="0.2">
      <c r="A226" s="335">
        <v>2700</v>
      </c>
      <c r="B226" s="2876" t="s">
        <v>1186</v>
      </c>
      <c r="C226" s="2876"/>
      <c r="D226" t="str">
        <f t="shared" si="35"/>
        <v>OK</v>
      </c>
      <c r="E226" s="649">
        <v>0</v>
      </c>
      <c r="F226" s="649">
        <v>0</v>
      </c>
      <c r="G226" s="649">
        <v>0</v>
      </c>
      <c r="H226" s="649">
        <v>0</v>
      </c>
      <c r="I226" s="649">
        <v>0</v>
      </c>
      <c r="J226" s="649">
        <v>0</v>
      </c>
      <c r="K226" s="649">
        <v>0</v>
      </c>
      <c r="L226" s="649"/>
      <c r="M226" s="649">
        <v>0</v>
      </c>
      <c r="N226" s="649">
        <v>0</v>
      </c>
      <c r="O226" s="393">
        <v>81955497.439999998</v>
      </c>
      <c r="P226" s="1286">
        <v>45344653.899999999</v>
      </c>
      <c r="Q226" s="649">
        <v>52474811.579999998</v>
      </c>
      <c r="R226" s="649">
        <v>65367932.979999997</v>
      </c>
      <c r="S226" s="649">
        <v>71791526.829999998</v>
      </c>
      <c r="T226" s="649">
        <v>9736765.0800000001</v>
      </c>
      <c r="U226" s="649">
        <v>28915504.469999999</v>
      </c>
      <c r="V226" s="649">
        <v>55374723.68</v>
      </c>
      <c r="W226" s="649">
        <v>59144940.960000001</v>
      </c>
      <c r="X226" s="649">
        <v>23966484.920000002</v>
      </c>
      <c r="Y226" s="649">
        <v>49753087.960000001</v>
      </c>
      <c r="Z226" s="649">
        <v>19392306.5</v>
      </c>
      <c r="AA226" s="649">
        <v>34849554</v>
      </c>
      <c r="AB226" s="649">
        <v>15124222.630000001</v>
      </c>
      <c r="AC226" s="649">
        <v>40087352.960000001</v>
      </c>
      <c r="AD226" s="649">
        <v>31878761.170000002</v>
      </c>
      <c r="AE226" s="649">
        <v>1846168.67</v>
      </c>
      <c r="AF226" s="1288">
        <v>0</v>
      </c>
      <c r="AG226" s="649">
        <v>0</v>
      </c>
      <c r="AI226" s="649">
        <f t="shared" si="36"/>
        <v>687004295.73000002</v>
      </c>
    </row>
    <row r="227" spans="1:35" x14ac:dyDescent="0.2">
      <c r="A227" s="335">
        <v>2701</v>
      </c>
      <c r="B227" s="2876" t="s">
        <v>4795</v>
      </c>
      <c r="C227" s="2876"/>
      <c r="D227" t="str">
        <f t="shared" si="35"/>
        <v>OK</v>
      </c>
      <c r="E227" s="649">
        <v>25590397.41</v>
      </c>
      <c r="F227" s="649">
        <v>11664146</v>
      </c>
      <c r="G227" s="649">
        <v>0</v>
      </c>
      <c r="H227" s="649">
        <v>0</v>
      </c>
      <c r="I227" s="649">
        <v>13847439.59</v>
      </c>
      <c r="J227" s="649">
        <v>-1344404.9</v>
      </c>
      <c r="K227" s="649">
        <v>1422936.72</v>
      </c>
      <c r="L227" s="649"/>
      <c r="M227" s="649">
        <v>280</v>
      </c>
      <c r="N227" s="649">
        <v>0</v>
      </c>
      <c r="O227" s="393">
        <v>0</v>
      </c>
      <c r="P227" s="1286">
        <v>28824393.82</v>
      </c>
      <c r="Q227" s="649">
        <v>26363450</v>
      </c>
      <c r="R227" s="649">
        <v>17836615.48</v>
      </c>
      <c r="S227" s="649">
        <v>52347879.420000002</v>
      </c>
      <c r="T227" s="649">
        <v>4183953.97</v>
      </c>
      <c r="U227" s="649">
        <v>39482899.460000001</v>
      </c>
      <c r="V227" s="649">
        <v>30474016.170000002</v>
      </c>
      <c r="W227" s="649">
        <v>50597627.090000004</v>
      </c>
      <c r="X227" s="649">
        <v>10316054</v>
      </c>
      <c r="Y227" s="649">
        <v>36913743.159999996</v>
      </c>
      <c r="Z227" s="649">
        <v>9742356.6600000001</v>
      </c>
      <c r="AA227" s="649">
        <v>9781389.0999999996</v>
      </c>
      <c r="AB227" s="649">
        <v>6367716.4900000002</v>
      </c>
      <c r="AC227" s="649">
        <v>16455535.689999999</v>
      </c>
      <c r="AD227" s="649">
        <v>26201610.780000001</v>
      </c>
      <c r="AE227" s="649">
        <v>1218920.32</v>
      </c>
      <c r="AF227" s="1288">
        <v>0</v>
      </c>
      <c r="AG227" s="649">
        <v>0</v>
      </c>
      <c r="AI227" s="649">
        <f t="shared" si="36"/>
        <v>392698559.01999998</v>
      </c>
    </row>
    <row r="228" spans="1:35" x14ac:dyDescent="0.2">
      <c r="A228" s="335">
        <v>2710</v>
      </c>
      <c r="B228" s="2876" t="s">
        <v>1187</v>
      </c>
      <c r="C228" s="2876"/>
      <c r="D228" t="str">
        <f t="shared" si="35"/>
        <v>prob</v>
      </c>
      <c r="E228" s="649">
        <v>196402.29</v>
      </c>
      <c r="F228" s="649">
        <v>0</v>
      </c>
      <c r="G228" s="649">
        <v>0</v>
      </c>
      <c r="H228" s="649">
        <v>0</v>
      </c>
      <c r="I228" s="649">
        <v>178978.55</v>
      </c>
      <c r="J228" s="649">
        <v>0</v>
      </c>
      <c r="K228" s="649">
        <v>0</v>
      </c>
      <c r="L228" s="649"/>
      <c r="M228" s="649">
        <v>0</v>
      </c>
      <c r="N228" s="649">
        <v>17423.740000000002</v>
      </c>
      <c r="O228" s="393">
        <v>16571732.26</v>
      </c>
      <c r="P228" s="1286">
        <v>198974727.38</v>
      </c>
      <c r="Q228" s="649">
        <v>80254635.069999993</v>
      </c>
      <c r="R228" s="649">
        <v>2811505.04</v>
      </c>
      <c r="S228" s="649">
        <v>11549135.48</v>
      </c>
      <c r="T228" s="649">
        <v>3060577.02</v>
      </c>
      <c r="U228" s="649">
        <v>3319504.13</v>
      </c>
      <c r="V228" s="649">
        <v>15640627.99</v>
      </c>
      <c r="W228" s="649">
        <v>49852068.130000003</v>
      </c>
      <c r="X228" s="649">
        <v>5952687.8600000003</v>
      </c>
      <c r="Y228" s="649">
        <v>14683361.609999999</v>
      </c>
      <c r="Z228" s="649">
        <v>3892732.21</v>
      </c>
      <c r="AA228" s="649">
        <v>68703</v>
      </c>
      <c r="AB228" s="649">
        <v>16077255.619999999</v>
      </c>
      <c r="AC228" s="649">
        <v>891147.72</v>
      </c>
      <c r="AD228" s="649">
        <v>94089.85</v>
      </c>
      <c r="AE228" s="649">
        <v>4461583.2300000004</v>
      </c>
      <c r="AF228" s="1288">
        <v>0</v>
      </c>
      <c r="AG228" s="649">
        <v>2273116.2200000002</v>
      </c>
      <c r="AI228" s="649">
        <f t="shared" si="36"/>
        <v>428352475.88999999</v>
      </c>
    </row>
    <row r="229" spans="1:35" x14ac:dyDescent="0.2">
      <c r="A229" s="335">
        <v>2711</v>
      </c>
      <c r="B229" s="2876" t="s">
        <v>5659</v>
      </c>
      <c r="C229" s="2876"/>
      <c r="D229" t="str">
        <f t="shared" si="35"/>
        <v>OK</v>
      </c>
      <c r="E229" s="649">
        <v>20831061</v>
      </c>
      <c r="F229" s="649">
        <v>16379463</v>
      </c>
      <c r="G229" s="649">
        <v>4451598</v>
      </c>
      <c r="H229" s="649">
        <v>0</v>
      </c>
      <c r="I229" s="649">
        <v>0</v>
      </c>
      <c r="J229" s="649">
        <v>0</v>
      </c>
      <c r="K229" s="649">
        <v>0</v>
      </c>
      <c r="L229" s="649"/>
      <c r="M229" s="649">
        <v>0</v>
      </c>
      <c r="N229" s="649">
        <v>0</v>
      </c>
      <c r="O229" s="393">
        <v>62611</v>
      </c>
      <c r="P229" s="1286">
        <v>33071756</v>
      </c>
      <c r="Q229" s="649">
        <v>18550749</v>
      </c>
      <c r="R229" s="649">
        <v>4855470</v>
      </c>
      <c r="S229" s="649">
        <v>7355975</v>
      </c>
      <c r="T229" s="649">
        <v>1144841</v>
      </c>
      <c r="U229" s="649">
        <v>3897766</v>
      </c>
      <c r="V229" s="649">
        <v>11531382</v>
      </c>
      <c r="W229" s="649">
        <v>2807546</v>
      </c>
      <c r="X229" s="649">
        <v>2760328</v>
      </c>
      <c r="Y229" s="649">
        <v>4930413</v>
      </c>
      <c r="Z229" s="649">
        <v>1499031</v>
      </c>
      <c r="AA229" s="649">
        <v>1326592</v>
      </c>
      <c r="AB229" s="649">
        <v>547461</v>
      </c>
      <c r="AC229" s="649">
        <v>1285440</v>
      </c>
      <c r="AD229" s="649">
        <v>2060802</v>
      </c>
      <c r="AE229" s="649">
        <v>732852</v>
      </c>
      <c r="AF229" s="1288">
        <v>0</v>
      </c>
      <c r="AG229" s="649"/>
      <c r="AI229" s="649"/>
    </row>
    <row r="230" spans="1:35" x14ac:dyDescent="0.2">
      <c r="A230" s="335">
        <v>2720</v>
      </c>
      <c r="B230" s="2876" t="s">
        <v>1188</v>
      </c>
      <c r="C230" s="2876"/>
      <c r="D230" t="str">
        <f t="shared" si="35"/>
        <v>OK</v>
      </c>
      <c r="E230" s="393">
        <v>-26962619.239999998</v>
      </c>
      <c r="F230" s="393">
        <v>-15149133.83</v>
      </c>
      <c r="G230" s="393">
        <v>-28074</v>
      </c>
      <c r="H230" s="393">
        <v>0</v>
      </c>
      <c r="I230" s="649">
        <v>-11423951.029999999</v>
      </c>
      <c r="J230" s="649">
        <v>-361460.38</v>
      </c>
      <c r="K230" s="393">
        <v>0</v>
      </c>
      <c r="L230" s="393"/>
      <c r="M230" s="393">
        <v>0</v>
      </c>
      <c r="N230" s="393">
        <v>0</v>
      </c>
      <c r="O230" s="393">
        <v>-3930.73</v>
      </c>
      <c r="P230" s="1286">
        <v>-51189310.950000003</v>
      </c>
      <c r="Q230" s="649">
        <v>-18133723.149999999</v>
      </c>
      <c r="R230" s="649">
        <v>-10648788.58</v>
      </c>
      <c r="S230" s="649">
        <v>-20965300.870000001</v>
      </c>
      <c r="T230" s="649">
        <v>-2945266.54</v>
      </c>
      <c r="U230" s="1830">
        <v>-7775981.5</v>
      </c>
      <c r="V230" s="1830">
        <v>-12865166.140000001</v>
      </c>
      <c r="W230" s="1830">
        <v>-3734054.21</v>
      </c>
      <c r="X230" s="1830">
        <v>-8151922.6699999999</v>
      </c>
      <c r="Y230" s="1830">
        <v>-9940920.0800000001</v>
      </c>
      <c r="Z230" s="1830">
        <v>-2135406.35</v>
      </c>
      <c r="AA230" s="1830">
        <v>-4161499.24</v>
      </c>
      <c r="AB230" s="1830">
        <v>-1066838.1499999999</v>
      </c>
      <c r="AC230" s="1830">
        <v>-2518242.0299999998</v>
      </c>
      <c r="AD230" s="1830">
        <v>-3938349.77</v>
      </c>
      <c r="AE230" s="1830">
        <v>-1670562.46</v>
      </c>
      <c r="AF230" s="1831">
        <v>-790508.31</v>
      </c>
      <c r="AG230" s="393">
        <v>0</v>
      </c>
      <c r="AI230" s="649">
        <f t="shared" si="36"/>
        <v>-189598390.97</v>
      </c>
    </row>
    <row r="231" spans="1:35" x14ac:dyDescent="0.2">
      <c r="A231" s="335">
        <v>2740</v>
      </c>
      <c r="B231" s="2876" t="s">
        <v>497</v>
      </c>
      <c r="C231" s="2876"/>
      <c r="D231" t="str">
        <f t="shared" si="35"/>
        <v>OK</v>
      </c>
      <c r="E231" s="393">
        <v>0</v>
      </c>
      <c r="F231" s="393">
        <v>0</v>
      </c>
      <c r="G231" s="393">
        <v>0</v>
      </c>
      <c r="H231" s="393">
        <v>0</v>
      </c>
      <c r="I231" s="393">
        <v>0</v>
      </c>
      <c r="J231" s="393">
        <v>0</v>
      </c>
      <c r="K231" s="393">
        <v>0</v>
      </c>
      <c r="L231" s="393"/>
      <c r="M231" s="393">
        <v>0</v>
      </c>
      <c r="N231" s="393">
        <v>0</v>
      </c>
      <c r="O231" s="393">
        <v>0</v>
      </c>
      <c r="P231" s="1286">
        <v>0</v>
      </c>
      <c r="Q231" s="649">
        <v>74136.97</v>
      </c>
      <c r="R231" s="649">
        <v>0</v>
      </c>
      <c r="S231" s="649">
        <v>0</v>
      </c>
      <c r="T231" s="649">
        <v>0</v>
      </c>
      <c r="U231" s="1830">
        <v>0</v>
      </c>
      <c r="V231" s="1830">
        <v>0</v>
      </c>
      <c r="W231" s="1830">
        <v>0</v>
      </c>
      <c r="X231" s="1830">
        <v>79537.3</v>
      </c>
      <c r="Y231" s="1830">
        <v>8200.01</v>
      </c>
      <c r="Z231" s="1830">
        <v>0</v>
      </c>
      <c r="AA231" s="1830">
        <v>0</v>
      </c>
      <c r="AB231" s="1830">
        <v>0</v>
      </c>
      <c r="AC231" s="1830">
        <v>1042.76</v>
      </c>
      <c r="AD231" s="1830">
        <v>0</v>
      </c>
      <c r="AE231" s="1830">
        <v>0</v>
      </c>
      <c r="AF231" s="1831">
        <v>0</v>
      </c>
      <c r="AG231" s="393">
        <v>0</v>
      </c>
      <c r="AI231" s="649">
        <f t="shared" si="36"/>
        <v>162917.04</v>
      </c>
    </row>
    <row r="232" spans="1:35" x14ac:dyDescent="0.2">
      <c r="A232" s="335">
        <v>2750</v>
      </c>
      <c r="B232" s="2876" t="s">
        <v>995</v>
      </c>
      <c r="C232" s="2876"/>
      <c r="D232" t="str">
        <f t="shared" si="35"/>
        <v>prob</v>
      </c>
      <c r="E232" s="393">
        <v>-4025461.03</v>
      </c>
      <c r="F232" s="393">
        <v>0</v>
      </c>
      <c r="G232" s="393">
        <v>-2268969</v>
      </c>
      <c r="H232" s="393">
        <v>0</v>
      </c>
      <c r="I232" s="393">
        <v>-1756492.03</v>
      </c>
      <c r="J232" s="393">
        <v>0</v>
      </c>
      <c r="K232" s="393">
        <v>0</v>
      </c>
      <c r="L232" s="393"/>
      <c r="M232" s="393">
        <v>0</v>
      </c>
      <c r="N232" s="393">
        <v>0</v>
      </c>
      <c r="O232" s="393">
        <v>-794384.7</v>
      </c>
      <c r="P232" s="1286">
        <v>-13968185.76</v>
      </c>
      <c r="Q232" s="649">
        <v>-3976286.2</v>
      </c>
      <c r="R232" s="649">
        <v>-250946.02</v>
      </c>
      <c r="S232" s="649">
        <v>-1200206.3600000001</v>
      </c>
      <c r="T232" s="649">
        <v>0</v>
      </c>
      <c r="U232" s="1830">
        <v>-93404.5</v>
      </c>
      <c r="V232" s="1830">
        <v>-1249241.6000000001</v>
      </c>
      <c r="W232" s="1830">
        <v>-428315.58</v>
      </c>
      <c r="X232" s="1830">
        <v>-2027752.52</v>
      </c>
      <c r="Y232" s="1830">
        <v>-1222244.04</v>
      </c>
      <c r="Z232" s="1830">
        <v>-113715.89</v>
      </c>
      <c r="AA232" s="1830">
        <v>0</v>
      </c>
      <c r="AB232" s="1830">
        <v>-315063.84000000003</v>
      </c>
      <c r="AC232" s="1830">
        <v>-734281.4</v>
      </c>
      <c r="AD232" s="1830">
        <v>0</v>
      </c>
      <c r="AE232" s="1830">
        <v>-19166.689999999999</v>
      </c>
      <c r="AF232" s="1831">
        <v>0</v>
      </c>
      <c r="AG232" s="393">
        <v>0</v>
      </c>
      <c r="AI232" s="649">
        <f t="shared" si="36"/>
        <v>-30418656.129999999</v>
      </c>
    </row>
    <row r="233" spans="1:35" x14ac:dyDescent="0.2">
      <c r="A233" s="335">
        <v>2755</v>
      </c>
      <c r="B233" s="2876" t="s">
        <v>4496</v>
      </c>
      <c r="C233" s="2876"/>
      <c r="D233" t="str">
        <f t="shared" si="35"/>
        <v>OK</v>
      </c>
      <c r="E233" s="393">
        <v>0</v>
      </c>
      <c r="F233" s="393">
        <v>0</v>
      </c>
      <c r="G233" s="393">
        <v>0</v>
      </c>
      <c r="H233" s="393">
        <v>0</v>
      </c>
      <c r="I233" s="393">
        <v>0</v>
      </c>
      <c r="J233" s="393">
        <v>0</v>
      </c>
      <c r="K233" s="393">
        <v>0</v>
      </c>
      <c r="L233" s="393"/>
      <c r="M233" s="393">
        <v>0</v>
      </c>
      <c r="N233" s="393">
        <v>0</v>
      </c>
      <c r="O233" s="393">
        <v>0</v>
      </c>
      <c r="P233" s="1286">
        <v>0</v>
      </c>
      <c r="Q233" s="649">
        <v>0</v>
      </c>
      <c r="R233" s="649">
        <v>0</v>
      </c>
      <c r="S233" s="649">
        <v>0</v>
      </c>
      <c r="T233" s="649">
        <v>0</v>
      </c>
      <c r="U233" s="1830">
        <v>0</v>
      </c>
      <c r="V233" s="1830">
        <v>0</v>
      </c>
      <c r="W233" s="1830">
        <v>0</v>
      </c>
      <c r="X233" s="1830">
        <v>0</v>
      </c>
      <c r="Y233" s="1901">
        <v>0</v>
      </c>
      <c r="Z233" s="1901">
        <v>0</v>
      </c>
      <c r="AA233" s="1830">
        <v>0</v>
      </c>
      <c r="AB233" s="1830">
        <v>0</v>
      </c>
      <c r="AC233" s="1830">
        <v>0</v>
      </c>
      <c r="AD233" s="1830">
        <v>0</v>
      </c>
      <c r="AE233" s="1830">
        <v>0</v>
      </c>
      <c r="AF233" s="1831">
        <v>0</v>
      </c>
      <c r="AG233" s="393">
        <v>0</v>
      </c>
      <c r="AI233" s="649">
        <f t="shared" si="36"/>
        <v>0</v>
      </c>
    </row>
    <row r="234" spans="1:35" x14ac:dyDescent="0.2">
      <c r="A234" s="335">
        <v>2760</v>
      </c>
      <c r="B234" s="2876" t="s">
        <v>1045</v>
      </c>
      <c r="C234" s="2876"/>
      <c r="D234" t="str">
        <f t="shared" si="35"/>
        <v>prob</v>
      </c>
      <c r="E234" s="649">
        <v>619213510.08000004</v>
      </c>
      <c r="F234" s="649">
        <v>357148076.19999999</v>
      </c>
      <c r="G234" s="649">
        <v>126458385</v>
      </c>
      <c r="H234" s="649">
        <v>5616871</v>
      </c>
      <c r="I234" s="649">
        <v>127024405.29000001</v>
      </c>
      <c r="J234" s="649">
        <v>68558.55</v>
      </c>
      <c r="K234" s="649">
        <v>24104</v>
      </c>
      <c r="L234" s="649"/>
      <c r="M234" s="649">
        <v>2705852.14</v>
      </c>
      <c r="N234" s="649">
        <v>167257.9</v>
      </c>
      <c r="O234" s="393">
        <v>36570489.960000001</v>
      </c>
      <c r="P234" s="2019">
        <v>1099206098.9100001</v>
      </c>
      <c r="Q234" s="649">
        <v>161240750.53</v>
      </c>
      <c r="R234" s="649">
        <v>94288965.079999998</v>
      </c>
      <c r="S234" s="649">
        <v>28472464.309999999</v>
      </c>
      <c r="T234" s="649">
        <v>6582911.9699999997</v>
      </c>
      <c r="U234" s="649">
        <v>40511580.789999999</v>
      </c>
      <c r="V234" s="649">
        <v>20065233.120000001</v>
      </c>
      <c r="W234" s="649">
        <v>36527291.020000003</v>
      </c>
      <c r="X234" s="649">
        <v>37623413.490000002</v>
      </c>
      <c r="Y234" s="649">
        <v>56016855.539999999</v>
      </c>
      <c r="Z234" s="649">
        <v>8766416.5199999996</v>
      </c>
      <c r="AA234" s="649">
        <v>14995036.75</v>
      </c>
      <c r="AB234" s="649">
        <v>5272772.3</v>
      </c>
      <c r="AC234" s="649">
        <v>8263117.4299999997</v>
      </c>
      <c r="AD234" s="649">
        <v>17332771.890000001</v>
      </c>
      <c r="AE234" s="649">
        <v>11909467.689999999</v>
      </c>
      <c r="AF234" s="1288">
        <v>0</v>
      </c>
      <c r="AG234" s="649">
        <v>58569.58</v>
      </c>
      <c r="AI234" s="649">
        <f t="shared" si="36"/>
        <v>2302859147.3800001</v>
      </c>
    </row>
    <row r="235" spans="1:35" x14ac:dyDescent="0.2">
      <c r="A235" s="335">
        <v>2770</v>
      </c>
      <c r="B235" s="2876" t="s">
        <v>1076</v>
      </c>
      <c r="C235" s="2876"/>
      <c r="D235" t="str">
        <f t="shared" si="35"/>
        <v>OK</v>
      </c>
      <c r="E235" s="649">
        <v>0</v>
      </c>
      <c r="F235" s="649">
        <v>0</v>
      </c>
      <c r="G235" s="649">
        <v>0</v>
      </c>
      <c r="H235" s="649">
        <v>0</v>
      </c>
      <c r="I235" s="649">
        <v>0</v>
      </c>
      <c r="J235" s="649">
        <v>0</v>
      </c>
      <c r="K235" s="649">
        <v>0</v>
      </c>
      <c r="L235" s="649"/>
      <c r="M235" s="649">
        <v>0</v>
      </c>
      <c r="N235" s="649">
        <v>0</v>
      </c>
      <c r="O235" s="393">
        <v>0</v>
      </c>
      <c r="P235" s="1286">
        <v>0</v>
      </c>
      <c r="Q235" s="649">
        <v>531937.66</v>
      </c>
      <c r="R235" s="649">
        <v>0</v>
      </c>
      <c r="S235" s="649">
        <v>10214.370000000001</v>
      </c>
      <c r="T235" s="649">
        <v>0</v>
      </c>
      <c r="U235" s="649">
        <v>0</v>
      </c>
      <c r="V235" s="649">
        <v>0</v>
      </c>
      <c r="W235" s="649">
        <v>0</v>
      </c>
      <c r="X235" s="649">
        <v>2183.0300000000002</v>
      </c>
      <c r="Y235" s="649">
        <v>0</v>
      </c>
      <c r="Z235" s="649">
        <v>0</v>
      </c>
      <c r="AA235" s="649">
        <v>0</v>
      </c>
      <c r="AB235" s="649">
        <v>0</v>
      </c>
      <c r="AC235" s="649">
        <v>0</v>
      </c>
      <c r="AD235" s="649">
        <v>0</v>
      </c>
      <c r="AE235" s="649">
        <v>0</v>
      </c>
      <c r="AF235" s="1288">
        <v>0</v>
      </c>
      <c r="AG235" s="649">
        <v>0</v>
      </c>
      <c r="AI235" s="649">
        <f t="shared" si="36"/>
        <v>544335.06000000006</v>
      </c>
    </row>
    <row r="236" spans="1:35" x14ac:dyDescent="0.2">
      <c r="A236" s="335">
        <v>2780</v>
      </c>
      <c r="B236" s="2876" t="s">
        <v>799</v>
      </c>
      <c r="C236" s="2876"/>
      <c r="D236" t="str">
        <f t="shared" si="35"/>
        <v>OK</v>
      </c>
      <c r="E236" s="393">
        <v>0</v>
      </c>
      <c r="F236" s="393">
        <v>0</v>
      </c>
      <c r="G236" s="393">
        <v>0</v>
      </c>
      <c r="H236" s="393">
        <v>0</v>
      </c>
      <c r="I236" s="393">
        <v>0</v>
      </c>
      <c r="J236" s="393">
        <v>0</v>
      </c>
      <c r="K236" s="393">
        <v>0</v>
      </c>
      <c r="L236" s="393"/>
      <c r="M236" s="393">
        <v>0</v>
      </c>
      <c r="N236" s="393">
        <v>0</v>
      </c>
      <c r="O236" s="393">
        <v>-323696464.66000003</v>
      </c>
      <c r="P236" s="1286">
        <v>0</v>
      </c>
      <c r="Q236" s="649">
        <v>0</v>
      </c>
      <c r="R236" s="649">
        <v>0</v>
      </c>
      <c r="S236" s="649">
        <v>0</v>
      </c>
      <c r="T236" s="649">
        <v>-326800</v>
      </c>
      <c r="U236" s="1830">
        <v>0</v>
      </c>
      <c r="V236" s="1830">
        <v>0</v>
      </c>
      <c r="W236" s="1830">
        <v>0</v>
      </c>
      <c r="X236" s="1830">
        <v>0</v>
      </c>
      <c r="Y236">
        <v>0</v>
      </c>
      <c r="Z236">
        <v>0</v>
      </c>
      <c r="AA236" s="1830">
        <v>0</v>
      </c>
      <c r="AB236" s="1830">
        <v>0</v>
      </c>
      <c r="AC236" s="1830">
        <v>0</v>
      </c>
      <c r="AD236" s="1830">
        <v>0</v>
      </c>
      <c r="AE236" s="1830">
        <v>0</v>
      </c>
      <c r="AF236" s="1831">
        <v>0</v>
      </c>
      <c r="AG236" s="393">
        <v>0</v>
      </c>
      <c r="AI236" s="649">
        <f t="shared" si="36"/>
        <v>-324023264.66000003</v>
      </c>
    </row>
    <row r="237" spans="1:35" x14ac:dyDescent="0.2">
      <c r="A237" s="335">
        <v>2785</v>
      </c>
      <c r="B237" s="2876" t="s">
        <v>1551</v>
      </c>
      <c r="C237" s="2876"/>
      <c r="D237" t="str">
        <f t="shared" si="35"/>
        <v>OK</v>
      </c>
      <c r="E237" s="649">
        <v>0</v>
      </c>
      <c r="F237" s="649">
        <v>0</v>
      </c>
      <c r="G237" s="649">
        <v>0</v>
      </c>
      <c r="H237" s="649">
        <v>0</v>
      </c>
      <c r="I237" s="649">
        <v>0</v>
      </c>
      <c r="J237" s="649">
        <v>0</v>
      </c>
      <c r="K237" s="649">
        <v>0</v>
      </c>
      <c r="L237" s="649"/>
      <c r="M237" s="649">
        <v>0</v>
      </c>
      <c r="N237" s="649">
        <v>0</v>
      </c>
      <c r="O237" s="393">
        <v>0</v>
      </c>
      <c r="P237" s="1286">
        <v>2143405.38</v>
      </c>
      <c r="Q237" s="649">
        <v>0</v>
      </c>
      <c r="R237" s="649">
        <v>0</v>
      </c>
      <c r="S237" s="649">
        <v>470258.13</v>
      </c>
      <c r="T237" s="649">
        <v>0</v>
      </c>
      <c r="U237" s="649">
        <v>0</v>
      </c>
      <c r="V237" s="649">
        <v>103486.12</v>
      </c>
      <c r="W237" s="649">
        <v>0</v>
      </c>
      <c r="X237" s="649">
        <v>0</v>
      </c>
      <c r="Y237" s="649">
        <v>0</v>
      </c>
      <c r="Z237" s="649">
        <v>0</v>
      </c>
      <c r="AA237" s="649">
        <v>0</v>
      </c>
      <c r="AB237" s="649">
        <v>0</v>
      </c>
      <c r="AC237" s="649">
        <v>0</v>
      </c>
      <c r="AD237" s="649">
        <v>0</v>
      </c>
      <c r="AE237" s="649">
        <v>0</v>
      </c>
      <c r="AF237" s="1288">
        <v>0</v>
      </c>
      <c r="AG237" s="649">
        <v>0</v>
      </c>
      <c r="AI237" s="649">
        <f t="shared" si="36"/>
        <v>2717149.63</v>
      </c>
    </row>
    <row r="238" spans="1:35" x14ac:dyDescent="0.2">
      <c r="A238" s="2051">
        <v>2786</v>
      </c>
      <c r="B238" s="2974" t="s">
        <v>5513</v>
      </c>
      <c r="C238" s="2974"/>
      <c r="D238" t="str">
        <f t="shared" si="35"/>
        <v>OK</v>
      </c>
      <c r="E238" s="649">
        <v>0</v>
      </c>
      <c r="F238" s="649">
        <v>0</v>
      </c>
      <c r="G238" s="649">
        <v>0</v>
      </c>
      <c r="H238" s="649">
        <v>0</v>
      </c>
      <c r="I238" s="649">
        <v>0</v>
      </c>
      <c r="J238" s="649">
        <v>0</v>
      </c>
      <c r="K238" s="649">
        <v>0</v>
      </c>
      <c r="L238" s="649"/>
      <c r="M238" s="649">
        <v>0</v>
      </c>
      <c r="N238" s="649">
        <v>0</v>
      </c>
      <c r="O238" s="393">
        <v>0</v>
      </c>
      <c r="P238" s="1286">
        <v>0</v>
      </c>
      <c r="Q238" s="649">
        <v>0</v>
      </c>
      <c r="R238" s="649">
        <v>0</v>
      </c>
      <c r="S238" s="649">
        <v>0</v>
      </c>
      <c r="T238" s="649">
        <v>0</v>
      </c>
      <c r="U238" s="649">
        <v>0</v>
      </c>
      <c r="V238" s="649">
        <v>0</v>
      </c>
      <c r="W238" s="649">
        <v>0</v>
      </c>
      <c r="X238" s="649">
        <v>0</v>
      </c>
      <c r="Y238" s="649">
        <v>0</v>
      </c>
      <c r="Z238" s="649">
        <v>0</v>
      </c>
      <c r="AA238" s="649">
        <v>0</v>
      </c>
      <c r="AB238" s="649">
        <v>0</v>
      </c>
      <c r="AC238" s="649">
        <v>0</v>
      </c>
      <c r="AD238" s="649">
        <v>0</v>
      </c>
      <c r="AE238" s="649">
        <v>0</v>
      </c>
      <c r="AF238" s="1288">
        <v>0</v>
      </c>
      <c r="AG238" s="649">
        <v>0</v>
      </c>
      <c r="AI238" s="649"/>
    </row>
    <row r="239" spans="1:35" x14ac:dyDescent="0.2">
      <c r="A239" s="335">
        <v>2800</v>
      </c>
      <c r="B239" s="2876" t="s">
        <v>800</v>
      </c>
      <c r="C239" s="2876"/>
      <c r="D239" s="2025" t="str">
        <f t="shared" si="35"/>
        <v>prob</v>
      </c>
      <c r="E239" s="393">
        <v>35283144.289999999</v>
      </c>
      <c r="F239" s="393">
        <v>0</v>
      </c>
      <c r="G239" s="393">
        <v>566274963</v>
      </c>
      <c r="H239" s="393">
        <v>0</v>
      </c>
      <c r="I239" s="393">
        <v>0</v>
      </c>
      <c r="J239" s="393">
        <v>132450.64000000001</v>
      </c>
      <c r="K239" s="393">
        <v>0</v>
      </c>
      <c r="L239" s="393"/>
      <c r="M239" s="393">
        <v>1046.27</v>
      </c>
      <c r="N239" s="393">
        <v>0</v>
      </c>
      <c r="O239" s="393">
        <v>75786.740000000005</v>
      </c>
      <c r="P239" s="1286">
        <v>933903.7</v>
      </c>
      <c r="Q239" s="649">
        <v>3706647.87</v>
      </c>
      <c r="R239" s="649">
        <v>34493.5</v>
      </c>
      <c r="S239" s="649">
        <v>317483.69</v>
      </c>
      <c r="T239" s="649">
        <v>0</v>
      </c>
      <c r="U239" s="1830">
        <v>128832.92</v>
      </c>
      <c r="V239" s="1830">
        <v>292376.31</v>
      </c>
      <c r="W239" s="1830">
        <v>0</v>
      </c>
      <c r="X239" s="1830">
        <v>136937.87</v>
      </c>
      <c r="Y239" s="568">
        <v>1274118.81</v>
      </c>
      <c r="Z239" s="568">
        <v>262733.09999999998</v>
      </c>
      <c r="AA239" s="1830">
        <v>0</v>
      </c>
      <c r="AB239" s="568">
        <v>590822.68999999994</v>
      </c>
      <c r="AC239" s="1830">
        <v>0</v>
      </c>
      <c r="AD239" s="1830">
        <v>0</v>
      </c>
      <c r="AE239" s="1830">
        <v>391135.05</v>
      </c>
      <c r="AF239" s="1831">
        <v>0</v>
      </c>
      <c r="AG239" s="393">
        <v>0</v>
      </c>
      <c r="AI239" s="649">
        <f t="shared" si="36"/>
        <v>574553732.15999997</v>
      </c>
    </row>
    <row r="240" spans="1:35" x14ac:dyDescent="0.2">
      <c r="A240" s="335">
        <v>2810</v>
      </c>
      <c r="B240" s="2876" t="s">
        <v>801</v>
      </c>
      <c r="C240" s="2876"/>
      <c r="D240" s="2025" t="str">
        <f t="shared" si="35"/>
        <v>prob</v>
      </c>
      <c r="E240" s="393">
        <v>-75890000.079999998</v>
      </c>
      <c r="F240" s="393">
        <v>-161428.99</v>
      </c>
      <c r="G240" s="393">
        <v>-600350888</v>
      </c>
      <c r="H240" s="393">
        <v>0</v>
      </c>
      <c r="I240" s="393">
        <v>-6502998.71</v>
      </c>
      <c r="J240" s="393">
        <v>0</v>
      </c>
      <c r="K240" s="393">
        <v>0</v>
      </c>
      <c r="L240" s="393"/>
      <c r="M240" s="393">
        <v>0</v>
      </c>
      <c r="N240" s="393">
        <v>0</v>
      </c>
      <c r="O240" s="393">
        <v>-390461.18</v>
      </c>
      <c r="P240" s="1286">
        <v>-12464569.6</v>
      </c>
      <c r="Q240" s="649">
        <v>-649685.74</v>
      </c>
      <c r="R240" s="649">
        <v>0</v>
      </c>
      <c r="S240" s="649">
        <v>-685401.04</v>
      </c>
      <c r="T240" s="649">
        <v>-58633.440000000002</v>
      </c>
      <c r="U240" s="1830">
        <v>-193.24</v>
      </c>
      <c r="V240" s="1830">
        <v>-572355.98</v>
      </c>
      <c r="W240" s="1830">
        <v>0</v>
      </c>
      <c r="X240" s="1830">
        <v>-784466.19</v>
      </c>
      <c r="Y240" s="568">
        <v>-430522.37</v>
      </c>
      <c r="Z240" s="568">
        <v>-20344.099999999999</v>
      </c>
      <c r="AA240" s="1830">
        <v>0</v>
      </c>
      <c r="AB240" s="1829">
        <v>0</v>
      </c>
      <c r="AC240" s="1830">
        <v>-3023338.6</v>
      </c>
      <c r="AD240" s="1830">
        <v>0</v>
      </c>
      <c r="AE240" s="1830">
        <v>0</v>
      </c>
      <c r="AF240" s="1831">
        <v>0</v>
      </c>
      <c r="AG240" s="393">
        <v>0</v>
      </c>
      <c r="AI240" s="649">
        <f t="shared" si="36"/>
        <v>-626095287.17999995</v>
      </c>
    </row>
    <row r="241" spans="1:35" x14ac:dyDescent="0.2">
      <c r="B241" s="2876" t="s">
        <v>239</v>
      </c>
      <c r="C241" s="2876"/>
      <c r="D241" t="str">
        <f>IF(ROUND(SUM(F241:N241),2)-ROUND(E241,2)=0,"OK","prob")</f>
        <v>OK</v>
      </c>
      <c r="E241" s="661">
        <f t="shared" ref="E241:U241" si="37">SUM(E222:E240)</f>
        <v>599724861.72000003</v>
      </c>
      <c r="F241" s="661">
        <f t="shared" si="37"/>
        <v>372881122.38</v>
      </c>
      <c r="G241" s="661">
        <f t="shared" si="37"/>
        <v>94537015</v>
      </c>
      <c r="H241" s="661">
        <f t="shared" si="37"/>
        <v>5616871</v>
      </c>
      <c r="I241" s="661">
        <f t="shared" si="37"/>
        <v>122927169.66</v>
      </c>
      <c r="J241" s="661">
        <f t="shared" si="37"/>
        <v>-1504856.09</v>
      </c>
      <c r="K241" s="661">
        <f t="shared" si="37"/>
        <v>1447040.72</v>
      </c>
      <c r="L241" s="661">
        <f>SUM(L222:L240)</f>
        <v>0</v>
      </c>
      <c r="M241" s="661">
        <f>SUM(M222:M240)</f>
        <v>2707178.41</v>
      </c>
      <c r="N241" s="661">
        <f>SUM(N222:N240)</f>
        <v>1113320.6399999999</v>
      </c>
      <c r="O241" s="706">
        <f t="shared" si="37"/>
        <v>254749397.61000001</v>
      </c>
      <c r="P241" s="661">
        <f t="shared" si="37"/>
        <v>1905171231.74</v>
      </c>
      <c r="Q241" s="661">
        <f t="shared" si="37"/>
        <v>840994527.71000004</v>
      </c>
      <c r="R241" s="661">
        <f t="shared" si="37"/>
        <v>355613557.66000003</v>
      </c>
      <c r="S241" s="661">
        <f t="shared" si="37"/>
        <v>415929973.27999997</v>
      </c>
      <c r="T241" s="661">
        <f>SUM(T222:T240)</f>
        <v>62567910.729999997</v>
      </c>
      <c r="U241" s="661">
        <f t="shared" si="37"/>
        <v>259744719.00999999</v>
      </c>
      <c r="V241" s="661">
        <f>SUM(V222:V240)</f>
        <v>433196164.83999997</v>
      </c>
      <c r="W241" s="661">
        <f t="shared" ref="W241:AG241" si="38">SUM(W222:W240)</f>
        <v>285559403.17000002</v>
      </c>
      <c r="X241" s="661">
        <f t="shared" si="38"/>
        <v>199769810.25</v>
      </c>
      <c r="Y241" s="661">
        <f t="shared" si="38"/>
        <v>302836491.43000001</v>
      </c>
      <c r="Z241" s="661">
        <f t="shared" si="38"/>
        <v>127145349.39</v>
      </c>
      <c r="AA241" s="661">
        <f t="shared" si="38"/>
        <v>122002305.65000001</v>
      </c>
      <c r="AB241" s="661">
        <f t="shared" si="38"/>
        <v>78412418.909999996</v>
      </c>
      <c r="AC241" s="661">
        <f t="shared" si="38"/>
        <v>120461368.11</v>
      </c>
      <c r="AD241" s="661">
        <f t="shared" si="38"/>
        <v>158746276.91999999</v>
      </c>
      <c r="AE241" s="661">
        <f t="shared" si="38"/>
        <v>51719232.460000001</v>
      </c>
      <c r="AF241" s="661">
        <f t="shared" si="38"/>
        <v>-790508.31</v>
      </c>
      <c r="AG241" s="661">
        <f t="shared" si="38"/>
        <v>2331685.7999999998</v>
      </c>
      <c r="AI241" s="649">
        <f t="shared" si="36"/>
        <v>6573554492.2799997</v>
      </c>
    </row>
    <row r="242" spans="1:35" x14ac:dyDescent="0.2">
      <c r="B242" s="2876" t="s">
        <v>408</v>
      </c>
      <c r="C242" s="2876"/>
      <c r="D242" t="str">
        <f>IF(ROUND(SUM(F242:N242),2)-ROUND(E242,2)=0,"OK","prob")</f>
        <v>OK</v>
      </c>
      <c r="E242" s="661">
        <f t="shared" ref="E242:U242" si="39">E219+E241</f>
        <v>941480298.39999998</v>
      </c>
      <c r="F242" s="661">
        <f t="shared" si="39"/>
        <v>628045784.24000001</v>
      </c>
      <c r="G242" s="661">
        <f t="shared" si="39"/>
        <v>179599759.13</v>
      </c>
      <c r="H242" s="661">
        <f t="shared" si="39"/>
        <v>2029304</v>
      </c>
      <c r="I242" s="661">
        <f t="shared" si="39"/>
        <v>161656202.33000001</v>
      </c>
      <c r="J242" s="661">
        <f t="shared" si="39"/>
        <v>-2698374.58</v>
      </c>
      <c r="K242" s="661">
        <f t="shared" si="39"/>
        <v>-25388276.329999998</v>
      </c>
      <c r="L242" s="661">
        <f>L219+L241</f>
        <v>0</v>
      </c>
      <c r="M242" s="661">
        <f>M219+M241</f>
        <v>-7233986.7599999998</v>
      </c>
      <c r="N242" s="661">
        <f>N219+N241</f>
        <v>5469886.3700000001</v>
      </c>
      <c r="O242" s="706">
        <f t="shared" si="39"/>
        <v>181265998.34</v>
      </c>
      <c r="P242" s="661">
        <f t="shared" si="39"/>
        <v>1088240540.26</v>
      </c>
      <c r="Q242" s="661">
        <f t="shared" si="39"/>
        <v>181861302.55000001</v>
      </c>
      <c r="R242" s="661">
        <f t="shared" si="39"/>
        <v>106286078.5</v>
      </c>
      <c r="S242" s="661">
        <f t="shared" si="39"/>
        <v>74281537.579999998</v>
      </c>
      <c r="T242" s="661">
        <f t="shared" si="39"/>
        <v>7281361.3799999999</v>
      </c>
      <c r="U242" s="661">
        <f t="shared" si="39"/>
        <v>58043553.329999998</v>
      </c>
      <c r="V242" s="661">
        <f>V219+V241</f>
        <v>90580778.769999996</v>
      </c>
      <c r="W242" s="661">
        <f t="shared" ref="W242:AG242" si="40">W219+W241</f>
        <v>114261924.53</v>
      </c>
      <c r="X242" s="661">
        <f t="shared" si="40"/>
        <v>42096721.990000002</v>
      </c>
      <c r="Y242" s="661">
        <f t="shared" si="40"/>
        <v>83110439.310000002</v>
      </c>
      <c r="Z242" s="661">
        <f t="shared" si="40"/>
        <v>18343954.899999999</v>
      </c>
      <c r="AA242" s="661">
        <f t="shared" si="40"/>
        <v>30568514.32</v>
      </c>
      <c r="AB242" s="661">
        <f t="shared" si="40"/>
        <v>20588007.289999999</v>
      </c>
      <c r="AC242" s="661">
        <f t="shared" si="40"/>
        <v>21612365.420000002</v>
      </c>
      <c r="AD242" s="661">
        <f t="shared" si="40"/>
        <v>33088308.300000001</v>
      </c>
      <c r="AE242" s="661">
        <f t="shared" si="40"/>
        <v>7928556.8700000001</v>
      </c>
      <c r="AF242" s="661">
        <f t="shared" si="40"/>
        <v>-1263077.45</v>
      </c>
      <c r="AG242" s="661">
        <f t="shared" si="40"/>
        <v>842197.47</v>
      </c>
      <c r="AI242" s="649">
        <f t="shared" si="36"/>
        <v>3099657164.5900002</v>
      </c>
    </row>
    <row r="243" spans="1:35" x14ac:dyDescent="0.2">
      <c r="A243" s="937">
        <v>2870</v>
      </c>
      <c r="B243" s="2876" t="s">
        <v>240</v>
      </c>
      <c r="C243" s="2876"/>
      <c r="D243" t="str">
        <f t="shared" ref="D243:D253" si="41">IF(SUM(F243:N243)-E243=0,"OK","prob")</f>
        <v>OK</v>
      </c>
      <c r="E243" s="649">
        <v>0</v>
      </c>
      <c r="F243" s="649">
        <v>0</v>
      </c>
      <c r="G243" s="649">
        <v>0</v>
      </c>
      <c r="H243" s="649">
        <v>0</v>
      </c>
      <c r="I243" s="649">
        <v>0</v>
      </c>
      <c r="J243" s="649">
        <v>0</v>
      </c>
      <c r="K243" s="649">
        <v>0</v>
      </c>
      <c r="L243" s="649"/>
      <c r="M243" s="649">
        <v>0</v>
      </c>
      <c r="N243" s="649">
        <v>0</v>
      </c>
      <c r="O243" s="1286">
        <v>955162</v>
      </c>
      <c r="P243" s="1286">
        <v>0</v>
      </c>
      <c r="Q243" s="649">
        <v>49525622.299999997</v>
      </c>
      <c r="R243" s="649">
        <v>21937176.93</v>
      </c>
      <c r="S243" s="649">
        <v>42334207.600000001</v>
      </c>
      <c r="T243" s="649">
        <v>7377008.5800000001</v>
      </c>
      <c r="U243" s="649">
        <v>12746675.699999999</v>
      </c>
      <c r="V243" s="649">
        <v>56872719.340000004</v>
      </c>
      <c r="W243" s="649">
        <v>4679838</v>
      </c>
      <c r="X243" s="649">
        <v>48557318.219999999</v>
      </c>
      <c r="Y243" s="649">
        <v>3031676.17</v>
      </c>
      <c r="Z243" s="649">
        <v>16602586.41</v>
      </c>
      <c r="AA243" s="649">
        <v>1873070.06</v>
      </c>
      <c r="AB243" s="649">
        <v>17399461.850000001</v>
      </c>
      <c r="AC243" s="649">
        <v>0</v>
      </c>
      <c r="AD243" s="649">
        <v>0</v>
      </c>
      <c r="AE243" s="649">
        <v>5480921.54</v>
      </c>
      <c r="AF243" s="649">
        <v>0</v>
      </c>
      <c r="AG243" s="649">
        <v>0</v>
      </c>
      <c r="AI243" s="649">
        <f t="shared" si="36"/>
        <v>289373444.69999999</v>
      </c>
    </row>
    <row r="244" spans="1:35" x14ac:dyDescent="0.2">
      <c r="A244" s="335">
        <v>2880</v>
      </c>
      <c r="B244" s="2876" t="s">
        <v>241</v>
      </c>
      <c r="C244" s="2876"/>
      <c r="D244" t="str">
        <f t="shared" si="41"/>
        <v>OK</v>
      </c>
      <c r="E244" s="649">
        <v>0</v>
      </c>
      <c r="F244" s="649">
        <v>0</v>
      </c>
      <c r="G244" s="649">
        <v>0</v>
      </c>
      <c r="H244" s="649">
        <v>0</v>
      </c>
      <c r="I244" s="649">
        <v>0</v>
      </c>
      <c r="J244" s="649">
        <v>0</v>
      </c>
      <c r="K244" s="649">
        <v>0</v>
      </c>
      <c r="L244" s="649"/>
      <c r="M244" s="649">
        <v>0</v>
      </c>
      <c r="N244" s="649">
        <v>0</v>
      </c>
      <c r="O244" s="1286">
        <v>3992677.73</v>
      </c>
      <c r="P244" s="1286">
        <v>32868657.329999998</v>
      </c>
      <c r="Q244" s="649">
        <v>1723131.63</v>
      </c>
      <c r="R244" s="649">
        <v>0</v>
      </c>
      <c r="S244" s="649">
        <v>1898382</v>
      </c>
      <c r="T244" s="649">
        <v>2648382</v>
      </c>
      <c r="U244" s="649">
        <v>4654491</v>
      </c>
      <c r="V244" s="649">
        <v>1898382</v>
      </c>
      <c r="W244" s="649">
        <v>37279922.770000003</v>
      </c>
      <c r="X244" s="649">
        <v>355000</v>
      </c>
      <c r="Y244" s="649">
        <v>1898382</v>
      </c>
      <c r="Z244" s="649">
        <v>192852.15</v>
      </c>
      <c r="AA244" s="649">
        <v>1898382</v>
      </c>
      <c r="AB244" s="649">
        <v>0</v>
      </c>
      <c r="AC244" s="649">
        <v>40716</v>
      </c>
      <c r="AD244" s="649">
        <v>1460858</v>
      </c>
      <c r="AE244" s="649">
        <v>0</v>
      </c>
      <c r="AF244" s="649">
        <v>0</v>
      </c>
      <c r="AG244" s="649">
        <v>0</v>
      </c>
      <c r="AI244" s="649">
        <f t="shared" si="36"/>
        <v>92810216.609999999</v>
      </c>
    </row>
    <row r="245" spans="1:35" x14ac:dyDescent="0.2">
      <c r="A245" s="335">
        <v>2890</v>
      </c>
      <c r="B245" s="2876" t="s">
        <v>242</v>
      </c>
      <c r="C245" s="2876"/>
      <c r="D245" t="str">
        <f t="shared" si="41"/>
        <v>OK</v>
      </c>
      <c r="E245" s="649">
        <v>647449.66</v>
      </c>
      <c r="F245" s="649">
        <v>0</v>
      </c>
      <c r="G245" s="649">
        <v>0</v>
      </c>
      <c r="H245" s="649">
        <v>0</v>
      </c>
      <c r="I245" s="649">
        <v>0</v>
      </c>
      <c r="J245" s="649">
        <v>0</v>
      </c>
      <c r="K245" s="649">
        <v>0</v>
      </c>
      <c r="L245" s="649"/>
      <c r="M245" s="649">
        <v>0</v>
      </c>
      <c r="N245" s="649">
        <v>647449.66</v>
      </c>
      <c r="O245" s="1286">
        <v>0</v>
      </c>
      <c r="P245" s="1286">
        <v>46002354.07</v>
      </c>
      <c r="Q245" s="649">
        <v>65272502.140000001</v>
      </c>
      <c r="R245" s="649">
        <v>385730.88</v>
      </c>
      <c r="S245" s="649">
        <v>821628.01</v>
      </c>
      <c r="T245" s="649">
        <v>1254787.22</v>
      </c>
      <c r="U245" s="649">
        <v>25</v>
      </c>
      <c r="V245" s="649">
        <v>2436148.1</v>
      </c>
      <c r="W245" s="649">
        <v>0</v>
      </c>
      <c r="X245" s="649">
        <v>745000</v>
      </c>
      <c r="Y245" s="649">
        <v>2299279.39</v>
      </c>
      <c r="Z245" s="649">
        <v>618300</v>
      </c>
      <c r="AA245" s="649">
        <v>0</v>
      </c>
      <c r="AB245" s="649">
        <v>0</v>
      </c>
      <c r="AC245" s="649">
        <v>9688781.6199999992</v>
      </c>
      <c r="AD245" s="649">
        <v>0</v>
      </c>
      <c r="AE245" s="649">
        <v>257350</v>
      </c>
      <c r="AF245" s="649">
        <v>0</v>
      </c>
      <c r="AG245" s="649">
        <v>2221.23</v>
      </c>
      <c r="AI245" s="649">
        <f t="shared" si="36"/>
        <v>130429336.09</v>
      </c>
    </row>
    <row r="246" spans="1:35" x14ac:dyDescent="0.2">
      <c r="A246" s="335">
        <v>2900</v>
      </c>
      <c r="B246" s="2876" t="s">
        <v>1432</v>
      </c>
      <c r="C246" s="2876"/>
      <c r="D246" t="str">
        <f t="shared" si="41"/>
        <v>OK</v>
      </c>
      <c r="E246" s="649">
        <v>0</v>
      </c>
      <c r="F246" s="649">
        <v>0</v>
      </c>
      <c r="G246" s="649">
        <v>0</v>
      </c>
      <c r="H246" s="649">
        <v>0</v>
      </c>
      <c r="I246" s="649">
        <v>0</v>
      </c>
      <c r="J246" s="649">
        <v>0</v>
      </c>
      <c r="K246" s="649">
        <v>0</v>
      </c>
      <c r="L246" s="649"/>
      <c r="M246" s="649">
        <v>0</v>
      </c>
      <c r="N246" s="649">
        <v>0</v>
      </c>
      <c r="O246" s="1286">
        <v>2931.25</v>
      </c>
      <c r="P246" s="1286">
        <v>31635810.469999999</v>
      </c>
      <c r="Q246" s="649">
        <v>5995543.5999999996</v>
      </c>
      <c r="R246" s="649">
        <v>8184126.8799999999</v>
      </c>
      <c r="S246" s="649">
        <v>25231.4</v>
      </c>
      <c r="T246" s="649">
        <v>0</v>
      </c>
      <c r="U246" s="649">
        <v>6540816.4500000002</v>
      </c>
      <c r="V246" s="649">
        <v>1207529.1599999999</v>
      </c>
      <c r="W246" s="649">
        <v>9310434.2400000002</v>
      </c>
      <c r="X246" s="649">
        <v>1193980.23</v>
      </c>
      <c r="Y246" s="649">
        <v>5069451</v>
      </c>
      <c r="Z246" s="649">
        <v>738377.59</v>
      </c>
      <c r="AA246" s="649">
        <v>264563.78999999998</v>
      </c>
      <c r="AB246" s="1829">
        <v>222890.09</v>
      </c>
      <c r="AC246" s="649">
        <v>661436.17000000004</v>
      </c>
      <c r="AD246" s="649">
        <v>0</v>
      </c>
      <c r="AE246" s="649">
        <v>1201790</v>
      </c>
      <c r="AF246" s="649">
        <v>0</v>
      </c>
      <c r="AG246" s="649">
        <v>0</v>
      </c>
      <c r="AI246" s="649">
        <f t="shared" si="36"/>
        <v>72254912.319999993</v>
      </c>
    </row>
    <row r="247" spans="1:35" x14ac:dyDescent="0.2">
      <c r="A247" s="1129">
        <v>2940</v>
      </c>
      <c r="B247" s="2876" t="s">
        <v>1433</v>
      </c>
      <c r="C247" s="2876"/>
      <c r="D247" t="str">
        <f t="shared" si="41"/>
        <v>prob</v>
      </c>
      <c r="E247" s="1036">
        <v>-116075042.33</v>
      </c>
      <c r="F247" s="1036">
        <v>-144158277.86000001</v>
      </c>
      <c r="G247" s="1036">
        <v>18252373.530000001</v>
      </c>
      <c r="H247" s="1036">
        <v>0</v>
      </c>
      <c r="I247" s="1036">
        <v>-32916169.120000001</v>
      </c>
      <c r="J247" s="1036">
        <v>-2788403.21</v>
      </c>
      <c r="K247" s="1036">
        <v>49952851.060000002</v>
      </c>
      <c r="L247" s="1036"/>
      <c r="M247" s="1036">
        <v>-2722701.28</v>
      </c>
      <c r="N247" s="1036">
        <v>-1694715.45</v>
      </c>
      <c r="O247" s="2017">
        <v>-145796072.81</v>
      </c>
      <c r="P247" s="2017">
        <v>181270265.63</v>
      </c>
      <c r="Q247" s="2020">
        <v>9485667.1799999997</v>
      </c>
      <c r="R247" s="2020">
        <v>5266248.7300000004</v>
      </c>
      <c r="S247" s="2020">
        <v>8000766.7999999998</v>
      </c>
      <c r="T247" s="2020">
        <v>2103741.38</v>
      </c>
      <c r="U247" s="1036">
        <v>6904770.4500000002</v>
      </c>
      <c r="V247" s="1036">
        <v>6121436.4199999999</v>
      </c>
      <c r="W247" s="1036">
        <v>5061032.41</v>
      </c>
      <c r="X247" s="1829">
        <v>7455048.0499999998</v>
      </c>
      <c r="Y247" s="1829">
        <v>5792576.0599999996</v>
      </c>
      <c r="Z247" s="1829">
        <v>6112009.7599999998</v>
      </c>
      <c r="AA247" s="1036">
        <v>3791508.77</v>
      </c>
      <c r="AB247" s="1036">
        <v>3960888.03</v>
      </c>
      <c r="AC247" s="1036">
        <v>2502940.9</v>
      </c>
      <c r="AD247" s="1036">
        <v>3763027.25</v>
      </c>
      <c r="AE247" s="1036">
        <v>2840243.03</v>
      </c>
      <c r="AF247" s="1036">
        <v>0</v>
      </c>
      <c r="AG247" s="1036">
        <v>0</v>
      </c>
      <c r="AI247" s="649">
        <f t="shared" si="36"/>
        <v>-1438944.29</v>
      </c>
    </row>
    <row r="248" spans="1:35" x14ac:dyDescent="0.2">
      <c r="A248" s="335">
        <v>2950</v>
      </c>
      <c r="B248" s="2876" t="s">
        <v>243</v>
      </c>
      <c r="C248" s="2876"/>
      <c r="D248" t="str">
        <f t="shared" si="41"/>
        <v>OK</v>
      </c>
      <c r="E248" s="393">
        <v>0</v>
      </c>
      <c r="F248" s="393">
        <v>0</v>
      </c>
      <c r="G248" s="393">
        <v>0</v>
      </c>
      <c r="H248" s="393">
        <v>0</v>
      </c>
      <c r="I248" s="393">
        <v>0</v>
      </c>
      <c r="J248" s="393">
        <v>0</v>
      </c>
      <c r="K248" s="393">
        <v>0</v>
      </c>
      <c r="L248" s="393"/>
      <c r="M248" s="393">
        <v>0</v>
      </c>
      <c r="N248" s="393">
        <v>0</v>
      </c>
      <c r="O248" s="1286">
        <v>0</v>
      </c>
      <c r="P248" s="1286">
        <v>0</v>
      </c>
      <c r="Q248" s="649">
        <v>0</v>
      </c>
      <c r="R248" s="649">
        <v>0</v>
      </c>
      <c r="S248" s="649">
        <v>0</v>
      </c>
      <c r="T248" s="649">
        <v>0</v>
      </c>
      <c r="U248" s="1071">
        <v>0</v>
      </c>
      <c r="V248" s="393">
        <v>0</v>
      </c>
      <c r="W248" s="1071">
        <v>0</v>
      </c>
      <c r="X248" s="393">
        <v>0</v>
      </c>
      <c r="Y248" s="393">
        <v>0</v>
      </c>
      <c r="Z248" s="393">
        <v>0</v>
      </c>
      <c r="AA248" s="393">
        <v>0</v>
      </c>
      <c r="AB248" s="393">
        <v>0</v>
      </c>
      <c r="AC248" s="393">
        <v>0</v>
      </c>
      <c r="AD248" s="393">
        <v>0</v>
      </c>
      <c r="AE248" s="393">
        <v>0</v>
      </c>
      <c r="AF248" s="393">
        <v>0</v>
      </c>
      <c r="AG248" s="393">
        <v>0</v>
      </c>
      <c r="AI248" s="649">
        <f t="shared" si="36"/>
        <v>0</v>
      </c>
    </row>
    <row r="249" spans="1:35" x14ac:dyDescent="0.2">
      <c r="A249" s="335">
        <v>2960</v>
      </c>
      <c r="B249" s="2876" t="s">
        <v>244</v>
      </c>
      <c r="C249" s="2876"/>
      <c r="D249" t="str">
        <f t="shared" si="41"/>
        <v>OK</v>
      </c>
      <c r="E249" s="843">
        <v>0</v>
      </c>
      <c r="F249" s="843">
        <v>0</v>
      </c>
      <c r="G249" s="843">
        <v>0</v>
      </c>
      <c r="H249" s="843">
        <v>0</v>
      </c>
      <c r="I249" s="843">
        <v>0</v>
      </c>
      <c r="J249" s="843">
        <v>0</v>
      </c>
      <c r="K249" s="843">
        <v>0</v>
      </c>
      <c r="L249" s="843"/>
      <c r="M249" s="843">
        <v>0</v>
      </c>
      <c r="N249" s="843">
        <v>0</v>
      </c>
      <c r="O249" s="1824">
        <v>0</v>
      </c>
      <c r="P249" s="1824">
        <v>0</v>
      </c>
      <c r="Q249" s="651">
        <v>0</v>
      </c>
      <c r="R249" s="651">
        <v>0</v>
      </c>
      <c r="S249" s="651">
        <v>0</v>
      </c>
      <c r="T249" s="651">
        <v>0</v>
      </c>
      <c r="U249" s="1832">
        <v>0</v>
      </c>
      <c r="V249" s="843">
        <v>0</v>
      </c>
      <c r="W249" s="1832">
        <v>0</v>
      </c>
      <c r="X249" s="843">
        <v>0</v>
      </c>
      <c r="Y249" s="843">
        <v>0</v>
      </c>
      <c r="Z249" s="843">
        <v>0</v>
      </c>
      <c r="AA249" s="843">
        <v>0</v>
      </c>
      <c r="AB249" s="843">
        <v>0</v>
      </c>
      <c r="AC249" s="843">
        <v>0</v>
      </c>
      <c r="AD249" s="843">
        <v>0</v>
      </c>
      <c r="AE249" s="843">
        <v>0</v>
      </c>
      <c r="AF249" s="843">
        <v>0</v>
      </c>
      <c r="AG249" s="843">
        <v>0</v>
      </c>
      <c r="AI249" s="649">
        <f t="shared" si="36"/>
        <v>0</v>
      </c>
    </row>
    <row r="250" spans="1:35" x14ac:dyDescent="0.2">
      <c r="B250" s="2876" t="s">
        <v>1908</v>
      </c>
      <c r="C250" s="2876"/>
      <c r="D250" t="str">
        <f t="shared" si="41"/>
        <v>prob</v>
      </c>
      <c r="E250" s="649">
        <f t="shared" ref="E250:U250" si="42">SUM(E242:E249)</f>
        <v>826052705.73000002</v>
      </c>
      <c r="F250" s="649">
        <f t="shared" si="42"/>
        <v>483887506.38</v>
      </c>
      <c r="G250" s="649">
        <f t="shared" si="42"/>
        <v>197852132.66</v>
      </c>
      <c r="H250" s="649">
        <f t="shared" si="42"/>
        <v>2029304</v>
      </c>
      <c r="I250" s="649">
        <f t="shared" si="42"/>
        <v>128740033.20999999</v>
      </c>
      <c r="J250" s="649">
        <f t="shared" si="42"/>
        <v>-5486777.79</v>
      </c>
      <c r="K250" s="649">
        <f t="shared" si="42"/>
        <v>24564574.73</v>
      </c>
      <c r="L250" s="649">
        <f>SUM(L242:L249)</f>
        <v>0</v>
      </c>
      <c r="M250" s="649">
        <f>SUM(M242:M249)</f>
        <v>-9956688.0399999991</v>
      </c>
      <c r="N250" s="649">
        <f>SUM(N242:N249)</f>
        <v>4422620.58</v>
      </c>
      <c r="O250" s="393">
        <f t="shared" si="42"/>
        <v>40420696.509999998</v>
      </c>
      <c r="P250" s="649">
        <f t="shared" si="42"/>
        <v>1380017627.76</v>
      </c>
      <c r="Q250" s="649">
        <f t="shared" si="42"/>
        <v>313863769.39999998</v>
      </c>
      <c r="R250" s="649">
        <f t="shared" si="42"/>
        <v>142059361.91999999</v>
      </c>
      <c r="S250" s="649">
        <f t="shared" si="42"/>
        <v>127361753.39</v>
      </c>
      <c r="T250" s="649">
        <f t="shared" si="42"/>
        <v>20665280.559999999</v>
      </c>
      <c r="U250" s="649">
        <f t="shared" si="42"/>
        <v>88890331.930000007</v>
      </c>
      <c r="V250" s="649">
        <f>SUM(V242:V249)</f>
        <v>159116993.78999999</v>
      </c>
      <c r="W250" s="649">
        <f t="shared" ref="W250:AG250" si="43">SUM(W242:W249)</f>
        <v>170593151.94999999</v>
      </c>
      <c r="X250" s="649">
        <f t="shared" si="43"/>
        <v>100403068.48999999</v>
      </c>
      <c r="Y250" s="649">
        <f t="shared" si="43"/>
        <v>101201803.93000001</v>
      </c>
      <c r="Z250" s="649">
        <f t="shared" si="43"/>
        <v>42608080.810000002</v>
      </c>
      <c r="AA250" s="649">
        <f t="shared" si="43"/>
        <v>38396038.939999998</v>
      </c>
      <c r="AB250" s="649">
        <f t="shared" si="43"/>
        <v>42171247.259999998</v>
      </c>
      <c r="AC250" s="649">
        <f t="shared" si="43"/>
        <v>34506240.109999999</v>
      </c>
      <c r="AD250" s="649">
        <f t="shared" si="43"/>
        <v>38312193.549999997</v>
      </c>
      <c r="AE250" s="649">
        <f t="shared" si="43"/>
        <v>17708861.440000001</v>
      </c>
      <c r="AF250" s="649">
        <f t="shared" si="43"/>
        <v>-1263077.45</v>
      </c>
      <c r="AG250" s="649">
        <f t="shared" si="43"/>
        <v>844418.7</v>
      </c>
      <c r="AI250" s="649">
        <f t="shared" si="36"/>
        <v>3683086130.02</v>
      </c>
    </row>
    <row r="251" spans="1:35" x14ac:dyDescent="0.2">
      <c r="A251" s="785">
        <v>2980</v>
      </c>
      <c r="B251" s="2876" t="s">
        <v>1907</v>
      </c>
      <c r="C251" s="2876"/>
      <c r="D251" t="str">
        <f t="shared" si="41"/>
        <v>OK</v>
      </c>
      <c r="E251" s="1036">
        <v>1375935346.98</v>
      </c>
      <c r="F251" s="1036">
        <v>505801495.11000001</v>
      </c>
      <c r="G251" s="1036">
        <v>-85929850.170000002</v>
      </c>
      <c r="H251" s="1036">
        <v>29759785</v>
      </c>
      <c r="I251" s="1036">
        <v>816697135</v>
      </c>
      <c r="J251" s="1036">
        <v>4333504</v>
      </c>
      <c r="K251" s="1036">
        <v>12693002.140000001</v>
      </c>
      <c r="L251" s="1036"/>
      <c r="M251" s="1036">
        <v>25230819.579999998</v>
      </c>
      <c r="N251" s="1036">
        <v>67349456.319999993</v>
      </c>
      <c r="O251" s="2013">
        <v>132969638.63</v>
      </c>
      <c r="P251" s="1285">
        <v>2269914667.6300001</v>
      </c>
      <c r="Q251" s="1036">
        <v>747681855.51999998</v>
      </c>
      <c r="R251" s="1036">
        <v>526313113.16000003</v>
      </c>
      <c r="S251" s="1036">
        <v>668695530.73000002</v>
      </c>
      <c r="T251" s="1036">
        <v>83486061.959999993</v>
      </c>
      <c r="U251" s="1036">
        <v>348505589.73000002</v>
      </c>
      <c r="V251" s="1036">
        <v>66902109.520000003</v>
      </c>
      <c r="W251" s="1036">
        <v>229977216.38</v>
      </c>
      <c r="X251" s="1036">
        <v>365003753.31999999</v>
      </c>
      <c r="Y251" s="1036">
        <v>264863398.47999999</v>
      </c>
      <c r="Z251" s="1036">
        <v>50692505.789999999</v>
      </c>
      <c r="AA251" s="1036">
        <v>69574432.689999998</v>
      </c>
      <c r="AB251" s="1036">
        <v>84639988.329999998</v>
      </c>
      <c r="AC251" s="1036">
        <v>30760883.52</v>
      </c>
      <c r="AD251" s="1036">
        <v>53859620.630000003</v>
      </c>
      <c r="AE251" s="1036">
        <v>114546578.43000001</v>
      </c>
      <c r="AF251" s="1036">
        <v>55206819.719999999</v>
      </c>
      <c r="AG251" s="1036">
        <v>8801893.6400000006</v>
      </c>
      <c r="AI251" s="649">
        <f t="shared" si="36"/>
        <v>7539529111.1499996</v>
      </c>
    </row>
    <row r="252" spans="1:35" x14ac:dyDescent="0.2">
      <c r="A252" s="785">
        <v>2990</v>
      </c>
      <c r="B252" s="2876" t="s">
        <v>1054</v>
      </c>
      <c r="C252" s="2876"/>
      <c r="D252" t="str">
        <f t="shared" si="41"/>
        <v>prob</v>
      </c>
      <c r="E252" s="651">
        <v>-7748480.5099999998</v>
      </c>
      <c r="F252" s="651">
        <v>-24375748.050000001</v>
      </c>
      <c r="G252" s="651">
        <v>17430065.5</v>
      </c>
      <c r="H252" s="651">
        <v>0</v>
      </c>
      <c r="I252" s="651">
        <v>-611611</v>
      </c>
      <c r="J252" s="651">
        <v>270741</v>
      </c>
      <c r="K252" s="651">
        <v>0</v>
      </c>
      <c r="L252" s="651">
        <v>0</v>
      </c>
      <c r="M252" s="651">
        <v>-1119574.42</v>
      </c>
      <c r="N252" s="651">
        <v>657646.46</v>
      </c>
      <c r="O252" s="1286">
        <v>-188035.4</v>
      </c>
      <c r="P252" s="1824">
        <v>6.53</v>
      </c>
      <c r="Q252" s="651">
        <v>0</v>
      </c>
      <c r="R252" s="651">
        <v>1538482.31</v>
      </c>
      <c r="S252" s="651">
        <v>108057.98</v>
      </c>
      <c r="T252" s="651">
        <v>0</v>
      </c>
      <c r="U252" s="651">
        <v>0</v>
      </c>
      <c r="V252" s="651">
        <v>0</v>
      </c>
      <c r="W252" s="651">
        <v>1147504.1499999999</v>
      </c>
      <c r="X252" s="651">
        <v>0</v>
      </c>
      <c r="Y252" s="651">
        <v>11343165.720000001</v>
      </c>
      <c r="Z252" s="651">
        <v>-939074.13</v>
      </c>
      <c r="AA252" s="651">
        <v>-226</v>
      </c>
      <c r="AB252" s="651">
        <v>0</v>
      </c>
      <c r="AC252" s="651">
        <v>437565.88</v>
      </c>
      <c r="AD252" s="651">
        <v>-1774501.63</v>
      </c>
      <c r="AE252" s="651">
        <v>0</v>
      </c>
      <c r="AF252" s="651">
        <v>0</v>
      </c>
      <c r="AG252" s="651">
        <v>0</v>
      </c>
      <c r="AI252" s="649">
        <f t="shared" si="36"/>
        <v>3924464.9</v>
      </c>
    </row>
    <row r="253" spans="1:35" ht="13.5" thickBot="1" x14ac:dyDescent="0.25">
      <c r="B253" s="2876" t="s">
        <v>1909</v>
      </c>
      <c r="C253" s="2876"/>
      <c r="D253" t="str">
        <f t="shared" si="41"/>
        <v>OK</v>
      </c>
      <c r="E253" s="804">
        <f t="shared" ref="E253:U253" si="44">SUM(E250:E252)</f>
        <v>2194239572.1999998</v>
      </c>
      <c r="F253" s="804">
        <f t="shared" si="44"/>
        <v>965313253.44000006</v>
      </c>
      <c r="G253" s="804">
        <f t="shared" si="44"/>
        <v>129352347.98999999</v>
      </c>
      <c r="H253" s="804">
        <f t="shared" si="44"/>
        <v>31789089</v>
      </c>
      <c r="I253" s="804">
        <f t="shared" si="44"/>
        <v>944825557.21000004</v>
      </c>
      <c r="J253" s="804">
        <f t="shared" si="44"/>
        <v>-882532.79</v>
      </c>
      <c r="K253" s="804">
        <f t="shared" si="44"/>
        <v>37257576.869999997</v>
      </c>
      <c r="L253" s="804">
        <f>SUM(L250:L252)</f>
        <v>0</v>
      </c>
      <c r="M253" s="804">
        <f>SUM(M250:M252)</f>
        <v>14154557.119999999</v>
      </c>
      <c r="N253" s="804">
        <f>SUM(N250:N252)</f>
        <v>72429723.359999999</v>
      </c>
      <c r="O253" s="707">
        <f t="shared" si="44"/>
        <v>173202299.74000001</v>
      </c>
      <c r="P253" s="804">
        <f>SUM(P250:P252)</f>
        <v>3649932301.9200001</v>
      </c>
      <c r="Q253" s="804">
        <f t="shared" si="44"/>
        <v>1061545624.92</v>
      </c>
      <c r="R253" s="804">
        <f t="shared" si="44"/>
        <v>669910957.38999999</v>
      </c>
      <c r="S253" s="804">
        <f t="shared" si="44"/>
        <v>796165342.10000002</v>
      </c>
      <c r="T253" s="804">
        <f t="shared" si="44"/>
        <v>104151342.52</v>
      </c>
      <c r="U253" s="804">
        <f t="shared" si="44"/>
        <v>437395921.66000003</v>
      </c>
      <c r="V253" s="804">
        <f>SUM(V250:V252)</f>
        <v>226019103.31</v>
      </c>
      <c r="W253" s="804">
        <f t="shared" ref="W253:AG253" si="45">SUM(W250:W252)</f>
        <v>401717872.48000002</v>
      </c>
      <c r="X253" s="804">
        <f t="shared" si="45"/>
        <v>465406821.81</v>
      </c>
      <c r="Y253" s="804">
        <f t="shared" si="45"/>
        <v>377408368.13</v>
      </c>
      <c r="Z253" s="804">
        <f t="shared" si="45"/>
        <v>92361512.469999999</v>
      </c>
      <c r="AA253" s="804">
        <f t="shared" si="45"/>
        <v>107970245.63</v>
      </c>
      <c r="AB253" s="804">
        <f t="shared" si="45"/>
        <v>126811235.59</v>
      </c>
      <c r="AC253" s="804">
        <f t="shared" si="45"/>
        <v>65704689.509999998</v>
      </c>
      <c r="AD253" s="804">
        <f t="shared" si="45"/>
        <v>90397312.549999997</v>
      </c>
      <c r="AE253" s="804">
        <f t="shared" si="45"/>
        <v>132255439.87</v>
      </c>
      <c r="AF253" s="804">
        <f t="shared" si="45"/>
        <v>53943742.270000003</v>
      </c>
      <c r="AG253" s="804">
        <f t="shared" si="45"/>
        <v>9646312.3399999999</v>
      </c>
      <c r="AI253" s="649">
        <f t="shared" si="36"/>
        <v>11226539706.07</v>
      </c>
    </row>
    <row r="254" spans="1:35" ht="13.5" thickTop="1" x14ac:dyDescent="0.2"/>
    <row r="255" spans="1:35" x14ac:dyDescent="0.2">
      <c r="B255" s="335" t="s">
        <v>3494</v>
      </c>
      <c r="C255" s="657"/>
      <c r="E255" s="805" t="str">
        <f t="shared" ref="E255:AG255" si="46">IF(ROUND(E186-E253,2)=0,"OK", "Error")</f>
        <v>OK</v>
      </c>
      <c r="F255" s="805" t="str">
        <f t="shared" si="46"/>
        <v>OK</v>
      </c>
      <c r="G255" s="805" t="str">
        <f t="shared" si="46"/>
        <v>OK</v>
      </c>
      <c r="H255" s="805" t="str">
        <f t="shared" si="46"/>
        <v>OK</v>
      </c>
      <c r="I255" s="805" t="str">
        <f t="shared" si="46"/>
        <v>OK</v>
      </c>
      <c r="J255" s="805" t="str">
        <f t="shared" si="46"/>
        <v>OK</v>
      </c>
      <c r="K255" s="805" t="str">
        <f t="shared" si="46"/>
        <v>OK</v>
      </c>
      <c r="L255" s="805" t="str">
        <f t="shared" si="46"/>
        <v>OK</v>
      </c>
      <c r="M255" s="805" t="str">
        <f t="shared" si="46"/>
        <v>OK</v>
      </c>
      <c r="N255" s="805" t="str">
        <f t="shared" si="46"/>
        <v>OK</v>
      </c>
      <c r="O255" s="2018" t="str">
        <f t="shared" si="46"/>
        <v>OK</v>
      </c>
      <c r="P255" s="805" t="str">
        <f t="shared" si="46"/>
        <v>OK</v>
      </c>
      <c r="Q255" s="805" t="str">
        <f t="shared" si="46"/>
        <v>OK</v>
      </c>
      <c r="R255" s="805" t="str">
        <f t="shared" si="46"/>
        <v>OK</v>
      </c>
      <c r="S255" s="805" t="str">
        <f t="shared" si="46"/>
        <v>OK</v>
      </c>
      <c r="T255" s="805" t="str">
        <f t="shared" si="46"/>
        <v>OK</v>
      </c>
      <c r="U255" s="805" t="str">
        <f t="shared" si="46"/>
        <v>OK</v>
      </c>
      <c r="V255" s="805" t="str">
        <f t="shared" si="46"/>
        <v>OK</v>
      </c>
      <c r="W255" s="805" t="str">
        <f t="shared" si="46"/>
        <v>OK</v>
      </c>
      <c r="X255" s="805" t="str">
        <f t="shared" si="46"/>
        <v>OK</v>
      </c>
      <c r="Y255" s="805" t="str">
        <f t="shared" si="46"/>
        <v>OK</v>
      </c>
      <c r="Z255" s="805" t="str">
        <f t="shared" si="46"/>
        <v>OK</v>
      </c>
      <c r="AA255" s="805" t="str">
        <f t="shared" si="46"/>
        <v>OK</v>
      </c>
      <c r="AB255" s="805" t="str">
        <f t="shared" si="46"/>
        <v>OK</v>
      </c>
      <c r="AC255" s="805" t="str">
        <f t="shared" si="46"/>
        <v>OK</v>
      </c>
      <c r="AD255" s="805" t="str">
        <f t="shared" si="46"/>
        <v>OK</v>
      </c>
      <c r="AE255" s="805" t="str">
        <f t="shared" si="46"/>
        <v>OK</v>
      </c>
      <c r="AF255" s="805" t="str">
        <f t="shared" si="46"/>
        <v>OK</v>
      </c>
      <c r="AG255" s="805" t="str">
        <f t="shared" si="46"/>
        <v>OK</v>
      </c>
    </row>
    <row r="256" spans="1:35" x14ac:dyDescent="0.2">
      <c r="B256" s="398"/>
      <c r="C256" s="398"/>
    </row>
    <row r="257" spans="2:33" x14ac:dyDescent="0.2">
      <c r="B257" s="1235" t="s">
        <v>1822</v>
      </c>
      <c r="C257" s="1236"/>
    </row>
    <row r="258" spans="2:33" x14ac:dyDescent="0.2">
      <c r="B258" s="1237" t="s">
        <v>5660</v>
      </c>
      <c r="C258" s="1235"/>
    </row>
    <row r="259" spans="2:33" x14ac:dyDescent="0.2">
      <c r="C259" s="38" t="s">
        <v>1755</v>
      </c>
      <c r="E259" s="1221" t="s">
        <v>1461</v>
      </c>
      <c r="F259" s="1233" t="s">
        <v>1473</v>
      </c>
      <c r="G259" s="1221" t="s">
        <v>896</v>
      </c>
      <c r="H259" s="1221" t="s">
        <v>169</v>
      </c>
      <c r="I259" s="1221" t="s">
        <v>168</v>
      </c>
      <c r="J259" s="1221" t="s">
        <v>1304</v>
      </c>
      <c r="K259" s="1221" t="s">
        <v>1399</v>
      </c>
      <c r="L259" s="1221" t="s">
        <v>3524</v>
      </c>
      <c r="M259" s="1968" t="s">
        <v>4581</v>
      </c>
      <c r="N259" s="1221" t="s">
        <v>3525</v>
      </c>
      <c r="O259" s="1968" t="s">
        <v>401</v>
      </c>
      <c r="P259" s="1221" t="s">
        <v>402</v>
      </c>
      <c r="Q259" s="1221" t="s">
        <v>403</v>
      </c>
      <c r="R259" s="1221" t="s">
        <v>404</v>
      </c>
      <c r="S259" s="1221" t="s">
        <v>405</v>
      </c>
      <c r="T259" s="1221" t="s">
        <v>406</v>
      </c>
      <c r="U259" s="1221" t="s">
        <v>64</v>
      </c>
      <c r="V259" s="1221" t="s">
        <v>65</v>
      </c>
      <c r="W259" s="1221" t="s">
        <v>66</v>
      </c>
      <c r="X259" s="1221" t="s">
        <v>67</v>
      </c>
      <c r="Y259" s="1221" t="s">
        <v>741</v>
      </c>
      <c r="Z259" s="1221" t="s">
        <v>742</v>
      </c>
      <c r="AA259" s="1221" t="s">
        <v>743</v>
      </c>
      <c r="AB259" s="1221" t="s">
        <v>744</v>
      </c>
      <c r="AC259" s="1221" t="s">
        <v>745</v>
      </c>
      <c r="AD259" s="1221" t="s">
        <v>746</v>
      </c>
      <c r="AE259" s="1221" t="s">
        <v>747</v>
      </c>
      <c r="AF259" s="1221" t="s">
        <v>1689</v>
      </c>
      <c r="AG259" s="1234" t="s">
        <v>399</v>
      </c>
    </row>
    <row r="260" spans="2:33" x14ac:dyDescent="0.2">
      <c r="C260" t="s">
        <v>1756</v>
      </c>
      <c r="E260" s="357" t="s">
        <v>1480</v>
      </c>
      <c r="F260" s="357" t="s">
        <v>1143</v>
      </c>
      <c r="G260" s="357" t="s">
        <v>1757</v>
      </c>
      <c r="H260" s="357" t="s">
        <v>1757</v>
      </c>
      <c r="I260" s="357" t="s">
        <v>1477</v>
      </c>
      <c r="J260" s="357" t="s">
        <v>1759</v>
      </c>
      <c r="K260" s="357" t="s">
        <v>4323</v>
      </c>
      <c r="L260" s="357" t="s">
        <v>3691</v>
      </c>
      <c r="M260" s="357" t="s">
        <v>4585</v>
      </c>
      <c r="N260" s="357" t="s">
        <v>3693</v>
      </c>
      <c r="O260" s="357" t="s">
        <v>1786</v>
      </c>
      <c r="P260" s="357" t="s">
        <v>1760</v>
      </c>
      <c r="Q260" s="357" t="s">
        <v>1762</v>
      </c>
      <c r="R260" s="357" t="s">
        <v>1760</v>
      </c>
      <c r="S260" s="357" t="s">
        <v>1760</v>
      </c>
      <c r="T260" s="357" t="s">
        <v>1760</v>
      </c>
      <c r="U260" s="357" t="s">
        <v>1760</v>
      </c>
      <c r="V260" s="357" t="s">
        <v>1767</v>
      </c>
      <c r="W260" s="357" t="s">
        <v>1768</v>
      </c>
      <c r="X260" s="357" t="s">
        <v>1770</v>
      </c>
      <c r="Y260" s="357" t="s">
        <v>1771</v>
      </c>
      <c r="Z260" s="357" t="s">
        <v>1760</v>
      </c>
      <c r="AA260" s="357" t="s">
        <v>1774</v>
      </c>
      <c r="AB260" s="357" t="s">
        <v>1789</v>
      </c>
      <c r="AC260" s="357" t="s">
        <v>1775</v>
      </c>
      <c r="AD260" s="357" t="s">
        <v>1776</v>
      </c>
      <c r="AE260" s="357" t="s">
        <v>1777</v>
      </c>
      <c r="AF260" s="357" t="s">
        <v>1785</v>
      </c>
      <c r="AG260" s="357" t="s">
        <v>1779</v>
      </c>
    </row>
    <row r="261" spans="2:33" x14ac:dyDescent="0.2">
      <c r="B261" s="272"/>
      <c r="E261" s="357" t="s">
        <v>1781</v>
      </c>
      <c r="F261" s="357" t="s">
        <v>1810</v>
      </c>
      <c r="G261" s="357" t="s">
        <v>1758</v>
      </c>
      <c r="H261" s="357" t="s">
        <v>1790</v>
      </c>
      <c r="I261" s="357" t="s">
        <v>1478</v>
      </c>
      <c r="J261" s="357" t="s">
        <v>1479</v>
      </c>
      <c r="K261" s="357" t="s">
        <v>1788</v>
      </c>
      <c r="L261" s="357" t="s">
        <v>3692</v>
      </c>
      <c r="M261" s="357" t="s">
        <v>4583</v>
      </c>
      <c r="N261" s="357" t="s">
        <v>3694</v>
      </c>
      <c r="O261" s="357" t="s">
        <v>1787</v>
      </c>
      <c r="P261" s="357" t="s">
        <v>1761</v>
      </c>
      <c r="Q261" s="357" t="s">
        <v>1130</v>
      </c>
      <c r="R261" s="357" t="s">
        <v>1763</v>
      </c>
      <c r="S261" s="357" t="s">
        <v>1764</v>
      </c>
      <c r="T261" s="357" t="s">
        <v>1765</v>
      </c>
      <c r="U261" s="357" t="s">
        <v>1766</v>
      </c>
      <c r="V261" s="357" t="s">
        <v>1772</v>
      </c>
      <c r="W261" s="357" t="s">
        <v>1769</v>
      </c>
      <c r="X261" s="357" t="s">
        <v>1772</v>
      </c>
      <c r="Y261" s="357" t="s">
        <v>1769</v>
      </c>
      <c r="Z261" s="357" t="s">
        <v>1773</v>
      </c>
      <c r="AA261" s="357" t="s">
        <v>1769</v>
      </c>
      <c r="AB261" s="357" t="s">
        <v>1769</v>
      </c>
      <c r="AC261" s="357" t="s">
        <v>1769</v>
      </c>
      <c r="AD261" s="357" t="s">
        <v>1130</v>
      </c>
      <c r="AE261" s="357" t="s">
        <v>1778</v>
      </c>
      <c r="AF261" s="357" t="s">
        <v>1784</v>
      </c>
      <c r="AG261" s="357" t="s">
        <v>1780</v>
      </c>
    </row>
    <row r="262" spans="2:33" x14ac:dyDescent="0.2">
      <c r="B262" s="272" t="s">
        <v>1823</v>
      </c>
      <c r="E262" s="1087" t="str">
        <f>TEXT(Data!$A$4,"mmmm d,yyyy")</f>
        <v>June 30,2021</v>
      </c>
      <c r="F262" s="1087" t="str">
        <f>TEXT(Data!$A$4,"mmmm d,yyyy")</f>
        <v>June 30,2021</v>
      </c>
      <c r="G262" s="1087" t="str">
        <f>TEXT(Data!$A$4,"mmmm d,yyyy")</f>
        <v>June 30,2021</v>
      </c>
      <c r="H262" s="1087" t="str">
        <f>TEXT(Data!$A$4,"mmmm d,yyyy")</f>
        <v>June 30,2021</v>
      </c>
      <c r="I262" s="1087" t="str">
        <f>TEXT(Data!$A$4,"mmmm d,yyyy")</f>
        <v>June 30,2021</v>
      </c>
      <c r="J262" s="1087" t="str">
        <f>TEXT(Data!$A$4,"mmmm d,yyyy")</f>
        <v>June 30,2021</v>
      </c>
      <c r="K262" s="1087" t="str">
        <f>TEXT(Data!$A$4,"mmmm d,yyyy")</f>
        <v>June 30,2021</v>
      </c>
      <c r="L262" s="1087" t="str">
        <f>TEXT(Data!$A$4,"mmmm d,yyyy")</f>
        <v>June 30,2021</v>
      </c>
      <c r="M262" s="1087" t="str">
        <f>TEXT(Data!$A$4,"mmmm d,yyyy")</f>
        <v>June 30,2021</v>
      </c>
      <c r="N262" s="1087" t="str">
        <f>TEXT(Data!$A$4,"mmmm d,yyyy")</f>
        <v>June 30,2021</v>
      </c>
      <c r="O262" s="1087" t="str">
        <f>TEXT(Data!$A$4,"mmmm d,yyyy")</f>
        <v>June 30,2021</v>
      </c>
      <c r="P262" s="1087" t="str">
        <f>TEXT(Data!$A$4,"mmmm d,yyyy")</f>
        <v>June 30,2021</v>
      </c>
      <c r="Q262" s="1087" t="str">
        <f>TEXT(Data!$A$4,"mmmm d,yyyy")</f>
        <v>June 30,2021</v>
      </c>
      <c r="R262" s="1087" t="str">
        <f>TEXT(Data!$A$4,"mmmm d,yyyy")</f>
        <v>June 30,2021</v>
      </c>
      <c r="S262" s="1087" t="str">
        <f>TEXT(Data!$A$4,"mmmm d,yyyy")</f>
        <v>June 30,2021</v>
      </c>
      <c r="T262" s="1087" t="str">
        <f>TEXT(Data!$A$4,"mmmm d,yyyy")</f>
        <v>June 30,2021</v>
      </c>
      <c r="U262" s="1087" t="str">
        <f>TEXT(Data!$A$4,"mmmm d,yyyy")</f>
        <v>June 30,2021</v>
      </c>
      <c r="V262" s="1087" t="str">
        <f>TEXT(Data!$A$4,"mmmm d,yyyy")</f>
        <v>June 30,2021</v>
      </c>
      <c r="W262" s="1087" t="str">
        <f>TEXT(Data!$A$4,"mmmm d,yyyy")</f>
        <v>June 30,2021</v>
      </c>
      <c r="X262" s="1087" t="str">
        <f>TEXT(Data!$A$4,"mmmm d,yyyy")</f>
        <v>June 30,2021</v>
      </c>
      <c r="Y262" s="1087" t="str">
        <f>TEXT(Data!$A$4,"mmmm d,yyyy")</f>
        <v>June 30,2021</v>
      </c>
      <c r="Z262" s="1087" t="str">
        <f>TEXT(Data!$A$4,"mmmm d,yyyy")</f>
        <v>June 30,2021</v>
      </c>
      <c r="AA262" s="1087" t="str">
        <f>TEXT(Data!$A$4,"mmmm d,yyyy")</f>
        <v>June 30,2021</v>
      </c>
      <c r="AB262" s="1087" t="str">
        <f>TEXT(Data!$A$4,"mmmm d,yyyy")</f>
        <v>June 30,2021</v>
      </c>
      <c r="AC262" s="1087" t="str">
        <f>TEXT(Data!$A$4,"mmmm d,yyyy")</f>
        <v>June 30,2021</v>
      </c>
      <c r="AD262" s="1087" t="str">
        <f>TEXT(Data!$A$4,"mmmm d,yyyy")</f>
        <v>June 30,2021</v>
      </c>
      <c r="AE262" s="1087" t="str">
        <f>TEXT(Data!$A$4,"mmmm d,yyyy")</f>
        <v>June 30,2021</v>
      </c>
      <c r="AF262" s="1087" t="str">
        <f>TEXT(Data!$A$4,"mmmm d,yyyy")</f>
        <v>June 30,2021</v>
      </c>
      <c r="AG262" s="1087" t="str">
        <f>TEXT(Data!$A$4,"mmmm d,yyyy")</f>
        <v>June 30,2021</v>
      </c>
    </row>
    <row r="263" spans="2:33" x14ac:dyDescent="0.2">
      <c r="B263" s="3007" t="s">
        <v>617</v>
      </c>
      <c r="C263" s="3007"/>
      <c r="D263" s="2025" t="str">
        <f>IF(ROUND(SUM(F263:N263),2)-ROUND(E263,2)=0,"OK","prob")</f>
        <v>prob</v>
      </c>
      <c r="E263" s="649">
        <v>790232184.61000001</v>
      </c>
      <c r="F263" s="649">
        <v>454307220</v>
      </c>
      <c r="G263" s="649">
        <v>30028869.170000002</v>
      </c>
      <c r="H263" s="649">
        <v>0</v>
      </c>
      <c r="I263" s="649">
        <v>250951023.56999999</v>
      </c>
      <c r="J263" s="649">
        <v>7961658</v>
      </c>
      <c r="K263" s="649">
        <v>2255155.2400000002</v>
      </c>
      <c r="L263" s="649"/>
      <c r="M263" s="649">
        <v>2247145</v>
      </c>
      <c r="N263" s="649">
        <v>43784410.630000003</v>
      </c>
      <c r="O263" s="393">
        <v>61553342.82</v>
      </c>
      <c r="P263" s="649">
        <v>1458357330.3099999</v>
      </c>
      <c r="Q263" s="649">
        <v>947937751.58000004</v>
      </c>
      <c r="R263" s="649">
        <v>227967435</v>
      </c>
      <c r="S263" s="649">
        <v>264254836.55000001</v>
      </c>
      <c r="T263" s="649">
        <v>93175412.670000002</v>
      </c>
      <c r="U263" s="649">
        <v>194315449.47999999</v>
      </c>
      <c r="V263" s="649">
        <v>323074252.30000001</v>
      </c>
      <c r="W263" s="649">
        <v>160055988.02000001</v>
      </c>
      <c r="X263" s="649">
        <v>124562959.78</v>
      </c>
      <c r="Y263" s="649">
        <v>289974206.17000002</v>
      </c>
      <c r="Z263" s="649">
        <v>74135050.480000004</v>
      </c>
      <c r="AA263" s="649">
        <v>106350882.09999999</v>
      </c>
      <c r="AB263" s="649">
        <v>58161613.920000002</v>
      </c>
      <c r="AC263" s="649">
        <v>60021745.920000002</v>
      </c>
      <c r="AD263" s="649">
        <v>123237129.31999999</v>
      </c>
      <c r="AE263" s="649">
        <v>58657761.710000001</v>
      </c>
      <c r="AF263" s="649">
        <v>20876985.600000001</v>
      </c>
      <c r="AG263" s="649">
        <v>1142610.78</v>
      </c>
    </row>
    <row r="264" spans="2:33" x14ac:dyDescent="0.2">
      <c r="B264" s="3007" t="s">
        <v>1411</v>
      </c>
      <c r="C264" s="3007"/>
      <c r="D264" t="str">
        <f>IF(ROUND(SUM(F264:N264),2)-ROUND(E264,2)=0,"OK","prob")</f>
        <v>OK</v>
      </c>
      <c r="E264" s="649">
        <v>839756421.45000005</v>
      </c>
      <c r="F264" s="649">
        <v>389507981</v>
      </c>
      <c r="G264" s="649">
        <v>92018616.819999993</v>
      </c>
      <c r="H264" s="649">
        <v>0</v>
      </c>
      <c r="I264" s="649">
        <v>284740184.67000002</v>
      </c>
      <c r="J264" s="649">
        <v>11543762</v>
      </c>
      <c r="K264" s="649">
        <v>1924967.21</v>
      </c>
      <c r="L264" s="649"/>
      <c r="M264" s="649">
        <v>1910091</v>
      </c>
      <c r="N264" s="649">
        <v>58110818.75</v>
      </c>
      <c r="O264" s="393">
        <v>14390445.710000001</v>
      </c>
      <c r="P264" s="649">
        <v>312889662.79000002</v>
      </c>
      <c r="Q264" s="649">
        <v>271318893.14999998</v>
      </c>
      <c r="R264" s="649">
        <v>38771527.32</v>
      </c>
      <c r="S264" s="649">
        <v>71039884.730000004</v>
      </c>
      <c r="T264" s="649">
        <v>5856257.0999999996</v>
      </c>
      <c r="U264" s="649">
        <v>38884968.270000003</v>
      </c>
      <c r="V264" s="649">
        <v>105582954.97</v>
      </c>
      <c r="W264" s="649">
        <v>46049566.310000002</v>
      </c>
      <c r="X264" s="649">
        <v>18741280.890000001</v>
      </c>
      <c r="Y264" s="649">
        <v>35774339.880000003</v>
      </c>
      <c r="Z264" s="649">
        <v>19997223.149999999</v>
      </c>
      <c r="AA264" s="649">
        <v>13996919.970000001</v>
      </c>
      <c r="AB264" s="649">
        <v>11345345.34</v>
      </c>
      <c r="AC264" s="649">
        <v>11279912.34</v>
      </c>
      <c r="AD264" s="649">
        <v>26992642.18</v>
      </c>
      <c r="AE264" s="649">
        <v>10306738.4</v>
      </c>
      <c r="AF264" s="649">
        <v>10990927.27</v>
      </c>
      <c r="AG264" s="649">
        <v>245055.66</v>
      </c>
    </row>
    <row r="265" spans="2:33" x14ac:dyDescent="0.2">
      <c r="B265" s="3007" t="s">
        <v>1537</v>
      </c>
      <c r="C265" s="3007"/>
      <c r="D265" t="str">
        <f>IF(SUM(F265:N265)-E265=0,"OK","prob")</f>
        <v>OK</v>
      </c>
      <c r="E265" s="649">
        <v>0</v>
      </c>
      <c r="F265" s="649">
        <v>0</v>
      </c>
      <c r="G265" s="649">
        <v>0</v>
      </c>
      <c r="H265" s="649">
        <v>0</v>
      </c>
      <c r="I265" s="649">
        <v>0</v>
      </c>
      <c r="J265" s="649">
        <v>0</v>
      </c>
      <c r="K265" s="649">
        <v>0</v>
      </c>
      <c r="L265" s="649"/>
      <c r="M265" s="649">
        <v>0</v>
      </c>
      <c r="N265" s="649">
        <v>0</v>
      </c>
      <c r="O265" s="2332">
        <v>0</v>
      </c>
      <c r="P265" s="649">
        <v>0</v>
      </c>
      <c r="Q265" s="649">
        <v>0</v>
      </c>
      <c r="R265" s="649">
        <v>0</v>
      </c>
      <c r="S265" s="649">
        <v>0</v>
      </c>
      <c r="T265" s="649">
        <v>194743.96</v>
      </c>
      <c r="U265" s="649">
        <v>0</v>
      </c>
      <c r="V265" s="649">
        <v>0</v>
      </c>
      <c r="W265" s="649">
        <v>0</v>
      </c>
      <c r="X265" s="649">
        <v>0</v>
      </c>
      <c r="Y265" s="649">
        <v>0</v>
      </c>
      <c r="Z265" s="649">
        <v>0</v>
      </c>
      <c r="AA265" s="649">
        <v>0</v>
      </c>
      <c r="AB265" s="649">
        <v>0</v>
      </c>
      <c r="AC265" s="649">
        <v>0</v>
      </c>
      <c r="AD265" s="649">
        <v>0</v>
      </c>
      <c r="AE265" s="649">
        <v>0</v>
      </c>
      <c r="AF265" s="649">
        <v>0</v>
      </c>
      <c r="AG265" s="649">
        <v>0</v>
      </c>
    </row>
    <row r="266" spans="2:33" x14ac:dyDescent="0.2">
      <c r="B266" s="3007" t="s">
        <v>1412</v>
      </c>
      <c r="C266" s="3007"/>
      <c r="D266" s="2025" t="str">
        <f>IF(ROUND(SUM(F266:N266),2)-ROUND(E266,2)=0,"OK","prob")</f>
        <v>prob</v>
      </c>
      <c r="E266" s="649">
        <v>26021684.859999999</v>
      </c>
      <c r="F266" s="649">
        <v>5208617</v>
      </c>
      <c r="G266" s="649">
        <v>0</v>
      </c>
      <c r="H266" s="649">
        <v>0</v>
      </c>
      <c r="I266" s="649">
        <v>19071696</v>
      </c>
      <c r="J266" s="649">
        <v>1718907</v>
      </c>
      <c r="K266" s="649">
        <v>0</v>
      </c>
      <c r="L266" s="649"/>
      <c r="M266" s="649">
        <v>22462.86</v>
      </c>
      <c r="N266" s="649">
        <v>0</v>
      </c>
      <c r="O266" s="393">
        <v>11401384.5</v>
      </c>
      <c r="P266" s="649">
        <v>540201991.41999996</v>
      </c>
      <c r="Q266" s="649">
        <v>91194483</v>
      </c>
      <c r="R266" s="649">
        <v>53737774.289999999</v>
      </c>
      <c r="S266" s="649">
        <v>63912237.090000004</v>
      </c>
      <c r="T266" s="649">
        <v>13135531.15</v>
      </c>
      <c r="U266" s="649">
        <v>18835283.629999999</v>
      </c>
      <c r="V266" s="649">
        <v>43174088.229999997</v>
      </c>
      <c r="W266" s="649">
        <v>11152258.609999999</v>
      </c>
      <c r="X266" s="649">
        <v>25800436.170000002</v>
      </c>
      <c r="Y266" s="649">
        <v>38389985.609999999</v>
      </c>
      <c r="Z266" s="649">
        <v>10221326.07</v>
      </c>
      <c r="AA266" s="649">
        <v>9237936.5999999996</v>
      </c>
      <c r="AB266" s="649">
        <v>11098541.060000001</v>
      </c>
      <c r="AC266" s="649">
        <v>7053088.9400000004</v>
      </c>
      <c r="AD266" s="649">
        <v>17515233.59</v>
      </c>
      <c r="AE266" s="649">
        <v>2215969.96</v>
      </c>
      <c r="AF266" s="649">
        <v>74142.320000000007</v>
      </c>
      <c r="AG266" s="649">
        <v>1580492</v>
      </c>
    </row>
    <row r="267" spans="2:33" x14ac:dyDescent="0.2">
      <c r="B267" s="3006" t="s">
        <v>5652</v>
      </c>
      <c r="C267" s="3006"/>
      <c r="D267" s="2025" t="str">
        <f t="shared" ref="D267:D270" si="47">IF(ROUND(SUM(F267:N267),2)-ROUND(E267,2)=0,"OK","prob")</f>
        <v>OK</v>
      </c>
      <c r="E267" s="649"/>
      <c r="F267" s="649"/>
      <c r="G267" s="649"/>
      <c r="H267" s="649"/>
      <c r="I267" s="649"/>
      <c r="J267" s="649"/>
      <c r="K267" s="649"/>
      <c r="L267" s="649"/>
      <c r="M267" s="649"/>
      <c r="N267" s="649"/>
      <c r="O267" s="393"/>
      <c r="P267" s="649"/>
      <c r="Q267" s="649"/>
      <c r="R267" s="649"/>
      <c r="S267" s="649"/>
      <c r="T267" s="649"/>
      <c r="U267" s="649"/>
      <c r="V267" s="649"/>
      <c r="W267" s="649"/>
      <c r="X267" s="649"/>
      <c r="Y267" s="649"/>
      <c r="Z267" s="649"/>
      <c r="AA267" s="649"/>
      <c r="AB267" s="649"/>
      <c r="AC267" s="649"/>
      <c r="AD267" s="649"/>
      <c r="AE267" s="649"/>
      <c r="AF267" s="649"/>
      <c r="AG267" s="649"/>
    </row>
    <row r="268" spans="2:33" x14ac:dyDescent="0.2">
      <c r="B268" s="3006" t="s">
        <v>5653</v>
      </c>
      <c r="C268" s="3006"/>
      <c r="D268" s="2025" t="str">
        <f t="shared" si="47"/>
        <v>OK</v>
      </c>
      <c r="E268" s="649"/>
      <c r="F268" s="649"/>
      <c r="G268" s="649"/>
      <c r="H268" s="649"/>
      <c r="I268" s="649"/>
      <c r="J268" s="649"/>
      <c r="K268" s="649"/>
      <c r="L268" s="649"/>
      <c r="M268" s="649"/>
      <c r="N268" s="649"/>
      <c r="O268" s="393"/>
      <c r="P268" s="649"/>
      <c r="Q268" s="649"/>
      <c r="R268" s="649"/>
      <c r="S268" s="649"/>
      <c r="T268" s="649"/>
      <c r="U268" s="649"/>
      <c r="V268" s="649"/>
      <c r="W268" s="649"/>
      <c r="X268" s="649"/>
      <c r="Y268" s="649"/>
      <c r="Z268" s="649"/>
      <c r="AA268" s="649"/>
      <c r="AB268" s="649"/>
      <c r="AC268" s="649"/>
      <c r="AD268" s="649"/>
      <c r="AE268" s="649"/>
      <c r="AF268" s="649"/>
      <c r="AG268" s="649"/>
    </row>
    <row r="269" spans="2:33" x14ac:dyDescent="0.2">
      <c r="B269" s="3006" t="s">
        <v>5654</v>
      </c>
      <c r="C269" s="3006"/>
      <c r="D269" s="2025" t="str">
        <f t="shared" si="47"/>
        <v>OK</v>
      </c>
      <c r="E269" s="649"/>
      <c r="F269" s="649"/>
      <c r="G269" s="649"/>
      <c r="H269" s="649"/>
      <c r="I269" s="649"/>
      <c r="J269" s="649"/>
      <c r="K269" s="649"/>
      <c r="L269" s="649"/>
      <c r="M269" s="649"/>
      <c r="N269" s="649"/>
      <c r="O269" s="393"/>
      <c r="P269" s="649"/>
      <c r="Q269" s="649"/>
      <c r="R269" s="649"/>
      <c r="S269" s="649"/>
      <c r="T269" s="649"/>
      <c r="U269" s="649"/>
      <c r="V269" s="649"/>
      <c r="W269" s="649"/>
      <c r="X269" s="649"/>
      <c r="Y269" s="649"/>
      <c r="Z269" s="649"/>
      <c r="AA269" s="649"/>
      <c r="AB269" s="649"/>
      <c r="AC269" s="649"/>
      <c r="AD269" s="649"/>
      <c r="AE269" s="649"/>
      <c r="AF269" s="649"/>
      <c r="AG269" s="649"/>
    </row>
    <row r="270" spans="2:33" x14ac:dyDescent="0.2">
      <c r="B270" s="3006" t="s">
        <v>5655</v>
      </c>
      <c r="C270" s="3006"/>
      <c r="D270" s="2025" t="str">
        <f t="shared" si="47"/>
        <v>OK</v>
      </c>
      <c r="E270" s="649"/>
      <c r="F270" s="649"/>
      <c r="G270" s="649"/>
      <c r="H270" s="649"/>
      <c r="I270" s="649"/>
      <c r="J270" s="649"/>
      <c r="K270" s="649"/>
      <c r="L270" s="649"/>
      <c r="M270" s="649"/>
      <c r="N270" s="649"/>
      <c r="O270" s="393"/>
      <c r="P270" s="649"/>
      <c r="Q270" s="649"/>
      <c r="R270" s="649"/>
      <c r="S270" s="649"/>
      <c r="T270" s="649"/>
      <c r="U270" s="649"/>
      <c r="V270" s="649"/>
      <c r="W270" s="649"/>
      <c r="X270" s="649"/>
      <c r="Y270" s="649"/>
      <c r="Z270" s="649"/>
      <c r="AA270" s="649"/>
      <c r="AB270" s="649"/>
      <c r="AC270" s="649"/>
      <c r="AD270" s="649"/>
      <c r="AE270" s="649"/>
      <c r="AF270" s="649"/>
      <c r="AG270" s="649"/>
    </row>
    <row r="271" spans="2:33" x14ac:dyDescent="0.2">
      <c r="B271" s="3007" t="s">
        <v>1558</v>
      </c>
      <c r="C271" s="3007"/>
      <c r="D271" t="str">
        <f>IF(SUM(F271:N271)-E271=0,"OK","prob")</f>
        <v>OK</v>
      </c>
      <c r="E271" s="649">
        <v>0</v>
      </c>
      <c r="F271" s="649">
        <v>0</v>
      </c>
      <c r="G271" s="649">
        <v>0</v>
      </c>
      <c r="H271" s="649">
        <v>0</v>
      </c>
      <c r="I271" s="649">
        <v>0</v>
      </c>
      <c r="J271" s="649">
        <v>0</v>
      </c>
      <c r="K271" s="649">
        <v>0</v>
      </c>
      <c r="L271" s="649"/>
      <c r="M271" s="649">
        <v>0</v>
      </c>
      <c r="N271" s="649">
        <v>0</v>
      </c>
      <c r="O271" s="393">
        <v>0</v>
      </c>
      <c r="P271" s="649">
        <v>0</v>
      </c>
      <c r="Q271" s="649">
        <v>0</v>
      </c>
      <c r="R271" s="649">
        <v>0</v>
      </c>
      <c r="S271" s="649">
        <v>0</v>
      </c>
      <c r="T271" s="649">
        <v>0</v>
      </c>
      <c r="U271" s="649">
        <v>0</v>
      </c>
      <c r="V271" s="649">
        <v>0</v>
      </c>
      <c r="W271" s="649">
        <v>0</v>
      </c>
      <c r="X271" s="649">
        <v>0</v>
      </c>
      <c r="Y271" s="649">
        <v>0</v>
      </c>
      <c r="Z271" s="649">
        <v>0</v>
      </c>
      <c r="AA271" s="649">
        <v>0</v>
      </c>
      <c r="AB271" s="649">
        <v>0</v>
      </c>
      <c r="AC271" s="649">
        <v>0</v>
      </c>
      <c r="AD271" s="649">
        <v>0</v>
      </c>
      <c r="AE271" s="649">
        <v>0</v>
      </c>
      <c r="AF271" s="649">
        <v>0</v>
      </c>
      <c r="AG271" s="649">
        <v>0</v>
      </c>
    </row>
    <row r="272" spans="2:33" x14ac:dyDescent="0.2">
      <c r="B272" s="3007" t="s">
        <v>4683</v>
      </c>
      <c r="C272" s="3007"/>
      <c r="D272" t="str">
        <f>IF(SUM(F272:N272)-E272=0,"OK","prob")</f>
        <v>OK</v>
      </c>
      <c r="E272" s="649">
        <v>0</v>
      </c>
      <c r="F272" s="649">
        <v>0</v>
      </c>
      <c r="G272" s="649">
        <v>0</v>
      </c>
      <c r="H272" s="649">
        <v>0</v>
      </c>
      <c r="I272" s="649">
        <v>0</v>
      </c>
      <c r="J272" s="649">
        <v>0</v>
      </c>
      <c r="K272" s="649">
        <v>0</v>
      </c>
      <c r="L272" s="649"/>
      <c r="M272" s="649">
        <v>0</v>
      </c>
      <c r="N272" s="649">
        <v>0</v>
      </c>
      <c r="O272" s="393">
        <v>0</v>
      </c>
      <c r="P272" s="649">
        <v>0</v>
      </c>
      <c r="Q272" s="649">
        <v>0</v>
      </c>
      <c r="R272" s="649">
        <v>0</v>
      </c>
      <c r="S272" s="649">
        <v>0</v>
      </c>
      <c r="T272" s="649">
        <v>0</v>
      </c>
      <c r="U272" s="649">
        <v>0</v>
      </c>
      <c r="V272" s="649">
        <v>0</v>
      </c>
      <c r="W272" s="649">
        <v>0</v>
      </c>
      <c r="X272" s="649">
        <v>0</v>
      </c>
      <c r="Y272" s="649">
        <v>0</v>
      </c>
      <c r="Z272" s="649">
        <v>0</v>
      </c>
      <c r="AA272" s="649">
        <v>0</v>
      </c>
      <c r="AB272" s="649">
        <v>0</v>
      </c>
      <c r="AC272" s="649">
        <v>0</v>
      </c>
      <c r="AD272" s="649">
        <v>0</v>
      </c>
      <c r="AE272" s="649">
        <v>0</v>
      </c>
      <c r="AF272" s="649">
        <v>0</v>
      </c>
      <c r="AG272" s="649">
        <v>0</v>
      </c>
    </row>
    <row r="273" spans="1:33" x14ac:dyDescent="0.2">
      <c r="B273" s="3007" t="s">
        <v>1538</v>
      </c>
      <c r="C273" s="3007"/>
      <c r="D273" s="2025" t="str">
        <f>IF(ROUND(SUM(F273:N273),2)-ROUND(E273,2)=0,"OK","prob")</f>
        <v>prob</v>
      </c>
      <c r="E273" s="649">
        <v>160116304.86000001</v>
      </c>
      <c r="F273" s="649">
        <v>9519296</v>
      </c>
      <c r="G273" s="649">
        <v>150530313.86000001</v>
      </c>
      <c r="H273" s="649">
        <v>0</v>
      </c>
      <c r="I273" s="649">
        <v>0</v>
      </c>
      <c r="J273" s="649">
        <v>28118</v>
      </c>
      <c r="K273" s="649">
        <v>38578</v>
      </c>
      <c r="L273" s="649"/>
      <c r="M273" s="649">
        <v>0</v>
      </c>
      <c r="N273" s="649">
        <v>0</v>
      </c>
      <c r="O273" s="393">
        <v>0</v>
      </c>
      <c r="P273" s="649">
        <v>89805475.670000002</v>
      </c>
      <c r="Q273" s="649">
        <v>29478450.59</v>
      </c>
      <c r="R273" s="649">
        <v>0</v>
      </c>
      <c r="S273" s="649">
        <v>4949780.1399999997</v>
      </c>
      <c r="T273" s="649">
        <v>0</v>
      </c>
      <c r="U273" s="649">
        <v>0</v>
      </c>
      <c r="V273" s="649">
        <v>9285757.5299999993</v>
      </c>
      <c r="W273" s="649">
        <v>0</v>
      </c>
      <c r="X273" s="649">
        <v>113425.29</v>
      </c>
      <c r="Y273" s="649">
        <v>443077.87</v>
      </c>
      <c r="Z273" s="649">
        <v>0</v>
      </c>
      <c r="AA273" s="649">
        <v>316167.67</v>
      </c>
      <c r="AB273" s="649">
        <v>0</v>
      </c>
      <c r="AC273" s="649">
        <v>0</v>
      </c>
      <c r="AD273" s="649">
        <v>0</v>
      </c>
      <c r="AE273" s="649">
        <v>0</v>
      </c>
      <c r="AF273" s="649">
        <v>0</v>
      </c>
      <c r="AG273" s="649">
        <v>0</v>
      </c>
    </row>
    <row r="274" spans="1:33" x14ac:dyDescent="0.2">
      <c r="B274" s="3007" t="s">
        <v>1413</v>
      </c>
      <c r="C274" s="3007"/>
      <c r="D274" t="str">
        <f>IF(SUM(F274:N274)-E274=0,"OK","prob")</f>
        <v>OK</v>
      </c>
      <c r="E274" s="649">
        <v>0</v>
      </c>
      <c r="F274" s="649">
        <v>0</v>
      </c>
      <c r="G274" s="649">
        <v>0</v>
      </c>
      <c r="H274" s="649">
        <v>0</v>
      </c>
      <c r="I274" s="649">
        <v>0</v>
      </c>
      <c r="J274" s="649">
        <v>0</v>
      </c>
      <c r="K274" s="649">
        <v>0</v>
      </c>
      <c r="L274" s="649"/>
      <c r="M274" s="649">
        <v>0</v>
      </c>
      <c r="N274" s="649">
        <v>0</v>
      </c>
      <c r="O274" s="393">
        <v>0</v>
      </c>
      <c r="P274" s="649">
        <v>0</v>
      </c>
      <c r="Q274" s="649">
        <v>0</v>
      </c>
      <c r="R274" s="649">
        <v>0</v>
      </c>
      <c r="S274" s="649">
        <v>0</v>
      </c>
      <c r="T274" s="649">
        <v>0</v>
      </c>
      <c r="U274" s="649">
        <v>0</v>
      </c>
      <c r="V274" s="649">
        <v>0</v>
      </c>
      <c r="W274" s="649">
        <v>0</v>
      </c>
      <c r="X274" s="649">
        <v>0</v>
      </c>
      <c r="Y274" s="649">
        <v>0</v>
      </c>
      <c r="Z274" s="649">
        <v>0</v>
      </c>
      <c r="AA274" s="649">
        <v>0</v>
      </c>
      <c r="AB274" s="649">
        <v>0</v>
      </c>
      <c r="AC274" s="649">
        <v>0</v>
      </c>
      <c r="AD274" s="649">
        <v>0</v>
      </c>
      <c r="AE274" s="649">
        <v>0</v>
      </c>
      <c r="AF274" s="649">
        <v>0</v>
      </c>
      <c r="AG274" s="649">
        <v>0</v>
      </c>
    </row>
    <row r="275" spans="1:33" x14ac:dyDescent="0.2">
      <c r="B275" s="3007" t="s">
        <v>1807</v>
      </c>
      <c r="C275" s="3007"/>
      <c r="D275" s="2025" t="str">
        <f>IF(ROUND(SUM(F275:N275),2)-ROUND(E275,2)=0,"OK","prob")</f>
        <v>prob</v>
      </c>
      <c r="E275" s="651">
        <v>1303296</v>
      </c>
      <c r="F275" s="649">
        <v>0</v>
      </c>
      <c r="G275" s="651">
        <v>0</v>
      </c>
      <c r="H275" s="651">
        <v>0</v>
      </c>
      <c r="I275" s="649">
        <v>0</v>
      </c>
      <c r="J275" s="649">
        <v>0</v>
      </c>
      <c r="K275" s="649">
        <v>0</v>
      </c>
      <c r="L275" s="649"/>
      <c r="M275" s="649">
        <v>0</v>
      </c>
      <c r="N275" s="649">
        <v>0</v>
      </c>
      <c r="O275" s="843">
        <v>0</v>
      </c>
      <c r="P275" s="651">
        <v>0</v>
      </c>
      <c r="Q275" s="651">
        <v>0</v>
      </c>
      <c r="R275" s="651">
        <v>0</v>
      </c>
      <c r="S275" s="651">
        <v>0</v>
      </c>
      <c r="T275" s="651">
        <v>0</v>
      </c>
      <c r="U275" s="651">
        <v>0</v>
      </c>
      <c r="V275" s="651">
        <v>0</v>
      </c>
      <c r="W275" s="651">
        <v>0</v>
      </c>
      <c r="X275" s="651">
        <v>892664.1</v>
      </c>
      <c r="Y275" s="651">
        <v>0</v>
      </c>
      <c r="Z275" s="651">
        <v>0</v>
      </c>
      <c r="AA275" s="651">
        <v>0</v>
      </c>
      <c r="AB275" s="651">
        <v>0</v>
      </c>
      <c r="AC275" s="651">
        <v>0</v>
      </c>
      <c r="AD275" s="651">
        <v>0</v>
      </c>
      <c r="AE275" s="651">
        <v>0</v>
      </c>
      <c r="AF275" s="651">
        <v>0</v>
      </c>
      <c r="AG275" s="651">
        <v>0</v>
      </c>
    </row>
    <row r="276" spans="1:33" ht="13.5" thickBot="1" x14ac:dyDescent="0.25">
      <c r="B276" s="272" t="s">
        <v>1824</v>
      </c>
      <c r="D276" t="str">
        <f>IF(ROUND(SUM(F276:N276),2)-ROUND(E276,2)=0,"OK","prob")</f>
        <v>OK</v>
      </c>
      <c r="E276" s="1606">
        <f>SUM(E263:E275)</f>
        <v>1817429891.78</v>
      </c>
      <c r="F276" s="1606">
        <f>SUM(F263:F275)</f>
        <v>858543114</v>
      </c>
      <c r="G276" s="1606">
        <f t="shared" ref="G276:AG276" si="48">SUM(G263:G275)</f>
        <v>272577799.85000002</v>
      </c>
      <c r="H276" s="1606">
        <f t="shared" si="48"/>
        <v>0</v>
      </c>
      <c r="I276" s="1606">
        <f t="shared" si="48"/>
        <v>554762904.24000001</v>
      </c>
      <c r="J276" s="1606">
        <f t="shared" si="48"/>
        <v>21252445</v>
      </c>
      <c r="K276" s="1606">
        <f t="shared" si="48"/>
        <v>4218700.45</v>
      </c>
      <c r="L276" s="1606">
        <f>SUM(L263:L275)</f>
        <v>0</v>
      </c>
      <c r="M276" s="1606">
        <f>SUM(M263:M275)</f>
        <v>4179698.86</v>
      </c>
      <c r="N276" s="1606">
        <f>SUM(N263:N275)</f>
        <v>101895229.38</v>
      </c>
      <c r="O276" s="708">
        <f t="shared" si="48"/>
        <v>87345173.030000001</v>
      </c>
      <c r="P276" s="1606">
        <f t="shared" si="48"/>
        <v>2401254460.1900001</v>
      </c>
      <c r="Q276" s="1606">
        <f t="shared" si="48"/>
        <v>1339929578.3199999</v>
      </c>
      <c r="R276" s="1606">
        <f t="shared" si="48"/>
        <v>320476736.61000001</v>
      </c>
      <c r="S276" s="1606">
        <f t="shared" si="48"/>
        <v>404156738.50999999</v>
      </c>
      <c r="T276" s="1606">
        <f t="shared" si="48"/>
        <v>112361944.88</v>
      </c>
      <c r="U276" s="1606">
        <f t="shared" si="48"/>
        <v>252035701.38</v>
      </c>
      <c r="V276" s="1606">
        <f t="shared" si="48"/>
        <v>481117053.02999997</v>
      </c>
      <c r="W276" s="1606">
        <f t="shared" si="48"/>
        <v>217257812.94</v>
      </c>
      <c r="X276" s="1606">
        <f t="shared" si="48"/>
        <v>170110766.22999999</v>
      </c>
      <c r="Y276" s="1606">
        <f t="shared" si="48"/>
        <v>364581609.52999997</v>
      </c>
      <c r="Z276" s="1606">
        <f t="shared" si="48"/>
        <v>104353599.7</v>
      </c>
      <c r="AA276" s="1606">
        <f t="shared" si="48"/>
        <v>129901906.34</v>
      </c>
      <c r="AB276" s="1606">
        <f t="shared" si="48"/>
        <v>80605500.319999993</v>
      </c>
      <c r="AC276" s="1606">
        <f t="shared" si="48"/>
        <v>78354747.200000003</v>
      </c>
      <c r="AD276" s="1606">
        <f t="shared" si="48"/>
        <v>167745005.09</v>
      </c>
      <c r="AE276" s="1606">
        <f t="shared" si="48"/>
        <v>71180470.069999993</v>
      </c>
      <c r="AF276" s="1606">
        <f t="shared" si="48"/>
        <v>31942055.190000001</v>
      </c>
      <c r="AG276" s="1606">
        <f t="shared" si="48"/>
        <v>2968158.44</v>
      </c>
    </row>
    <row r="277" spans="1:33" ht="13.5" thickTop="1" x14ac:dyDescent="0.2"/>
    <row r="278" spans="1:33" x14ac:dyDescent="0.2">
      <c r="B278" s="1238" t="s">
        <v>1915</v>
      </c>
      <c r="E278" s="805" t="str">
        <f t="shared" ref="E278:AG278" si="49">IF(ROUND(E80+E276,2)=0,"OK", "Error")</f>
        <v>OK</v>
      </c>
      <c r="F278" s="805" t="str">
        <f t="shared" si="49"/>
        <v>OK</v>
      </c>
      <c r="G278" s="805" t="str">
        <f t="shared" si="49"/>
        <v>OK</v>
      </c>
      <c r="H278" s="805" t="str">
        <f t="shared" si="49"/>
        <v>OK</v>
      </c>
      <c r="I278" s="805" t="str">
        <f t="shared" si="49"/>
        <v>OK</v>
      </c>
      <c r="J278" s="805" t="str">
        <f t="shared" si="49"/>
        <v>OK</v>
      </c>
      <c r="K278" s="805" t="str">
        <f t="shared" si="49"/>
        <v>OK</v>
      </c>
      <c r="L278" s="805" t="str">
        <f t="shared" si="49"/>
        <v>OK</v>
      </c>
      <c r="M278" s="805" t="str">
        <f t="shared" si="49"/>
        <v>OK</v>
      </c>
      <c r="N278" s="805" t="str">
        <f t="shared" si="49"/>
        <v>OK</v>
      </c>
      <c r="O278" s="2018" t="str">
        <f t="shared" si="49"/>
        <v>OK</v>
      </c>
      <c r="P278" s="805" t="str">
        <f t="shared" si="49"/>
        <v>OK</v>
      </c>
      <c r="Q278" s="805" t="str">
        <f t="shared" si="49"/>
        <v>OK</v>
      </c>
      <c r="R278" s="805" t="str">
        <f t="shared" si="49"/>
        <v>OK</v>
      </c>
      <c r="S278" s="805" t="str">
        <f t="shared" si="49"/>
        <v>OK</v>
      </c>
      <c r="T278" s="805" t="str">
        <f t="shared" si="49"/>
        <v>OK</v>
      </c>
      <c r="U278" s="805" t="str">
        <f t="shared" si="49"/>
        <v>OK</v>
      </c>
      <c r="V278" s="805" t="str">
        <f t="shared" si="49"/>
        <v>OK</v>
      </c>
      <c r="W278" s="805" t="str">
        <f t="shared" si="49"/>
        <v>OK</v>
      </c>
      <c r="X278" s="805" t="str">
        <f t="shared" si="49"/>
        <v>OK</v>
      </c>
      <c r="Y278" s="805" t="str">
        <f t="shared" si="49"/>
        <v>OK</v>
      </c>
      <c r="Z278" s="805" t="str">
        <f t="shared" si="49"/>
        <v>OK</v>
      </c>
      <c r="AA278" s="805" t="str">
        <f t="shared" si="49"/>
        <v>OK</v>
      </c>
      <c r="AB278" s="805" t="str">
        <f t="shared" si="49"/>
        <v>OK</v>
      </c>
      <c r="AC278" s="805" t="str">
        <f t="shared" si="49"/>
        <v>OK</v>
      </c>
      <c r="AD278" s="805" t="str">
        <f t="shared" si="49"/>
        <v>OK</v>
      </c>
      <c r="AE278" s="805" t="str">
        <f t="shared" si="49"/>
        <v>OK</v>
      </c>
      <c r="AF278" s="805" t="str">
        <f t="shared" si="49"/>
        <v>OK</v>
      </c>
      <c r="AG278" s="805" t="str">
        <f t="shared" si="49"/>
        <v>OK</v>
      </c>
    </row>
    <row r="279" spans="1:33" ht="5.25" customHeight="1" x14ac:dyDescent="0.2">
      <c r="B279" s="1239"/>
      <c r="C279" s="1239"/>
      <c r="E279" s="1239"/>
      <c r="F279" s="1239"/>
      <c r="G279" s="1239"/>
      <c r="H279" s="1239"/>
      <c r="I279" s="1239"/>
      <c r="J279" s="1239"/>
      <c r="K279" s="1239"/>
      <c r="L279" s="1239"/>
      <c r="M279" s="1239"/>
      <c r="N279" s="1239"/>
      <c r="O279" s="2014"/>
      <c r="P279" s="1239"/>
      <c r="Q279" s="1239"/>
      <c r="R279" s="1239"/>
      <c r="S279" s="1239"/>
      <c r="T279" s="1239"/>
      <c r="U279" s="1239"/>
      <c r="V279" s="1239"/>
      <c r="W279" s="1239"/>
      <c r="X279" s="1239"/>
      <c r="Y279" s="1239"/>
      <c r="Z279" s="1239"/>
      <c r="AA279" s="1239"/>
      <c r="AB279" s="1239"/>
      <c r="AC279" s="1239"/>
      <c r="AD279" s="1239"/>
      <c r="AE279" s="1239"/>
      <c r="AF279" s="1239"/>
      <c r="AG279" s="1239"/>
    </row>
    <row r="281" spans="1:33" x14ac:dyDescent="0.2">
      <c r="B281" s="1235" t="s">
        <v>1825</v>
      </c>
      <c r="C281" s="1236"/>
    </row>
    <row r="282" spans="1:33" x14ac:dyDescent="0.2">
      <c r="B282" s="1237" t="s">
        <v>5660</v>
      </c>
      <c r="C282" s="1235"/>
    </row>
    <row r="283" spans="1:33" x14ac:dyDescent="0.2">
      <c r="C283" s="38" t="s">
        <v>1755</v>
      </c>
      <c r="E283" s="1221" t="s">
        <v>1461</v>
      </c>
      <c r="F283" s="1233" t="s">
        <v>1473</v>
      </c>
      <c r="G283" s="1221" t="s">
        <v>896</v>
      </c>
      <c r="H283" s="1221" t="s">
        <v>169</v>
      </c>
      <c r="I283" s="1221" t="s">
        <v>168</v>
      </c>
      <c r="J283" s="1221" t="s">
        <v>1304</v>
      </c>
      <c r="K283" s="1221" t="s">
        <v>1399</v>
      </c>
      <c r="L283" s="1221" t="s">
        <v>3524</v>
      </c>
      <c r="M283" s="1968" t="s">
        <v>4581</v>
      </c>
      <c r="N283" s="1221" t="s">
        <v>3525</v>
      </c>
      <c r="O283" s="1968" t="s">
        <v>401</v>
      </c>
      <c r="P283" s="1221" t="s">
        <v>402</v>
      </c>
      <c r="Q283" s="1221" t="s">
        <v>403</v>
      </c>
      <c r="R283" s="1221" t="s">
        <v>404</v>
      </c>
      <c r="S283" s="1221" t="s">
        <v>405</v>
      </c>
      <c r="T283" s="1221" t="s">
        <v>406</v>
      </c>
      <c r="U283" s="1221" t="s">
        <v>64</v>
      </c>
      <c r="V283" s="1221" t="s">
        <v>65</v>
      </c>
      <c r="W283" s="1221" t="s">
        <v>66</v>
      </c>
      <c r="X283" s="1221" t="s">
        <v>67</v>
      </c>
      <c r="Y283" s="1221" t="s">
        <v>741</v>
      </c>
      <c r="Z283" s="1221" t="s">
        <v>742</v>
      </c>
      <c r="AA283" s="1221" t="s">
        <v>743</v>
      </c>
      <c r="AB283" s="1221" t="s">
        <v>744</v>
      </c>
      <c r="AC283" s="1221" t="s">
        <v>745</v>
      </c>
      <c r="AD283" s="1221" t="s">
        <v>746</v>
      </c>
      <c r="AE283" s="1221" t="s">
        <v>747</v>
      </c>
      <c r="AF283" s="1221" t="s">
        <v>1689</v>
      </c>
      <c r="AG283" s="1234" t="s">
        <v>399</v>
      </c>
    </row>
    <row r="284" spans="1:33" x14ac:dyDescent="0.2">
      <c r="C284" t="s">
        <v>1756</v>
      </c>
      <c r="E284" s="357" t="s">
        <v>1480</v>
      </c>
      <c r="F284" s="357" t="s">
        <v>1143</v>
      </c>
      <c r="G284" s="357" t="s">
        <v>1757</v>
      </c>
      <c r="H284" s="357" t="s">
        <v>1757</v>
      </c>
      <c r="I284" s="357" t="s">
        <v>1477</v>
      </c>
      <c r="J284" s="357" t="s">
        <v>1759</v>
      </c>
      <c r="K284" s="357" t="s">
        <v>4323</v>
      </c>
      <c r="L284" s="357" t="s">
        <v>3691</v>
      </c>
      <c r="M284" s="357" t="s">
        <v>4585</v>
      </c>
      <c r="N284" s="357" t="s">
        <v>3693</v>
      </c>
      <c r="O284" s="357" t="s">
        <v>1786</v>
      </c>
      <c r="P284" s="357" t="s">
        <v>1760</v>
      </c>
      <c r="Q284" s="357" t="s">
        <v>1762</v>
      </c>
      <c r="R284" s="357" t="s">
        <v>1760</v>
      </c>
      <c r="S284" s="357" t="s">
        <v>1760</v>
      </c>
      <c r="T284" s="357" t="s">
        <v>1760</v>
      </c>
      <c r="U284" s="357" t="s">
        <v>1760</v>
      </c>
      <c r="V284" s="357" t="s">
        <v>1767</v>
      </c>
      <c r="W284" s="357" t="s">
        <v>1768</v>
      </c>
      <c r="X284" s="357" t="s">
        <v>1770</v>
      </c>
      <c r="Y284" s="357" t="s">
        <v>1771</v>
      </c>
      <c r="Z284" s="357" t="s">
        <v>1760</v>
      </c>
      <c r="AA284" s="357" t="s">
        <v>1774</v>
      </c>
      <c r="AB284" s="357" t="s">
        <v>1789</v>
      </c>
      <c r="AC284" s="357" t="s">
        <v>1775</v>
      </c>
      <c r="AD284" s="357" t="s">
        <v>1776</v>
      </c>
      <c r="AE284" s="357" t="s">
        <v>1777</v>
      </c>
      <c r="AF284" s="357" t="s">
        <v>1785</v>
      </c>
      <c r="AG284" s="357" t="s">
        <v>1779</v>
      </c>
    </row>
    <row r="285" spans="1:33" x14ac:dyDescent="0.2">
      <c r="B285" s="272"/>
      <c r="E285" s="357" t="s">
        <v>1781</v>
      </c>
      <c r="F285" s="357" t="s">
        <v>1810</v>
      </c>
      <c r="G285" s="357" t="s">
        <v>1758</v>
      </c>
      <c r="H285" s="357" t="s">
        <v>1790</v>
      </c>
      <c r="I285" s="357" t="s">
        <v>1478</v>
      </c>
      <c r="J285" s="357" t="s">
        <v>1479</v>
      </c>
      <c r="K285" s="357" t="s">
        <v>1788</v>
      </c>
      <c r="L285" s="357" t="s">
        <v>3692</v>
      </c>
      <c r="M285" s="357" t="s">
        <v>4583</v>
      </c>
      <c r="N285" s="357" t="s">
        <v>3694</v>
      </c>
      <c r="O285" s="357" t="s">
        <v>1787</v>
      </c>
      <c r="P285" s="357" t="s">
        <v>1761</v>
      </c>
      <c r="Q285" s="357" t="s">
        <v>1130</v>
      </c>
      <c r="R285" s="357" t="s">
        <v>1763</v>
      </c>
      <c r="S285" s="357" t="s">
        <v>1764</v>
      </c>
      <c r="T285" s="357" t="s">
        <v>1765</v>
      </c>
      <c r="U285" s="357" t="s">
        <v>1766</v>
      </c>
      <c r="V285" s="357" t="s">
        <v>1772</v>
      </c>
      <c r="W285" s="357" t="s">
        <v>1769</v>
      </c>
      <c r="X285" s="357" t="s">
        <v>1772</v>
      </c>
      <c r="Y285" s="357" t="s">
        <v>1769</v>
      </c>
      <c r="Z285" s="357" t="s">
        <v>1773</v>
      </c>
      <c r="AA285" s="357" t="s">
        <v>1769</v>
      </c>
      <c r="AB285" s="357" t="s">
        <v>1769</v>
      </c>
      <c r="AC285" s="357" t="s">
        <v>1769</v>
      </c>
      <c r="AD285" s="357" t="s">
        <v>1130</v>
      </c>
      <c r="AE285" s="357" t="s">
        <v>1778</v>
      </c>
      <c r="AF285" s="357" t="s">
        <v>1784</v>
      </c>
      <c r="AG285" s="357" t="s">
        <v>1780</v>
      </c>
    </row>
    <row r="286" spans="1:33" x14ac:dyDescent="0.2">
      <c r="B286" s="1240" t="s">
        <v>5661</v>
      </c>
      <c r="E286" s="1087" t="str">
        <f>TEXT(Data!$A$4,"mmmm d,yyyy")</f>
        <v>June 30,2021</v>
      </c>
      <c r="F286" s="1087" t="str">
        <f>TEXT(Data!$A$4,"mmmm d,yyyy")</f>
        <v>June 30,2021</v>
      </c>
      <c r="G286" s="1087" t="str">
        <f>TEXT(Data!$A$4,"mmmm d,yyyy")</f>
        <v>June 30,2021</v>
      </c>
      <c r="H286" s="1087" t="str">
        <f>TEXT(Data!$A$4,"mmmm d,yyyy")</f>
        <v>June 30,2021</v>
      </c>
      <c r="I286" s="1087" t="str">
        <f>TEXT(Data!$A$4,"mmmm d,yyyy")</f>
        <v>June 30,2021</v>
      </c>
      <c r="J286" s="1087" t="str">
        <f>TEXT(Data!$A$4,"mmmm d,yyyy")</f>
        <v>June 30,2021</v>
      </c>
      <c r="K286" s="1087" t="str">
        <f>TEXT(Data!$A$4,"mmmm d,yyyy")</f>
        <v>June 30,2021</v>
      </c>
      <c r="L286" s="1087" t="str">
        <f>TEXT(Data!$A$4,"mmmm d,yyyy")</f>
        <v>June 30,2021</v>
      </c>
      <c r="M286" s="1087" t="str">
        <f>TEXT(Data!$A$4,"mmmm d,yyyy")</f>
        <v>June 30,2021</v>
      </c>
      <c r="N286" s="1087" t="str">
        <f>TEXT(Data!$A$4,"mmmm d,yyyy")</f>
        <v>June 30,2021</v>
      </c>
      <c r="O286" s="1087" t="str">
        <f>TEXT(Data!$A$4,"mmmm d,yyyy")</f>
        <v>June 30,2021</v>
      </c>
      <c r="P286" s="1087" t="str">
        <f>TEXT(Data!$A$4,"mmmm d,yyyy")</f>
        <v>June 30,2021</v>
      </c>
      <c r="Q286" s="1087" t="str">
        <f>TEXT(Data!$A$4,"mmmm d,yyyy")</f>
        <v>June 30,2021</v>
      </c>
      <c r="R286" s="1087" t="str">
        <f>TEXT(Data!$A$4,"mmmm d,yyyy")</f>
        <v>June 30,2021</v>
      </c>
      <c r="S286" s="1087" t="str">
        <f>TEXT(Data!$A$4,"mmmm d,yyyy")</f>
        <v>June 30,2021</v>
      </c>
      <c r="T286" s="1087" t="str">
        <f>TEXT(Data!$A$4,"mmmm d,yyyy")</f>
        <v>June 30,2021</v>
      </c>
      <c r="U286" s="1087" t="str">
        <f>TEXT(Data!$A$4,"mmmm d,yyyy")</f>
        <v>June 30,2021</v>
      </c>
      <c r="V286" s="1087" t="str">
        <f>TEXT(Data!$A$4,"mmmm d,yyyy")</f>
        <v>June 30,2021</v>
      </c>
      <c r="W286" s="1087" t="str">
        <f>TEXT(Data!$A$4,"mmmm d,yyyy")</f>
        <v>June 30,2021</v>
      </c>
      <c r="X286" s="1087" t="str">
        <f>TEXT(Data!$A$4,"mmmm d,yyyy")</f>
        <v>June 30,2021</v>
      </c>
      <c r="Y286" s="1087" t="str">
        <f>TEXT(Data!$A$4,"mmmm d,yyyy")</f>
        <v>June 30,2021</v>
      </c>
      <c r="Z286" s="1087" t="str">
        <f>TEXT(Data!$A$4,"mmmm d,yyyy")</f>
        <v>June 30,2021</v>
      </c>
      <c r="AA286" s="1087" t="str">
        <f>TEXT(Data!$A$4,"mmmm d,yyyy")</f>
        <v>June 30,2021</v>
      </c>
      <c r="AB286" s="1087" t="str">
        <f>TEXT(Data!$A$4,"mmmm d,yyyy")</f>
        <v>June 30,2021</v>
      </c>
      <c r="AC286" s="1087" t="str">
        <f>TEXT(Data!$A$4,"mmmm d,yyyy")</f>
        <v>June 30,2021</v>
      </c>
      <c r="AD286" s="1087" t="str">
        <f>TEXT(Data!$A$4,"mmmm d,yyyy")</f>
        <v>June 30,2021</v>
      </c>
      <c r="AE286" s="1087" t="str">
        <f>TEXT(Data!$A$4,"mmmm d,yyyy")</f>
        <v>June 30,2021</v>
      </c>
      <c r="AF286" s="1087" t="str">
        <f>TEXT(Data!$A$4,"mmmm d,yyyy")</f>
        <v>June 30,2021</v>
      </c>
      <c r="AG286" s="1087" t="str">
        <f>TEXT(Data!$A$4,"mmmm d,yyyy")</f>
        <v>June 30,2021</v>
      </c>
    </row>
    <row r="287" spans="1:33" x14ac:dyDescent="0.2">
      <c r="A287">
        <v>1</v>
      </c>
      <c r="B287" s="1192" t="s">
        <v>1170</v>
      </c>
      <c r="D287" t="str">
        <f t="shared" ref="D287:D305" si="50">IF(SUM(F287:N287)-E287=0,"OK","prob")</f>
        <v>OK</v>
      </c>
      <c r="E287" s="649">
        <v>847745000</v>
      </c>
      <c r="F287" s="649">
        <v>427485000</v>
      </c>
      <c r="G287" s="649">
        <v>0</v>
      </c>
      <c r="H287" s="649">
        <v>0</v>
      </c>
      <c r="I287" s="649">
        <v>420260000</v>
      </c>
      <c r="J287" s="649">
        <v>0</v>
      </c>
      <c r="K287" s="649">
        <v>0</v>
      </c>
      <c r="L287" s="649"/>
      <c r="M287" s="649">
        <v>0</v>
      </c>
      <c r="N287" s="649">
        <v>0</v>
      </c>
      <c r="O287" s="393">
        <v>0</v>
      </c>
      <c r="P287" s="1284">
        <v>1236870000</v>
      </c>
      <c r="Q287" s="649">
        <v>471400000</v>
      </c>
      <c r="R287" s="649">
        <v>244635000</v>
      </c>
      <c r="S287" s="649">
        <v>537510000</v>
      </c>
      <c r="T287" s="649">
        <v>74360900</v>
      </c>
      <c r="U287" s="649">
        <v>70600000</v>
      </c>
      <c r="V287" s="649">
        <v>347375000</v>
      </c>
      <c r="W287" s="649">
        <v>90200000</v>
      </c>
      <c r="X287" s="649">
        <v>193075000</v>
      </c>
      <c r="Y287" s="649">
        <v>232330000</v>
      </c>
      <c r="Z287" s="649">
        <v>1350000</v>
      </c>
      <c r="AA287" s="649">
        <v>51155000</v>
      </c>
      <c r="AB287" s="649">
        <v>14345000</v>
      </c>
      <c r="AC287" s="649">
        <v>29533000</v>
      </c>
      <c r="AD287" s="649">
        <v>102658200</v>
      </c>
      <c r="AE287" s="649">
        <v>42485000</v>
      </c>
      <c r="AF287" s="649">
        <v>0</v>
      </c>
      <c r="AG287" s="649">
        <v>0</v>
      </c>
    </row>
    <row r="288" spans="1:33" x14ac:dyDescent="0.2">
      <c r="A288">
        <v>3</v>
      </c>
      <c r="B288" s="1192" t="s">
        <v>507</v>
      </c>
      <c r="D288" t="str">
        <f t="shared" si="50"/>
        <v>OK</v>
      </c>
      <c r="E288" s="649">
        <v>0</v>
      </c>
      <c r="F288" s="649">
        <v>0</v>
      </c>
      <c r="G288" s="649">
        <v>0</v>
      </c>
      <c r="H288" s="649">
        <v>0</v>
      </c>
      <c r="I288" s="649">
        <v>0</v>
      </c>
      <c r="J288" s="649">
        <v>0</v>
      </c>
      <c r="K288" s="649">
        <v>0</v>
      </c>
      <c r="L288" s="649"/>
      <c r="M288" s="649">
        <v>0</v>
      </c>
      <c r="N288" s="649">
        <v>0</v>
      </c>
      <c r="O288" s="393">
        <v>0</v>
      </c>
      <c r="P288" s="649">
        <v>0</v>
      </c>
      <c r="Q288" s="649">
        <v>0</v>
      </c>
      <c r="R288" s="649">
        <v>0</v>
      </c>
      <c r="S288" s="649">
        <v>0</v>
      </c>
      <c r="T288" s="649">
        <v>0</v>
      </c>
      <c r="U288" s="649">
        <v>0</v>
      </c>
      <c r="V288" s="649">
        <v>0</v>
      </c>
      <c r="W288" s="649">
        <v>0</v>
      </c>
      <c r="X288" s="649">
        <v>0</v>
      </c>
      <c r="Y288" s="649">
        <v>0</v>
      </c>
      <c r="Z288" s="649">
        <v>0</v>
      </c>
      <c r="AA288" s="649">
        <v>0</v>
      </c>
      <c r="AB288" s="649">
        <v>0</v>
      </c>
      <c r="AC288" s="649">
        <v>0</v>
      </c>
      <c r="AD288" s="649">
        <v>0</v>
      </c>
      <c r="AE288" s="649">
        <v>3518000</v>
      </c>
      <c r="AF288" s="649">
        <v>0</v>
      </c>
      <c r="AG288" s="649">
        <v>0</v>
      </c>
    </row>
    <row r="289" spans="1:33" x14ac:dyDescent="0.2">
      <c r="A289">
        <v>4</v>
      </c>
      <c r="B289" s="1192" t="s">
        <v>3471</v>
      </c>
      <c r="D289" t="str">
        <f t="shared" si="50"/>
        <v>OK</v>
      </c>
      <c r="E289" s="649">
        <v>0</v>
      </c>
      <c r="F289" s="649">
        <v>0</v>
      </c>
      <c r="G289" s="649">
        <v>0</v>
      </c>
      <c r="H289" s="649">
        <v>0</v>
      </c>
      <c r="I289" s="649">
        <v>0</v>
      </c>
      <c r="J289" s="649">
        <v>0</v>
      </c>
      <c r="K289" s="649">
        <v>0</v>
      </c>
      <c r="L289" s="649"/>
      <c r="M289" s="649">
        <v>0</v>
      </c>
      <c r="N289" s="649">
        <v>0</v>
      </c>
      <c r="O289" s="393">
        <v>0</v>
      </c>
      <c r="P289" s="649">
        <v>0</v>
      </c>
      <c r="Q289" s="649">
        <v>0</v>
      </c>
      <c r="R289" s="649">
        <v>0</v>
      </c>
      <c r="S289" s="649">
        <v>0</v>
      </c>
      <c r="T289" s="649">
        <v>0</v>
      </c>
      <c r="U289" s="649">
        <v>106365000</v>
      </c>
      <c r="V289" s="649">
        <v>0</v>
      </c>
      <c r="W289" s="649">
        <v>0</v>
      </c>
      <c r="X289" s="649">
        <v>46815000</v>
      </c>
      <c r="Y289" s="649">
        <v>0</v>
      </c>
      <c r="Z289" s="649">
        <v>27135000</v>
      </c>
      <c r="AA289" s="649">
        <v>0</v>
      </c>
      <c r="AB289" s="649">
        <v>0</v>
      </c>
      <c r="AC289" s="649">
        <v>14975000</v>
      </c>
      <c r="AD289" s="649">
        <v>0</v>
      </c>
      <c r="AE289" s="649">
        <v>0</v>
      </c>
      <c r="AF289" s="649">
        <v>0</v>
      </c>
      <c r="AG289" s="649">
        <v>0</v>
      </c>
    </row>
    <row r="290" spans="1:33" x14ac:dyDescent="0.2">
      <c r="A290">
        <v>5</v>
      </c>
      <c r="B290" s="1192" t="s">
        <v>1826</v>
      </c>
      <c r="D290" t="str">
        <f t="shared" si="50"/>
        <v>OK</v>
      </c>
      <c r="E290" s="649">
        <v>0</v>
      </c>
      <c r="F290" s="649">
        <v>0</v>
      </c>
      <c r="G290" s="649">
        <v>0</v>
      </c>
      <c r="H290" s="649">
        <v>0</v>
      </c>
      <c r="I290" s="649">
        <v>0</v>
      </c>
      <c r="J290" s="649">
        <v>0</v>
      </c>
      <c r="K290" s="649">
        <v>0</v>
      </c>
      <c r="L290" s="649"/>
      <c r="M290" s="649">
        <v>0</v>
      </c>
      <c r="N290" s="649">
        <v>0</v>
      </c>
      <c r="O290" s="393">
        <v>0</v>
      </c>
      <c r="P290" s="1284">
        <v>0</v>
      </c>
      <c r="Q290" s="649">
        <v>0</v>
      </c>
      <c r="R290" s="649">
        <v>0</v>
      </c>
      <c r="S290" s="649">
        <v>-35216.629999999997</v>
      </c>
      <c r="T290" s="649">
        <v>-3470.36</v>
      </c>
      <c r="U290" s="649">
        <v>0</v>
      </c>
      <c r="V290" s="649">
        <v>-2910121.22</v>
      </c>
      <c r="W290" s="649">
        <v>0</v>
      </c>
      <c r="X290" s="649">
        <v>0</v>
      </c>
      <c r="Y290" s="649">
        <v>0</v>
      </c>
      <c r="Z290" s="649">
        <v>0</v>
      </c>
      <c r="AA290" s="649">
        <v>0</v>
      </c>
      <c r="AB290" s="649">
        <v>-21553.599999999999</v>
      </c>
      <c r="AC290" s="649">
        <v>-642996.41</v>
      </c>
      <c r="AD290" s="649">
        <v>0</v>
      </c>
      <c r="AE290" s="649">
        <v>0</v>
      </c>
      <c r="AF290" s="649">
        <v>0</v>
      </c>
      <c r="AG290" s="649">
        <v>0</v>
      </c>
    </row>
    <row r="291" spans="1:33" x14ac:dyDescent="0.2">
      <c r="A291">
        <v>6</v>
      </c>
      <c r="B291" s="1192" t="s">
        <v>79</v>
      </c>
      <c r="D291" t="str">
        <f t="shared" si="50"/>
        <v>OK</v>
      </c>
      <c r="E291" s="649">
        <v>74360771</v>
      </c>
      <c r="F291" s="649">
        <v>47978338.850000001</v>
      </c>
      <c r="G291" s="649">
        <v>0</v>
      </c>
      <c r="H291" s="649">
        <v>0</v>
      </c>
      <c r="I291" s="649">
        <v>26382432.149999999</v>
      </c>
      <c r="J291" s="649">
        <v>0</v>
      </c>
      <c r="K291" s="649">
        <v>0</v>
      </c>
      <c r="L291" s="649"/>
      <c r="M291" s="649">
        <v>0</v>
      </c>
      <c r="N291" s="649">
        <v>0</v>
      </c>
      <c r="O291" s="393">
        <v>0</v>
      </c>
      <c r="P291" s="1284">
        <v>38953146.740000002</v>
      </c>
      <c r="Q291" s="649">
        <v>27581302.800000001</v>
      </c>
      <c r="R291" s="649">
        <v>21952125.879999999</v>
      </c>
      <c r="S291" s="649">
        <v>42020078.939999998</v>
      </c>
      <c r="T291" s="649">
        <v>6174294.1699999999</v>
      </c>
      <c r="U291" s="649">
        <v>17285319.539999999</v>
      </c>
      <c r="V291" s="649">
        <v>17515898.879999999</v>
      </c>
      <c r="W291" s="649">
        <v>4689043.4400000004</v>
      </c>
      <c r="X291" s="649">
        <v>24374391.48</v>
      </c>
      <c r="Y291" s="649">
        <v>14177054.640000001</v>
      </c>
      <c r="Z291" s="649">
        <v>1062118.6399999999</v>
      </c>
      <c r="AA291" s="649">
        <v>3354943.55</v>
      </c>
      <c r="AB291" s="649">
        <v>1584379.72</v>
      </c>
      <c r="AC291" s="649">
        <v>3498418.67</v>
      </c>
      <c r="AD291" s="649">
        <v>9875714.5800000001</v>
      </c>
      <c r="AE291" s="649">
        <v>2920021.31</v>
      </c>
      <c r="AF291" s="649">
        <v>0</v>
      </c>
      <c r="AG291" s="649">
        <v>0</v>
      </c>
    </row>
    <row r="292" spans="1:33" x14ac:dyDescent="0.2">
      <c r="A292">
        <v>7</v>
      </c>
      <c r="B292" s="483" t="s">
        <v>1061</v>
      </c>
      <c r="D292" t="str">
        <f t="shared" si="50"/>
        <v>OK</v>
      </c>
      <c r="E292" s="649">
        <v>0</v>
      </c>
      <c r="F292" s="649">
        <v>0</v>
      </c>
      <c r="G292" s="649">
        <v>0</v>
      </c>
      <c r="H292" s="649">
        <v>0</v>
      </c>
      <c r="I292" s="649">
        <v>0</v>
      </c>
      <c r="J292" s="649">
        <v>0</v>
      </c>
      <c r="K292" s="649">
        <v>0</v>
      </c>
      <c r="L292" s="649"/>
      <c r="M292" s="649">
        <v>0</v>
      </c>
      <c r="N292" s="649">
        <v>0</v>
      </c>
      <c r="O292" s="393">
        <v>0</v>
      </c>
      <c r="P292" s="649">
        <v>0</v>
      </c>
      <c r="Q292" s="649">
        <v>0</v>
      </c>
      <c r="R292" s="649">
        <v>0</v>
      </c>
      <c r="S292" s="649">
        <v>0</v>
      </c>
      <c r="T292" s="649">
        <v>0</v>
      </c>
      <c r="U292" s="649">
        <v>0</v>
      </c>
      <c r="V292" s="649">
        <v>0</v>
      </c>
      <c r="W292" s="649">
        <v>0</v>
      </c>
      <c r="X292" s="649">
        <v>0</v>
      </c>
      <c r="Y292" s="649">
        <v>0</v>
      </c>
      <c r="Z292" s="649">
        <v>0</v>
      </c>
      <c r="AA292" s="649">
        <v>0</v>
      </c>
      <c r="AB292" s="649">
        <v>0</v>
      </c>
      <c r="AC292" s="649">
        <v>0</v>
      </c>
      <c r="AD292" s="649">
        <v>0</v>
      </c>
      <c r="AE292" s="649">
        <v>0</v>
      </c>
      <c r="AF292" s="649">
        <v>0</v>
      </c>
      <c r="AG292" s="649">
        <v>0</v>
      </c>
    </row>
    <row r="293" spans="1:33" x14ac:dyDescent="0.2">
      <c r="A293">
        <v>8</v>
      </c>
      <c r="B293" s="483" t="s">
        <v>1062</v>
      </c>
      <c r="D293" t="str">
        <f t="shared" si="50"/>
        <v>OK</v>
      </c>
      <c r="E293" s="649">
        <v>0</v>
      </c>
      <c r="F293" s="649">
        <v>0</v>
      </c>
      <c r="G293" s="649">
        <v>0</v>
      </c>
      <c r="H293" s="649">
        <v>0</v>
      </c>
      <c r="I293" s="649">
        <v>0</v>
      </c>
      <c r="J293" s="649">
        <v>0</v>
      </c>
      <c r="K293" s="649">
        <v>0</v>
      </c>
      <c r="L293" s="649"/>
      <c r="M293" s="649">
        <v>0</v>
      </c>
      <c r="N293" s="649">
        <v>0</v>
      </c>
      <c r="O293" s="393">
        <v>630190.80000000005</v>
      </c>
      <c r="P293" s="649">
        <v>13703500.93</v>
      </c>
      <c r="Q293" s="649">
        <v>10378417.689999999</v>
      </c>
      <c r="R293" s="649">
        <v>4162938.45</v>
      </c>
      <c r="S293" s="649">
        <v>3720680.74</v>
      </c>
      <c r="T293" s="649">
        <v>32961.910000000003</v>
      </c>
      <c r="U293" s="649">
        <v>755612.91</v>
      </c>
      <c r="V293" s="649">
        <v>4440021.5199999996</v>
      </c>
      <c r="W293" s="649">
        <v>2278916.08</v>
      </c>
      <c r="X293" s="649">
        <v>732706.68</v>
      </c>
      <c r="Y293" s="649">
        <v>609066.34</v>
      </c>
      <c r="Z293" s="649">
        <v>3459532.57</v>
      </c>
      <c r="AA293" s="649">
        <v>3212630</v>
      </c>
      <c r="AB293" s="649">
        <v>2145102</v>
      </c>
      <c r="AC293" s="649">
        <v>2492056.23</v>
      </c>
      <c r="AD293" s="649">
        <v>2694086.1</v>
      </c>
      <c r="AE293" s="649">
        <v>2166316</v>
      </c>
      <c r="AF293" s="649">
        <v>0</v>
      </c>
      <c r="AG293" s="649">
        <v>0</v>
      </c>
    </row>
    <row r="294" spans="1:33" x14ac:dyDescent="0.2">
      <c r="A294">
        <v>22</v>
      </c>
      <c r="B294" s="1192" t="s">
        <v>4595</v>
      </c>
      <c r="D294" t="str">
        <f t="shared" si="50"/>
        <v>OK</v>
      </c>
      <c r="E294" s="649">
        <v>56450500.310000002</v>
      </c>
      <c r="F294" s="649">
        <v>0</v>
      </c>
      <c r="G294" s="649">
        <v>20287736.48</v>
      </c>
      <c r="H294" s="649">
        <v>0</v>
      </c>
      <c r="I294" s="649">
        <v>16917278.829999998</v>
      </c>
      <c r="J294" s="649">
        <v>12480501</v>
      </c>
      <c r="K294" s="649">
        <v>0</v>
      </c>
      <c r="L294" s="649"/>
      <c r="M294" s="649">
        <v>0</v>
      </c>
      <c r="N294" s="649">
        <v>6764984</v>
      </c>
      <c r="O294" s="393">
        <v>167846.64</v>
      </c>
      <c r="P294" s="1284">
        <v>70067272.230000004</v>
      </c>
      <c r="Q294" s="649">
        <v>51718686.380000003</v>
      </c>
      <c r="R294" s="649">
        <v>8535014.8499999996</v>
      </c>
      <c r="S294" s="649">
        <v>5953499.1500000004</v>
      </c>
      <c r="T294" s="649">
        <v>877344.57</v>
      </c>
      <c r="U294" s="649">
        <v>9528412.8200000003</v>
      </c>
      <c r="V294" s="649">
        <v>1697339.22</v>
      </c>
      <c r="W294" s="649">
        <v>3624667.35</v>
      </c>
      <c r="X294" s="649">
        <v>947055.55</v>
      </c>
      <c r="Y294" s="649">
        <v>101130667.08</v>
      </c>
      <c r="Z294" s="649">
        <v>6115760.2999999998</v>
      </c>
      <c r="AA294" s="649">
        <v>3895712.77</v>
      </c>
      <c r="AB294" s="649">
        <v>23298315.399999999</v>
      </c>
      <c r="AC294" s="649">
        <v>7643012.9800000004</v>
      </c>
      <c r="AD294" s="649">
        <v>5076547.58</v>
      </c>
      <c r="AE294" s="649">
        <v>533127.05000000005</v>
      </c>
      <c r="AF294" s="649">
        <v>18401067.199999999</v>
      </c>
      <c r="AG294" s="649">
        <v>0</v>
      </c>
    </row>
    <row r="295" spans="1:33" x14ac:dyDescent="0.2">
      <c r="A295">
        <v>23</v>
      </c>
      <c r="B295" s="1192" t="s">
        <v>4692</v>
      </c>
      <c r="D295" t="str">
        <f t="shared" si="50"/>
        <v>OK</v>
      </c>
      <c r="E295" s="649">
        <v>0</v>
      </c>
      <c r="F295" s="649">
        <v>0</v>
      </c>
      <c r="G295" s="649">
        <v>0</v>
      </c>
      <c r="H295" s="649">
        <v>0</v>
      </c>
      <c r="I295" s="649">
        <v>0</v>
      </c>
      <c r="J295" s="649">
        <v>0</v>
      </c>
      <c r="K295" s="649">
        <v>0</v>
      </c>
      <c r="L295" s="649"/>
      <c r="M295" s="649">
        <v>0</v>
      </c>
      <c r="N295" s="649">
        <v>0</v>
      </c>
      <c r="O295" s="393">
        <v>0</v>
      </c>
      <c r="P295" s="1284">
        <v>60000000</v>
      </c>
      <c r="Q295" s="649">
        <v>33417510</v>
      </c>
      <c r="R295" s="649">
        <v>28821861.149999999</v>
      </c>
      <c r="S295" s="649">
        <v>0</v>
      </c>
      <c r="T295" s="649">
        <v>0</v>
      </c>
      <c r="U295" s="649">
        <v>22806000</v>
      </c>
      <c r="V295" s="649">
        <v>18975000</v>
      </c>
      <c r="W295" s="649">
        <v>0</v>
      </c>
      <c r="X295" s="649">
        <v>0</v>
      </c>
      <c r="Y295" s="649">
        <v>18350000</v>
      </c>
      <c r="Z295" s="649">
        <v>18011834.879999999</v>
      </c>
      <c r="AA295" s="649">
        <v>0</v>
      </c>
      <c r="AB295" s="649">
        <v>0</v>
      </c>
      <c r="AC295" s="649">
        <v>0</v>
      </c>
      <c r="AD295" s="649">
        <v>0</v>
      </c>
      <c r="AE295" s="649">
        <v>0</v>
      </c>
      <c r="AF295" s="649">
        <v>0</v>
      </c>
      <c r="AG295" s="649">
        <v>0</v>
      </c>
    </row>
    <row r="296" spans="1:33" x14ac:dyDescent="0.2">
      <c r="A296">
        <v>10</v>
      </c>
      <c r="B296" s="1192" t="s">
        <v>5477</v>
      </c>
      <c r="D296" t="str">
        <f t="shared" si="50"/>
        <v>OK</v>
      </c>
      <c r="E296" s="649">
        <v>1323760.3799999999</v>
      </c>
      <c r="F296" s="649">
        <v>0</v>
      </c>
      <c r="G296" s="649">
        <v>0</v>
      </c>
      <c r="H296" s="649">
        <v>0</v>
      </c>
      <c r="I296" s="649">
        <v>721788.73</v>
      </c>
      <c r="J296" s="649">
        <v>0</v>
      </c>
      <c r="K296" s="649">
        <v>0</v>
      </c>
      <c r="L296" s="649"/>
      <c r="M296" s="649">
        <v>0</v>
      </c>
      <c r="N296" s="649">
        <v>601971.65</v>
      </c>
      <c r="O296" s="393">
        <v>0</v>
      </c>
      <c r="P296" s="1284">
        <v>456449.89</v>
      </c>
      <c r="Q296" s="649">
        <v>434003.99</v>
      </c>
      <c r="R296" s="649">
        <v>0</v>
      </c>
      <c r="S296" s="649">
        <v>0</v>
      </c>
      <c r="T296" s="649">
        <v>0</v>
      </c>
      <c r="U296" s="649">
        <v>793885.1</v>
      </c>
      <c r="V296" s="649">
        <v>1070428.1599999999</v>
      </c>
      <c r="W296" s="649">
        <v>0</v>
      </c>
      <c r="X296" s="649">
        <v>1539231.54</v>
      </c>
      <c r="Y296" s="649">
        <v>0</v>
      </c>
      <c r="Z296" s="649">
        <v>242334</v>
      </c>
      <c r="AA296" s="649">
        <v>34000000</v>
      </c>
      <c r="AB296" s="649">
        <v>0</v>
      </c>
      <c r="AC296" s="649">
        <v>902749.9</v>
      </c>
      <c r="AD296" s="649">
        <v>93121.72</v>
      </c>
      <c r="AE296" s="649">
        <v>0</v>
      </c>
      <c r="AF296" s="649">
        <v>0</v>
      </c>
      <c r="AG296" s="649">
        <v>0</v>
      </c>
    </row>
    <row r="297" spans="1:33" x14ac:dyDescent="0.2">
      <c r="A297">
        <v>11</v>
      </c>
      <c r="B297" s="483" t="s">
        <v>93</v>
      </c>
      <c r="D297" t="str">
        <f t="shared" si="50"/>
        <v>OK</v>
      </c>
      <c r="E297" s="649">
        <v>1912725</v>
      </c>
      <c r="F297" s="649">
        <v>0</v>
      </c>
      <c r="G297" s="649">
        <v>0</v>
      </c>
      <c r="H297" s="649">
        <v>0</v>
      </c>
      <c r="I297" s="649">
        <v>0</v>
      </c>
      <c r="J297" s="649">
        <v>0</v>
      </c>
      <c r="K297" s="649">
        <v>0</v>
      </c>
      <c r="L297" s="649"/>
      <c r="M297" s="649">
        <v>0</v>
      </c>
      <c r="N297" s="649">
        <v>1912725</v>
      </c>
      <c r="O297" s="393">
        <v>0</v>
      </c>
      <c r="P297" s="1284">
        <v>51852856.200000003</v>
      </c>
      <c r="Q297" s="649">
        <v>0</v>
      </c>
      <c r="R297" s="649">
        <v>4908452.5599999996</v>
      </c>
      <c r="S297" s="649">
        <v>0</v>
      </c>
      <c r="T297" s="649">
        <v>0</v>
      </c>
      <c r="U297" s="649">
        <v>0</v>
      </c>
      <c r="V297" s="649">
        <v>0</v>
      </c>
      <c r="W297" s="649">
        <v>0</v>
      </c>
      <c r="X297" s="649">
        <v>0</v>
      </c>
      <c r="Y297" s="649">
        <v>0</v>
      </c>
      <c r="Z297" s="649">
        <v>0</v>
      </c>
      <c r="AA297" s="649">
        <v>0</v>
      </c>
      <c r="AB297" s="649">
        <v>0</v>
      </c>
      <c r="AC297" s="649">
        <v>0</v>
      </c>
      <c r="AD297" s="649">
        <v>0</v>
      </c>
      <c r="AE297" s="649">
        <v>0</v>
      </c>
      <c r="AF297" s="649">
        <v>0</v>
      </c>
      <c r="AG297" s="649">
        <v>0</v>
      </c>
    </row>
    <row r="298" spans="1:33" x14ac:dyDescent="0.2">
      <c r="A298">
        <v>12</v>
      </c>
      <c r="B298" s="483" t="s">
        <v>1456</v>
      </c>
      <c r="D298" t="str">
        <f t="shared" si="50"/>
        <v>OK</v>
      </c>
      <c r="E298" s="649">
        <v>0</v>
      </c>
      <c r="F298" s="649">
        <v>0</v>
      </c>
      <c r="G298" s="649">
        <v>0</v>
      </c>
      <c r="H298" s="649">
        <v>0</v>
      </c>
      <c r="I298" s="649">
        <v>0</v>
      </c>
      <c r="J298" s="649">
        <v>0</v>
      </c>
      <c r="K298" s="649">
        <v>0</v>
      </c>
      <c r="L298" s="649"/>
      <c r="M298" s="649">
        <v>0</v>
      </c>
      <c r="N298" s="649">
        <v>0</v>
      </c>
      <c r="O298" s="393">
        <v>0</v>
      </c>
      <c r="P298" s="649">
        <v>0</v>
      </c>
      <c r="Q298" s="649">
        <v>0</v>
      </c>
      <c r="R298" s="649">
        <v>0</v>
      </c>
      <c r="S298" s="649">
        <v>0</v>
      </c>
      <c r="T298" s="649">
        <v>0</v>
      </c>
      <c r="U298" s="649">
        <v>0</v>
      </c>
      <c r="V298" s="649">
        <v>0</v>
      </c>
      <c r="W298" s="649">
        <v>0</v>
      </c>
      <c r="X298" s="649">
        <v>0</v>
      </c>
      <c r="Y298" s="649">
        <v>0</v>
      </c>
      <c r="Z298" s="649">
        <v>0</v>
      </c>
      <c r="AA298" s="649">
        <v>0</v>
      </c>
      <c r="AB298" s="649">
        <v>0</v>
      </c>
      <c r="AC298" s="649">
        <v>0</v>
      </c>
      <c r="AD298" s="649">
        <v>0</v>
      </c>
      <c r="AE298" s="649">
        <v>0</v>
      </c>
      <c r="AF298" s="649">
        <v>0</v>
      </c>
      <c r="AG298" s="649">
        <v>0</v>
      </c>
    </row>
    <row r="299" spans="1:33" x14ac:dyDescent="0.2">
      <c r="A299">
        <v>13</v>
      </c>
      <c r="B299" s="483" t="s">
        <v>1226</v>
      </c>
      <c r="D299" t="str">
        <f t="shared" si="50"/>
        <v>OK</v>
      </c>
      <c r="E299" s="649">
        <v>0</v>
      </c>
      <c r="F299" s="649">
        <v>0</v>
      </c>
      <c r="G299" s="649">
        <v>0</v>
      </c>
      <c r="H299" s="649">
        <v>0</v>
      </c>
      <c r="I299" s="649">
        <v>0</v>
      </c>
      <c r="J299" s="649">
        <v>0</v>
      </c>
      <c r="K299" s="649">
        <v>0</v>
      </c>
      <c r="L299" s="649"/>
      <c r="M299" s="649">
        <v>0</v>
      </c>
      <c r="N299" s="649">
        <v>0</v>
      </c>
      <c r="O299" s="393">
        <v>0</v>
      </c>
      <c r="P299" s="649">
        <v>0</v>
      </c>
      <c r="Q299" s="649">
        <v>4291044.4800000004</v>
      </c>
      <c r="R299" s="649">
        <v>0</v>
      </c>
      <c r="S299" s="649">
        <v>0</v>
      </c>
      <c r="T299" s="649">
        <v>0</v>
      </c>
      <c r="U299" s="649">
        <v>0</v>
      </c>
      <c r="V299" s="649">
        <v>0</v>
      </c>
      <c r="W299" s="649">
        <v>0</v>
      </c>
      <c r="X299" s="649">
        <v>0</v>
      </c>
      <c r="Y299" s="649">
        <v>0</v>
      </c>
      <c r="Z299" s="649">
        <v>0</v>
      </c>
      <c r="AA299" s="649">
        <v>0</v>
      </c>
      <c r="AB299" s="649">
        <v>0</v>
      </c>
      <c r="AC299" s="649">
        <v>630000</v>
      </c>
      <c r="AD299" s="649">
        <v>0</v>
      </c>
      <c r="AE299" s="649">
        <v>0</v>
      </c>
      <c r="AF299" s="649">
        <v>0</v>
      </c>
      <c r="AG299" s="649">
        <v>0</v>
      </c>
    </row>
    <row r="300" spans="1:33" x14ac:dyDescent="0.2">
      <c r="A300">
        <v>25</v>
      </c>
      <c r="B300" s="1192" t="s">
        <v>4593</v>
      </c>
      <c r="D300" t="str">
        <f t="shared" si="50"/>
        <v>OK</v>
      </c>
      <c r="E300" s="649">
        <v>0</v>
      </c>
      <c r="F300" s="649">
        <v>0</v>
      </c>
      <c r="G300" s="649">
        <v>0</v>
      </c>
      <c r="H300" s="649">
        <v>0</v>
      </c>
      <c r="I300" s="649">
        <v>0</v>
      </c>
      <c r="J300" s="649">
        <v>0</v>
      </c>
      <c r="K300" s="649">
        <v>0</v>
      </c>
      <c r="L300" s="649"/>
      <c r="M300" s="649">
        <v>0</v>
      </c>
      <c r="N300" s="649">
        <v>0</v>
      </c>
      <c r="O300" s="393">
        <v>0</v>
      </c>
      <c r="P300" s="649">
        <v>0</v>
      </c>
      <c r="Q300" s="649">
        <v>14338276</v>
      </c>
      <c r="R300" s="649">
        <v>0</v>
      </c>
      <c r="S300" s="649">
        <v>0</v>
      </c>
      <c r="T300" s="649">
        <v>0</v>
      </c>
      <c r="U300" s="649">
        <v>0</v>
      </c>
      <c r="V300" s="649">
        <v>0</v>
      </c>
      <c r="W300" s="649">
        <v>0</v>
      </c>
      <c r="X300" s="649">
        <v>0</v>
      </c>
      <c r="Y300" s="649">
        <v>0</v>
      </c>
      <c r="Z300" s="649">
        <v>0</v>
      </c>
      <c r="AA300" s="649">
        <v>0</v>
      </c>
      <c r="AB300" s="649">
        <v>0</v>
      </c>
      <c r="AC300" s="649">
        <v>0</v>
      </c>
      <c r="AD300" s="649">
        <v>0</v>
      </c>
      <c r="AE300" s="649">
        <v>0</v>
      </c>
      <c r="AF300" s="649">
        <v>0</v>
      </c>
      <c r="AG300" s="649">
        <v>0</v>
      </c>
    </row>
    <row r="301" spans="1:33" x14ac:dyDescent="0.2">
      <c r="A301">
        <v>14</v>
      </c>
      <c r="B301" s="483" t="s">
        <v>80</v>
      </c>
      <c r="D301" t="str">
        <f>IF(SUM(F301:N301)=E301,"OK","prob")</f>
        <v>OK</v>
      </c>
      <c r="E301" s="649">
        <v>108122314.73999999</v>
      </c>
      <c r="F301" s="649">
        <v>51340052.789999999</v>
      </c>
      <c r="G301" s="649">
        <v>25697773.02</v>
      </c>
      <c r="H301" s="649">
        <v>0</v>
      </c>
      <c r="I301" s="649">
        <v>23157723.59</v>
      </c>
      <c r="J301" s="649">
        <v>581807.69999999995</v>
      </c>
      <c r="K301" s="649">
        <v>4934405</v>
      </c>
      <c r="L301" s="649"/>
      <c r="M301" s="649">
        <v>0</v>
      </c>
      <c r="N301" s="649">
        <v>2410552.64</v>
      </c>
      <c r="O301" s="393">
        <v>5583720.21</v>
      </c>
      <c r="P301" s="1284">
        <v>204328051.94</v>
      </c>
      <c r="Q301" s="649">
        <v>84969060.950000003</v>
      </c>
      <c r="R301" s="649">
        <v>16311054.16</v>
      </c>
      <c r="S301" s="649">
        <v>22580311.420000002</v>
      </c>
      <c r="T301" s="649">
        <v>3629427</v>
      </c>
      <c r="U301" s="649">
        <v>12835355.640000001</v>
      </c>
      <c r="V301" s="649">
        <v>30922659.879999999</v>
      </c>
      <c r="W301" s="649">
        <v>12230539</v>
      </c>
      <c r="X301" s="649">
        <v>6415214</v>
      </c>
      <c r="Y301" s="649">
        <v>16627020.689999999</v>
      </c>
      <c r="Z301" s="649">
        <v>4356082.13</v>
      </c>
      <c r="AA301" s="649">
        <v>5198455</v>
      </c>
      <c r="AB301" s="649">
        <v>2144806</v>
      </c>
      <c r="AC301" s="649">
        <v>4567812</v>
      </c>
      <c r="AD301" s="649">
        <v>7589556</v>
      </c>
      <c r="AE301" s="649">
        <v>2854763.94</v>
      </c>
      <c r="AF301" s="649">
        <v>0</v>
      </c>
      <c r="AG301" s="649">
        <v>170354.81</v>
      </c>
    </row>
    <row r="302" spans="1:33" x14ac:dyDescent="0.2">
      <c r="A302">
        <v>15</v>
      </c>
      <c r="B302" s="1192" t="s">
        <v>3845</v>
      </c>
      <c r="D302" t="str">
        <f t="shared" si="50"/>
        <v>OK</v>
      </c>
      <c r="E302" s="649">
        <v>575846528</v>
      </c>
      <c r="F302" s="649">
        <v>369100873.98000002</v>
      </c>
      <c r="G302" s="649">
        <v>89076241.019999996</v>
      </c>
      <c r="H302" s="649">
        <v>0</v>
      </c>
      <c r="I302" s="649">
        <v>117669413</v>
      </c>
      <c r="J302" s="649">
        <v>0</v>
      </c>
      <c r="K302" s="649">
        <v>0</v>
      </c>
      <c r="L302" s="649"/>
      <c r="M302" s="649">
        <v>0</v>
      </c>
      <c r="N302" s="649">
        <v>0</v>
      </c>
      <c r="O302" s="393">
        <v>12629311</v>
      </c>
      <c r="P302" s="649">
        <v>379561977</v>
      </c>
      <c r="Q302" s="649">
        <v>274052313</v>
      </c>
      <c r="R302" s="649">
        <v>64088953</v>
      </c>
      <c r="S302" s="649">
        <v>90047124</v>
      </c>
      <c r="T302" s="649">
        <v>13697360</v>
      </c>
      <c r="U302" s="649">
        <v>50369845</v>
      </c>
      <c r="V302" s="649">
        <v>165192312</v>
      </c>
      <c r="W302" s="649">
        <v>51308617</v>
      </c>
      <c r="X302" s="649">
        <v>40332122</v>
      </c>
      <c r="Y302" s="649">
        <v>82318270</v>
      </c>
      <c r="Z302" s="649">
        <v>24475710</v>
      </c>
      <c r="AA302" s="649">
        <v>23355708</v>
      </c>
      <c r="AB302" s="649">
        <v>12265643</v>
      </c>
      <c r="AC302" s="649">
        <v>23795493</v>
      </c>
      <c r="AD302" s="649">
        <v>41244313</v>
      </c>
      <c r="AE302" s="649">
        <v>11027239</v>
      </c>
      <c r="AF302" s="649">
        <v>0</v>
      </c>
      <c r="AG302" s="649">
        <v>862203</v>
      </c>
    </row>
    <row r="303" spans="1:33" x14ac:dyDescent="0.2">
      <c r="A303">
        <v>21</v>
      </c>
      <c r="B303" s="1192" t="s">
        <v>4428</v>
      </c>
      <c r="D303" t="str">
        <f t="shared" si="50"/>
        <v>OK</v>
      </c>
      <c r="E303" s="649">
        <v>1216059289.49</v>
      </c>
      <c r="F303" s="649">
        <v>968217608.19000006</v>
      </c>
      <c r="G303" s="649">
        <v>247841681.30000001</v>
      </c>
      <c r="H303" s="649">
        <v>0</v>
      </c>
      <c r="I303" s="649">
        <v>0</v>
      </c>
      <c r="J303" s="649">
        <v>0</v>
      </c>
      <c r="K303" s="649">
        <v>0</v>
      </c>
      <c r="L303" s="649"/>
      <c r="M303" s="649">
        <v>0</v>
      </c>
      <c r="N303" s="649">
        <v>0</v>
      </c>
      <c r="O303" s="393">
        <v>46018292</v>
      </c>
      <c r="P303" s="649">
        <v>1930637269</v>
      </c>
      <c r="Q303" s="649">
        <v>1082941007</v>
      </c>
      <c r="R303" s="649">
        <v>283448805</v>
      </c>
      <c r="S303" s="649">
        <v>429421307</v>
      </c>
      <c r="T303" s="649">
        <v>66832603</v>
      </c>
      <c r="U303" s="649">
        <v>227540712</v>
      </c>
      <c r="V303" s="649">
        <v>673169944</v>
      </c>
      <c r="W303" s="649">
        <v>163896722</v>
      </c>
      <c r="X303" s="649">
        <v>161140228</v>
      </c>
      <c r="Y303" s="649">
        <v>287920246</v>
      </c>
      <c r="Z303" s="649">
        <v>87509234.780000001</v>
      </c>
      <c r="AA303" s="649">
        <v>77442729</v>
      </c>
      <c r="AB303" s="649">
        <v>31959258</v>
      </c>
      <c r="AC303" s="649">
        <v>75040414</v>
      </c>
      <c r="AD303" s="649">
        <v>120303852</v>
      </c>
      <c r="AE303" s="649">
        <v>42781867</v>
      </c>
      <c r="AF303" s="649">
        <v>0</v>
      </c>
      <c r="AG303" s="649">
        <v>2054345</v>
      </c>
    </row>
    <row r="304" spans="1:33" x14ac:dyDescent="0.2">
      <c r="A304">
        <v>16</v>
      </c>
      <c r="B304" s="483" t="s">
        <v>1424</v>
      </c>
      <c r="D304" t="str">
        <f t="shared" si="50"/>
        <v>OK</v>
      </c>
      <c r="E304" s="649">
        <v>22630917</v>
      </c>
      <c r="F304" s="649">
        <v>0</v>
      </c>
      <c r="G304" s="649">
        <v>0</v>
      </c>
      <c r="H304" s="649">
        <v>22630917</v>
      </c>
      <c r="I304" s="649">
        <v>0</v>
      </c>
      <c r="J304" s="649">
        <v>0</v>
      </c>
      <c r="K304" s="649">
        <v>0</v>
      </c>
      <c r="L304" s="649"/>
      <c r="M304" s="649">
        <v>0</v>
      </c>
      <c r="N304" s="649">
        <v>0</v>
      </c>
      <c r="O304" s="393">
        <v>0</v>
      </c>
      <c r="P304" s="649">
        <v>0</v>
      </c>
      <c r="Q304" s="649">
        <v>0</v>
      </c>
      <c r="R304" s="649">
        <v>0</v>
      </c>
      <c r="S304" s="649">
        <v>0</v>
      </c>
      <c r="T304" s="649">
        <v>0</v>
      </c>
      <c r="U304" s="649">
        <v>0</v>
      </c>
      <c r="V304" s="649">
        <v>0</v>
      </c>
      <c r="W304" s="649">
        <v>0</v>
      </c>
      <c r="X304" s="649">
        <v>0</v>
      </c>
      <c r="Y304" s="649">
        <v>0</v>
      </c>
      <c r="Z304" s="649">
        <v>0</v>
      </c>
      <c r="AA304" s="649">
        <v>0</v>
      </c>
      <c r="AB304" s="649">
        <v>0</v>
      </c>
      <c r="AC304" s="649">
        <v>0</v>
      </c>
      <c r="AD304" s="649">
        <v>0</v>
      </c>
      <c r="AE304" s="649">
        <v>0</v>
      </c>
      <c r="AF304" s="649">
        <v>0</v>
      </c>
      <c r="AG304" s="649">
        <v>0</v>
      </c>
    </row>
    <row r="305" spans="1:33" x14ac:dyDescent="0.2">
      <c r="A305">
        <v>17</v>
      </c>
      <c r="B305" s="1192" t="s">
        <v>1716</v>
      </c>
      <c r="D305" t="str">
        <f t="shared" si="50"/>
        <v>OK</v>
      </c>
      <c r="E305" s="651">
        <v>0</v>
      </c>
      <c r="F305" s="651">
        <v>0</v>
      </c>
      <c r="G305" s="651">
        <v>0</v>
      </c>
      <c r="H305" s="651">
        <v>0</v>
      </c>
      <c r="I305" s="651">
        <v>0</v>
      </c>
      <c r="J305" s="651">
        <v>0</v>
      </c>
      <c r="K305" s="651">
        <v>0</v>
      </c>
      <c r="L305" s="651"/>
      <c r="M305" s="651">
        <v>0</v>
      </c>
      <c r="N305" s="651">
        <v>0</v>
      </c>
      <c r="O305" s="843">
        <v>0</v>
      </c>
      <c r="P305" s="651">
        <v>0</v>
      </c>
      <c r="Q305" s="651">
        <v>0</v>
      </c>
      <c r="R305" s="651">
        <v>0</v>
      </c>
      <c r="S305" s="651">
        <v>0</v>
      </c>
      <c r="T305" s="651">
        <v>0</v>
      </c>
      <c r="U305" s="651">
        <v>0</v>
      </c>
      <c r="V305" s="651">
        <v>0</v>
      </c>
      <c r="W305" s="651">
        <v>0</v>
      </c>
      <c r="X305" s="651">
        <v>0</v>
      </c>
      <c r="Y305" s="651">
        <v>0</v>
      </c>
      <c r="Z305" s="651">
        <v>0</v>
      </c>
      <c r="AA305" s="651">
        <v>0</v>
      </c>
      <c r="AB305" s="651">
        <v>0</v>
      </c>
      <c r="AC305" s="651">
        <v>0</v>
      </c>
      <c r="AD305" s="651">
        <v>0</v>
      </c>
      <c r="AE305" s="651">
        <v>0</v>
      </c>
      <c r="AF305" s="651">
        <v>0</v>
      </c>
      <c r="AG305" s="651">
        <v>0</v>
      </c>
    </row>
    <row r="306" spans="1:33" x14ac:dyDescent="0.2">
      <c r="B306" s="1192" t="s">
        <v>1827</v>
      </c>
      <c r="D306" t="str">
        <f>IF(SUM(F306:N306)=E306,"OK","prob")</f>
        <v>OK</v>
      </c>
      <c r="E306" s="651">
        <f t="shared" ref="E306:AG306" si="51">SUM(E287:E305)</f>
        <v>2904451805.9200001</v>
      </c>
      <c r="F306" s="651">
        <f t="shared" si="51"/>
        <v>1864121873.8099999</v>
      </c>
      <c r="G306" s="651">
        <f t="shared" si="51"/>
        <v>382903431.81999999</v>
      </c>
      <c r="H306" s="651">
        <f t="shared" si="51"/>
        <v>22630917</v>
      </c>
      <c r="I306" s="651">
        <f t="shared" si="51"/>
        <v>605108636.29999995</v>
      </c>
      <c r="J306" s="651">
        <f t="shared" si="51"/>
        <v>13062308.699999999</v>
      </c>
      <c r="K306" s="651">
        <f t="shared" si="51"/>
        <v>4934405</v>
      </c>
      <c r="L306" s="651">
        <f t="shared" si="51"/>
        <v>0</v>
      </c>
      <c r="M306" s="651">
        <f t="shared" si="51"/>
        <v>0</v>
      </c>
      <c r="N306" s="651">
        <f t="shared" si="51"/>
        <v>11690233.289999999</v>
      </c>
      <c r="O306" s="843">
        <f t="shared" si="51"/>
        <v>65029360.649999999</v>
      </c>
      <c r="P306" s="651">
        <f t="shared" si="51"/>
        <v>3986430523.9299998</v>
      </c>
      <c r="Q306" s="651">
        <f t="shared" si="51"/>
        <v>2055521622.29</v>
      </c>
      <c r="R306" s="651">
        <f t="shared" si="51"/>
        <v>676864205.04999995</v>
      </c>
      <c r="S306" s="651">
        <f t="shared" si="51"/>
        <v>1131217784.6199999</v>
      </c>
      <c r="T306" s="651">
        <f t="shared" si="51"/>
        <v>165601420.28999999</v>
      </c>
      <c r="U306" s="651">
        <f t="shared" si="51"/>
        <v>518880143.00999999</v>
      </c>
      <c r="V306" s="651">
        <f t="shared" si="51"/>
        <v>1257448482.4400001</v>
      </c>
      <c r="W306" s="651">
        <f t="shared" si="51"/>
        <v>328228504.87</v>
      </c>
      <c r="X306" s="651">
        <f t="shared" si="51"/>
        <v>475370949.25</v>
      </c>
      <c r="Y306" s="651">
        <f t="shared" si="51"/>
        <v>753462324.75</v>
      </c>
      <c r="Z306" s="651">
        <f t="shared" si="51"/>
        <v>173717607.30000001</v>
      </c>
      <c r="AA306" s="651">
        <f t="shared" si="51"/>
        <v>201615178.31999999</v>
      </c>
      <c r="AB306" s="651">
        <f t="shared" si="51"/>
        <v>87720950.519999996</v>
      </c>
      <c r="AC306" s="651">
        <f t="shared" si="51"/>
        <v>162434960.37</v>
      </c>
      <c r="AD306" s="651">
        <f t="shared" si="51"/>
        <v>289535390.98000002</v>
      </c>
      <c r="AE306" s="651">
        <f t="shared" si="51"/>
        <v>108286334.3</v>
      </c>
      <c r="AF306" s="651">
        <f t="shared" si="51"/>
        <v>18401067.199999999</v>
      </c>
      <c r="AG306" s="651">
        <f t="shared" si="51"/>
        <v>3086902.81</v>
      </c>
    </row>
    <row r="307" spans="1:33" x14ac:dyDescent="0.2">
      <c r="E307" s="649"/>
      <c r="F307" s="649"/>
      <c r="O307" s="393"/>
      <c r="P307" s="649"/>
    </row>
    <row r="308" spans="1:33" x14ac:dyDescent="0.2">
      <c r="B308" s="272"/>
      <c r="E308" s="649"/>
      <c r="F308" s="649"/>
      <c r="O308" s="393"/>
      <c r="P308" s="649"/>
    </row>
    <row r="309" spans="1:33" x14ac:dyDescent="0.2">
      <c r="B309" s="272" t="s">
        <v>1916</v>
      </c>
      <c r="E309" s="805" t="str">
        <f t="shared" ref="E309:AG309" si="52">IF(ROUND(SUM(E287:E291,E295)-SUM(E121+E146),2)=0,"OK","Out of bal")</f>
        <v>OK</v>
      </c>
      <c r="F309" s="805" t="str">
        <f t="shared" si="52"/>
        <v>OK</v>
      </c>
      <c r="G309" s="805" t="str">
        <f t="shared" si="52"/>
        <v>OK</v>
      </c>
      <c r="H309" s="805" t="str">
        <f t="shared" si="52"/>
        <v>OK</v>
      </c>
      <c r="I309" s="805" t="str">
        <f t="shared" si="52"/>
        <v>OK</v>
      </c>
      <c r="J309" s="805" t="str">
        <f t="shared" si="52"/>
        <v>OK</v>
      </c>
      <c r="K309" s="805" t="str">
        <f t="shared" si="52"/>
        <v>OK</v>
      </c>
      <c r="L309" s="805" t="str">
        <f t="shared" si="52"/>
        <v>OK</v>
      </c>
      <c r="M309" s="805" t="str">
        <f t="shared" si="52"/>
        <v>OK</v>
      </c>
      <c r="N309" s="805" t="str">
        <f t="shared" si="52"/>
        <v>OK</v>
      </c>
      <c r="O309" s="805" t="str">
        <f t="shared" si="52"/>
        <v>OK</v>
      </c>
      <c r="P309" s="805" t="str">
        <f t="shared" si="52"/>
        <v>OK</v>
      </c>
      <c r="Q309" s="805" t="str">
        <f t="shared" si="52"/>
        <v>OK</v>
      </c>
      <c r="R309" s="805" t="str">
        <f t="shared" si="52"/>
        <v>OK</v>
      </c>
      <c r="S309" s="805" t="str">
        <f t="shared" si="52"/>
        <v>OK</v>
      </c>
      <c r="T309" s="805" t="str">
        <f t="shared" si="52"/>
        <v>OK</v>
      </c>
      <c r="U309" s="805" t="str">
        <f t="shared" si="52"/>
        <v>OK</v>
      </c>
      <c r="V309" s="805" t="str">
        <f t="shared" si="52"/>
        <v>OK</v>
      </c>
      <c r="W309" s="805" t="str">
        <f t="shared" si="52"/>
        <v>OK</v>
      </c>
      <c r="X309" s="805" t="str">
        <f t="shared" si="52"/>
        <v>OK</v>
      </c>
      <c r="Y309" s="805" t="str">
        <f t="shared" si="52"/>
        <v>OK</v>
      </c>
      <c r="Z309" s="805" t="str">
        <f t="shared" si="52"/>
        <v>OK</v>
      </c>
      <c r="AA309" s="805" t="str">
        <f t="shared" si="52"/>
        <v>OK</v>
      </c>
      <c r="AB309" s="805" t="str">
        <f t="shared" si="52"/>
        <v>OK</v>
      </c>
      <c r="AC309" s="805" t="str">
        <f t="shared" si="52"/>
        <v>OK</v>
      </c>
      <c r="AD309" s="805" t="str">
        <f t="shared" si="52"/>
        <v>OK</v>
      </c>
      <c r="AE309" s="805" t="str">
        <f t="shared" si="52"/>
        <v>OK</v>
      </c>
      <c r="AF309" s="805" t="str">
        <f t="shared" si="52"/>
        <v>OK</v>
      </c>
      <c r="AG309" s="805" t="str">
        <f t="shared" si="52"/>
        <v>OK</v>
      </c>
    </row>
    <row r="310" spans="1:33" x14ac:dyDescent="0.2">
      <c r="B310" s="272" t="s">
        <v>4054</v>
      </c>
      <c r="E310" s="805" t="str">
        <f t="shared" ref="E310:AG310" si="53">IF(ROUND(SUM(E292:E294,E296:E305)-SUM(E119:E120)-SUM(E122:E131)-SUM(E144:E145)-SUM(E147:E156),2)=0,"OK","Out of bal")</f>
        <v>OK</v>
      </c>
      <c r="F310" s="805" t="str">
        <f t="shared" si="53"/>
        <v>OK</v>
      </c>
      <c r="G310" s="805" t="str">
        <f t="shared" si="53"/>
        <v>OK</v>
      </c>
      <c r="H310" s="805" t="str">
        <f t="shared" si="53"/>
        <v>OK</v>
      </c>
      <c r="I310" s="805" t="str">
        <f t="shared" si="53"/>
        <v>OK</v>
      </c>
      <c r="J310" s="805" t="str">
        <f t="shared" si="53"/>
        <v>OK</v>
      </c>
      <c r="K310" s="805" t="str">
        <f t="shared" si="53"/>
        <v>OK</v>
      </c>
      <c r="L310" s="805" t="str">
        <f t="shared" si="53"/>
        <v>OK</v>
      </c>
      <c r="M310" s="805" t="str">
        <f t="shared" si="53"/>
        <v>OK</v>
      </c>
      <c r="N310" s="805" t="str">
        <f t="shared" si="53"/>
        <v>OK</v>
      </c>
      <c r="O310" s="805" t="str">
        <f t="shared" si="53"/>
        <v>OK</v>
      </c>
      <c r="P310" s="805" t="str">
        <f t="shared" si="53"/>
        <v>OK</v>
      </c>
      <c r="Q310" s="805" t="str">
        <f t="shared" si="53"/>
        <v>OK</v>
      </c>
      <c r="R310" s="805" t="str">
        <f t="shared" si="53"/>
        <v>OK</v>
      </c>
      <c r="S310" s="805" t="str">
        <f t="shared" si="53"/>
        <v>OK</v>
      </c>
      <c r="T310" s="805" t="str">
        <f t="shared" si="53"/>
        <v>OK</v>
      </c>
      <c r="U310" s="805" t="str">
        <f t="shared" si="53"/>
        <v>OK</v>
      </c>
      <c r="V310" s="805" t="str">
        <f t="shared" si="53"/>
        <v>OK</v>
      </c>
      <c r="W310" s="805" t="str">
        <f t="shared" si="53"/>
        <v>OK</v>
      </c>
      <c r="X310" s="805" t="str">
        <f t="shared" si="53"/>
        <v>OK</v>
      </c>
      <c r="Y310" s="805" t="str">
        <f t="shared" si="53"/>
        <v>OK</v>
      </c>
      <c r="Z310" s="805" t="str">
        <f t="shared" si="53"/>
        <v>OK</v>
      </c>
      <c r="AA310" s="805" t="str">
        <f t="shared" si="53"/>
        <v>OK</v>
      </c>
      <c r="AB310" s="805" t="str">
        <f t="shared" si="53"/>
        <v>OK</v>
      </c>
      <c r="AC310" s="805" t="str">
        <f t="shared" si="53"/>
        <v>OK</v>
      </c>
      <c r="AD310" s="805" t="str">
        <f t="shared" si="53"/>
        <v>OK</v>
      </c>
      <c r="AE310" s="805" t="str">
        <f t="shared" si="53"/>
        <v>OK</v>
      </c>
      <c r="AF310" s="805" t="str">
        <f t="shared" si="53"/>
        <v>OK</v>
      </c>
      <c r="AG310" s="805" t="str">
        <f t="shared" si="53"/>
        <v>OK</v>
      </c>
    </row>
    <row r="311" spans="1:33" x14ac:dyDescent="0.2">
      <c r="E311" s="805"/>
      <c r="F311" s="649"/>
      <c r="O311" s="1258"/>
      <c r="P311" s="805"/>
      <c r="Q311" s="805"/>
      <c r="R311" s="805"/>
      <c r="S311" s="805"/>
      <c r="T311" s="805"/>
      <c r="U311" s="805"/>
      <c r="V311" s="805"/>
      <c r="W311" s="805"/>
      <c r="X311" s="805"/>
      <c r="Y311" s="805"/>
      <c r="Z311" s="805"/>
      <c r="AA311" s="805"/>
      <c r="AB311" s="805"/>
      <c r="AC311" s="805"/>
      <c r="AD311" s="805"/>
      <c r="AE311" s="805"/>
      <c r="AF311" s="805"/>
      <c r="AG311" s="805"/>
    </row>
    <row r="312" spans="1:33" x14ac:dyDescent="0.2">
      <c r="B312" t="s">
        <v>1423</v>
      </c>
      <c r="E312" s="805"/>
      <c r="F312" s="649"/>
      <c r="O312" s="1258"/>
      <c r="P312" s="805"/>
      <c r="Q312" s="805"/>
      <c r="R312" s="805"/>
      <c r="S312" s="805"/>
      <c r="T312" s="805"/>
      <c r="U312" s="805"/>
      <c r="V312" s="805"/>
      <c r="W312" s="805"/>
      <c r="X312" s="805"/>
      <c r="Y312" s="805"/>
      <c r="Z312" s="805"/>
      <c r="AA312" s="805"/>
      <c r="AB312" s="805"/>
      <c r="AC312" s="805"/>
      <c r="AD312" s="805"/>
      <c r="AE312" s="805"/>
      <c r="AF312" s="805"/>
      <c r="AG312" s="805"/>
    </row>
    <row r="313" spans="1:33" x14ac:dyDescent="0.2">
      <c r="A313">
        <v>18</v>
      </c>
      <c r="B313" t="s">
        <v>4627</v>
      </c>
      <c r="D313" t="str">
        <f t="shared" ref="D313:D318" si="54">IF(SUM(F313:N313)-E313=0,"OK","prob")</f>
        <v>OK</v>
      </c>
      <c r="E313" s="649">
        <v>0</v>
      </c>
      <c r="F313" s="649">
        <v>0</v>
      </c>
      <c r="G313" s="649">
        <v>0</v>
      </c>
      <c r="H313" s="649">
        <v>0</v>
      </c>
      <c r="I313" s="649">
        <v>0</v>
      </c>
      <c r="J313" s="649">
        <v>0</v>
      </c>
      <c r="K313" s="649">
        <v>0</v>
      </c>
      <c r="L313" s="649"/>
      <c r="M313" s="649">
        <v>0</v>
      </c>
      <c r="N313" s="649">
        <v>0</v>
      </c>
      <c r="O313" s="393">
        <v>0</v>
      </c>
      <c r="P313" s="649">
        <v>0</v>
      </c>
      <c r="Q313" s="649">
        <v>0</v>
      </c>
      <c r="R313" s="649">
        <v>0</v>
      </c>
      <c r="S313" s="649">
        <v>0</v>
      </c>
      <c r="T313" s="649">
        <v>0</v>
      </c>
      <c r="U313" s="649">
        <v>0</v>
      </c>
      <c r="V313" s="649">
        <v>0</v>
      </c>
      <c r="W313" s="649">
        <v>0</v>
      </c>
      <c r="X313" s="649">
        <v>0</v>
      </c>
      <c r="Y313" s="649">
        <v>0</v>
      </c>
      <c r="Z313" s="649">
        <v>0</v>
      </c>
      <c r="AA313" s="649">
        <v>0</v>
      </c>
      <c r="AB313" s="649">
        <v>0</v>
      </c>
      <c r="AC313" s="649">
        <v>0</v>
      </c>
      <c r="AD313" s="649">
        <v>0</v>
      </c>
      <c r="AE313" s="649">
        <v>0</v>
      </c>
      <c r="AF313" s="649">
        <v>0</v>
      </c>
      <c r="AG313" s="649">
        <v>0</v>
      </c>
    </row>
    <row r="314" spans="1:33" x14ac:dyDescent="0.2">
      <c r="A314">
        <v>19</v>
      </c>
      <c r="B314" t="s">
        <v>4051</v>
      </c>
      <c r="D314" t="str">
        <f t="shared" si="54"/>
        <v>OK</v>
      </c>
      <c r="E314" s="649">
        <v>0</v>
      </c>
      <c r="F314" s="649">
        <v>0</v>
      </c>
      <c r="G314" s="649">
        <v>0</v>
      </c>
      <c r="H314" s="649">
        <v>0</v>
      </c>
      <c r="I314" s="649">
        <v>0</v>
      </c>
      <c r="J314" s="649">
        <v>0</v>
      </c>
      <c r="K314" s="649">
        <v>0</v>
      </c>
      <c r="L314" s="649"/>
      <c r="M314" s="649">
        <v>0</v>
      </c>
      <c r="N314" s="649">
        <v>0</v>
      </c>
      <c r="O314" s="393">
        <v>0</v>
      </c>
      <c r="P314" s="649">
        <v>0</v>
      </c>
      <c r="Q314" s="649">
        <v>0</v>
      </c>
      <c r="R314" s="649">
        <v>0</v>
      </c>
      <c r="S314" s="649">
        <v>0</v>
      </c>
      <c r="T314" s="649">
        <v>0</v>
      </c>
      <c r="U314" s="649">
        <v>0</v>
      </c>
      <c r="V314" s="649">
        <v>0</v>
      </c>
      <c r="W314" s="649">
        <v>0</v>
      </c>
      <c r="X314" s="649">
        <v>0</v>
      </c>
      <c r="Y314" s="649">
        <v>0</v>
      </c>
      <c r="Z314" s="649">
        <v>0</v>
      </c>
      <c r="AA314" s="649">
        <v>0</v>
      </c>
      <c r="AB314" s="649">
        <v>0</v>
      </c>
      <c r="AC314" s="649">
        <v>0</v>
      </c>
      <c r="AD314" s="649">
        <v>0</v>
      </c>
      <c r="AE314" s="649">
        <v>0</v>
      </c>
      <c r="AF314" s="649">
        <v>0</v>
      </c>
      <c r="AG314" s="649">
        <v>0</v>
      </c>
    </row>
    <row r="315" spans="1:33" x14ac:dyDescent="0.2">
      <c r="A315">
        <v>26</v>
      </c>
      <c r="B315" t="s">
        <v>4595</v>
      </c>
      <c r="D315" t="str">
        <f t="shared" si="54"/>
        <v>OK</v>
      </c>
      <c r="E315" s="649">
        <v>0</v>
      </c>
      <c r="F315" s="649">
        <v>0</v>
      </c>
      <c r="G315" s="649">
        <v>0</v>
      </c>
      <c r="H315" s="649">
        <v>0</v>
      </c>
      <c r="I315" s="649">
        <v>0</v>
      </c>
      <c r="J315" s="649">
        <v>0</v>
      </c>
      <c r="K315" s="649">
        <v>0</v>
      </c>
      <c r="L315" s="649"/>
      <c r="M315" s="649">
        <v>0</v>
      </c>
      <c r="N315" s="649">
        <v>0</v>
      </c>
      <c r="O315" s="393">
        <v>0</v>
      </c>
      <c r="P315" s="649">
        <v>0</v>
      </c>
      <c r="Q315" s="649">
        <v>0</v>
      </c>
      <c r="R315" s="649">
        <v>0</v>
      </c>
      <c r="S315" s="649">
        <v>0</v>
      </c>
      <c r="T315" s="649">
        <v>0</v>
      </c>
      <c r="U315" s="649">
        <v>0</v>
      </c>
      <c r="V315" s="649">
        <v>0</v>
      </c>
      <c r="W315" s="649">
        <v>0</v>
      </c>
      <c r="X315" s="649">
        <v>0</v>
      </c>
      <c r="Y315" s="649">
        <v>0</v>
      </c>
      <c r="Z315" s="649">
        <v>0</v>
      </c>
      <c r="AA315" s="649">
        <v>0</v>
      </c>
      <c r="AB315" s="649">
        <v>0</v>
      </c>
      <c r="AC315" s="649">
        <v>0</v>
      </c>
      <c r="AD315" s="649">
        <v>0</v>
      </c>
      <c r="AE315" s="649">
        <v>0</v>
      </c>
      <c r="AF315" s="649">
        <v>0</v>
      </c>
      <c r="AG315" s="649">
        <v>0</v>
      </c>
    </row>
    <row r="316" spans="1:33" x14ac:dyDescent="0.2">
      <c r="A316">
        <v>27</v>
      </c>
      <c r="B316" t="s">
        <v>4692</v>
      </c>
      <c r="D316" t="str">
        <f t="shared" si="54"/>
        <v>OK</v>
      </c>
      <c r="E316" s="649">
        <v>0</v>
      </c>
      <c r="F316" s="649">
        <v>0</v>
      </c>
      <c r="G316" s="649">
        <v>0</v>
      </c>
      <c r="H316" s="649">
        <v>0</v>
      </c>
      <c r="I316" s="649">
        <v>0</v>
      </c>
      <c r="J316" s="649">
        <v>0</v>
      </c>
      <c r="K316" s="649">
        <v>0</v>
      </c>
      <c r="L316" s="649"/>
      <c r="M316" s="649">
        <v>0</v>
      </c>
      <c r="N316" s="649">
        <v>0</v>
      </c>
      <c r="O316" s="393">
        <v>0</v>
      </c>
      <c r="P316" s="649">
        <v>0</v>
      </c>
      <c r="Q316" s="649">
        <v>0</v>
      </c>
      <c r="R316" s="649">
        <v>0</v>
      </c>
      <c r="S316" s="649">
        <v>0</v>
      </c>
      <c r="T316" s="649">
        <v>0</v>
      </c>
      <c r="U316" s="649">
        <v>0</v>
      </c>
      <c r="V316" s="649">
        <v>0</v>
      </c>
      <c r="W316" s="649">
        <v>0</v>
      </c>
      <c r="X316" s="649">
        <v>0</v>
      </c>
      <c r="Y316" s="649">
        <v>0</v>
      </c>
      <c r="Z316" s="649">
        <v>0</v>
      </c>
      <c r="AA316" s="649">
        <v>0</v>
      </c>
      <c r="AB316" s="649">
        <v>0</v>
      </c>
      <c r="AC316" s="649">
        <v>0</v>
      </c>
      <c r="AD316" s="649">
        <v>0</v>
      </c>
      <c r="AE316" s="649">
        <v>0</v>
      </c>
      <c r="AF316" s="649">
        <v>0</v>
      </c>
      <c r="AG316" s="649">
        <v>0</v>
      </c>
    </row>
    <row r="317" spans="1:33" x14ac:dyDescent="0.2">
      <c r="A317">
        <v>20</v>
      </c>
      <c r="B317" t="s">
        <v>4052</v>
      </c>
      <c r="D317" t="str">
        <f t="shared" si="54"/>
        <v>OK</v>
      </c>
      <c r="E317" s="649">
        <v>0</v>
      </c>
      <c r="F317" s="649">
        <v>0</v>
      </c>
      <c r="G317" s="649">
        <v>0</v>
      </c>
      <c r="H317" s="649">
        <v>0</v>
      </c>
      <c r="I317" s="649">
        <v>0</v>
      </c>
      <c r="J317" s="649">
        <v>0</v>
      </c>
      <c r="K317" s="649">
        <v>0</v>
      </c>
      <c r="L317" s="649"/>
      <c r="M317" s="649">
        <v>0</v>
      </c>
      <c r="N317" s="649">
        <v>0</v>
      </c>
      <c r="O317" s="393">
        <v>0</v>
      </c>
      <c r="P317" s="649">
        <v>0</v>
      </c>
      <c r="Q317" s="649">
        <v>0</v>
      </c>
      <c r="R317" s="649">
        <v>0</v>
      </c>
      <c r="S317" s="649">
        <v>0</v>
      </c>
      <c r="T317" s="649">
        <v>0</v>
      </c>
      <c r="U317" s="649">
        <v>0</v>
      </c>
      <c r="V317" s="649">
        <v>0</v>
      </c>
      <c r="W317" s="649">
        <v>0</v>
      </c>
      <c r="X317" s="649">
        <v>0</v>
      </c>
      <c r="Y317" s="649">
        <v>0</v>
      </c>
      <c r="Z317" s="649">
        <v>0</v>
      </c>
      <c r="AA317" s="649">
        <v>0</v>
      </c>
      <c r="AB317" s="649">
        <v>0</v>
      </c>
      <c r="AC317" s="649">
        <v>0</v>
      </c>
      <c r="AD317" s="649">
        <v>0</v>
      </c>
      <c r="AE317" s="649">
        <v>0</v>
      </c>
      <c r="AF317" s="649">
        <v>0</v>
      </c>
      <c r="AG317" s="649">
        <v>0</v>
      </c>
    </row>
    <row r="318" spans="1:33" ht="13.5" thickBot="1" x14ac:dyDescent="0.25">
      <c r="B318" t="s">
        <v>4053</v>
      </c>
      <c r="D318" t="str">
        <f t="shared" si="54"/>
        <v>OK</v>
      </c>
      <c r="E318" s="1606">
        <f>SUM(E313:E317)</f>
        <v>0</v>
      </c>
      <c r="F318" s="1606">
        <f t="shared" ref="F318:AG318" si="55">SUM(F313:F317)</f>
        <v>0</v>
      </c>
      <c r="G318" s="1606">
        <f t="shared" si="55"/>
        <v>0</v>
      </c>
      <c r="H318" s="1606">
        <f t="shared" si="55"/>
        <v>0</v>
      </c>
      <c r="I318" s="1606">
        <f t="shared" si="55"/>
        <v>0</v>
      </c>
      <c r="J318" s="1606">
        <f t="shared" si="55"/>
        <v>0</v>
      </c>
      <c r="K318" s="1606">
        <f t="shared" si="55"/>
        <v>0</v>
      </c>
      <c r="L318" s="1606">
        <f t="shared" si="55"/>
        <v>0</v>
      </c>
      <c r="M318" s="1606">
        <f>SUM(M313:M317)</f>
        <v>0</v>
      </c>
      <c r="N318" s="1606">
        <f t="shared" si="55"/>
        <v>0</v>
      </c>
      <c r="O318" s="708">
        <f t="shared" si="55"/>
        <v>0</v>
      </c>
      <c r="P318" s="1606">
        <f t="shared" si="55"/>
        <v>0</v>
      </c>
      <c r="Q318" s="1606">
        <f t="shared" si="55"/>
        <v>0</v>
      </c>
      <c r="R318" s="1606">
        <f t="shared" si="55"/>
        <v>0</v>
      </c>
      <c r="S318" s="1606">
        <f t="shared" si="55"/>
        <v>0</v>
      </c>
      <c r="T318" s="1606">
        <f t="shared" si="55"/>
        <v>0</v>
      </c>
      <c r="U318" s="1606">
        <f t="shared" si="55"/>
        <v>0</v>
      </c>
      <c r="V318" s="1606">
        <f t="shared" si="55"/>
        <v>0</v>
      </c>
      <c r="W318" s="1606">
        <f t="shared" si="55"/>
        <v>0</v>
      </c>
      <c r="X318" s="1606">
        <f t="shared" si="55"/>
        <v>0</v>
      </c>
      <c r="Y318" s="1606">
        <f t="shared" si="55"/>
        <v>0</v>
      </c>
      <c r="Z318" s="1606">
        <f t="shared" si="55"/>
        <v>0</v>
      </c>
      <c r="AA318" s="1606">
        <f t="shared" si="55"/>
        <v>0</v>
      </c>
      <c r="AB318" s="1606">
        <f t="shared" si="55"/>
        <v>0</v>
      </c>
      <c r="AC318" s="1606">
        <f t="shared" si="55"/>
        <v>0</v>
      </c>
      <c r="AD318" s="1606">
        <f t="shared" si="55"/>
        <v>0</v>
      </c>
      <c r="AE318" s="1606">
        <f t="shared" si="55"/>
        <v>0</v>
      </c>
      <c r="AF318" s="1606">
        <f t="shared" si="55"/>
        <v>0</v>
      </c>
      <c r="AG318" s="1606">
        <f t="shared" si="55"/>
        <v>0</v>
      </c>
    </row>
    <row r="319" spans="1:33" ht="13.5" thickTop="1" x14ac:dyDescent="0.2">
      <c r="E319" s="805" t="str">
        <f t="shared" ref="E319:AG319" si="56">IF(ROUND(E318-SUM(E105:E109),2)=0,"OK","Out of bal")</f>
        <v>OK</v>
      </c>
      <c r="F319" s="805" t="str">
        <f t="shared" si="56"/>
        <v>OK</v>
      </c>
      <c r="G319" s="805" t="str">
        <f t="shared" si="56"/>
        <v>OK</v>
      </c>
      <c r="H319" s="805" t="str">
        <f t="shared" si="56"/>
        <v>OK</v>
      </c>
      <c r="I319" s="805" t="str">
        <f t="shared" si="56"/>
        <v>OK</v>
      </c>
      <c r="J319" s="805" t="str">
        <f t="shared" si="56"/>
        <v>OK</v>
      </c>
      <c r="K319" s="805" t="str">
        <f t="shared" si="56"/>
        <v>OK</v>
      </c>
      <c r="L319" s="805" t="str">
        <f t="shared" si="56"/>
        <v>OK</v>
      </c>
      <c r="M319" s="805" t="str">
        <f t="shared" si="56"/>
        <v>OK</v>
      </c>
      <c r="N319" s="805" t="str">
        <f t="shared" si="56"/>
        <v>OK</v>
      </c>
      <c r="O319" s="2018" t="str">
        <f t="shared" si="56"/>
        <v>OK</v>
      </c>
      <c r="P319" s="805" t="str">
        <f t="shared" si="56"/>
        <v>OK</v>
      </c>
      <c r="Q319" s="805" t="str">
        <f t="shared" si="56"/>
        <v>OK</v>
      </c>
      <c r="R319" s="805" t="str">
        <f t="shared" si="56"/>
        <v>OK</v>
      </c>
      <c r="S319" s="805" t="str">
        <f t="shared" si="56"/>
        <v>OK</v>
      </c>
      <c r="T319" s="805" t="str">
        <f t="shared" si="56"/>
        <v>OK</v>
      </c>
      <c r="U319" s="805" t="str">
        <f t="shared" si="56"/>
        <v>OK</v>
      </c>
      <c r="V319" s="805" t="str">
        <f t="shared" si="56"/>
        <v>OK</v>
      </c>
      <c r="W319" s="805" t="str">
        <f t="shared" si="56"/>
        <v>OK</v>
      </c>
      <c r="X319" s="805" t="str">
        <f t="shared" si="56"/>
        <v>OK</v>
      </c>
      <c r="Y319" s="805" t="str">
        <f t="shared" si="56"/>
        <v>OK</v>
      </c>
      <c r="Z319" s="805" t="str">
        <f t="shared" si="56"/>
        <v>OK</v>
      </c>
      <c r="AA319" s="805" t="str">
        <f t="shared" si="56"/>
        <v>OK</v>
      </c>
      <c r="AB319" s="805" t="str">
        <f t="shared" si="56"/>
        <v>OK</v>
      </c>
      <c r="AC319" s="805" t="str">
        <f t="shared" si="56"/>
        <v>OK</v>
      </c>
      <c r="AD319" s="805" t="str">
        <f t="shared" si="56"/>
        <v>OK</v>
      </c>
      <c r="AE319" s="805" t="str">
        <f t="shared" si="56"/>
        <v>OK</v>
      </c>
      <c r="AF319" s="805" t="str">
        <f t="shared" si="56"/>
        <v>OK</v>
      </c>
      <c r="AG319" s="805" t="str">
        <f t="shared" si="56"/>
        <v>OK</v>
      </c>
    </row>
    <row r="324" spans="2:33" x14ac:dyDescent="0.2">
      <c r="B324" s="2876" t="s">
        <v>5477</v>
      </c>
      <c r="C324" s="2876"/>
      <c r="E324" s="649">
        <f t="shared" ref="E324:AG324" si="57">SUM(E120,E145)-E296</f>
        <v>0</v>
      </c>
      <c r="F324" s="649">
        <f t="shared" si="57"/>
        <v>0</v>
      </c>
      <c r="G324" s="649">
        <f t="shared" si="57"/>
        <v>0</v>
      </c>
      <c r="H324" s="649">
        <f t="shared" si="57"/>
        <v>0</v>
      </c>
      <c r="I324" s="649">
        <f t="shared" si="57"/>
        <v>0</v>
      </c>
      <c r="J324" s="649">
        <f t="shared" si="57"/>
        <v>0</v>
      </c>
      <c r="K324" s="649">
        <f t="shared" si="57"/>
        <v>0</v>
      </c>
      <c r="L324" s="649">
        <f t="shared" si="57"/>
        <v>0</v>
      </c>
      <c r="M324" s="649">
        <f t="shared" si="57"/>
        <v>0</v>
      </c>
      <c r="N324" s="649">
        <f t="shared" si="57"/>
        <v>0</v>
      </c>
      <c r="O324" s="393">
        <f t="shared" si="57"/>
        <v>0</v>
      </c>
      <c r="P324" s="649">
        <f t="shared" si="57"/>
        <v>0</v>
      </c>
      <c r="Q324" s="649">
        <f t="shared" si="57"/>
        <v>0</v>
      </c>
      <c r="R324" s="649">
        <f t="shared" si="57"/>
        <v>0</v>
      </c>
      <c r="S324" s="649">
        <f t="shared" si="57"/>
        <v>0</v>
      </c>
      <c r="T324" s="649">
        <f t="shared" si="57"/>
        <v>0</v>
      </c>
      <c r="U324" s="649">
        <f t="shared" si="57"/>
        <v>0</v>
      </c>
      <c r="V324" s="649">
        <f t="shared" si="57"/>
        <v>0</v>
      </c>
      <c r="W324" s="649">
        <f t="shared" si="57"/>
        <v>0</v>
      </c>
      <c r="X324" s="649">
        <f t="shared" si="57"/>
        <v>0</v>
      </c>
      <c r="Y324" s="649">
        <f t="shared" si="57"/>
        <v>0</v>
      </c>
      <c r="Z324" s="649">
        <f t="shared" si="57"/>
        <v>0</v>
      </c>
      <c r="AA324" s="649">
        <f t="shared" si="57"/>
        <v>0</v>
      </c>
      <c r="AB324" s="649">
        <f t="shared" si="57"/>
        <v>0</v>
      </c>
      <c r="AC324" s="649">
        <f t="shared" si="57"/>
        <v>0</v>
      </c>
      <c r="AD324" s="649">
        <f t="shared" si="57"/>
        <v>0</v>
      </c>
      <c r="AE324" s="649">
        <f t="shared" si="57"/>
        <v>0</v>
      </c>
      <c r="AF324" s="649">
        <f t="shared" si="57"/>
        <v>0</v>
      </c>
      <c r="AG324" s="649">
        <f t="shared" si="57"/>
        <v>0</v>
      </c>
    </row>
    <row r="325" spans="2:33" x14ac:dyDescent="0.2">
      <c r="B325" s="2876" t="s">
        <v>1548</v>
      </c>
      <c r="C325" s="2876"/>
      <c r="E325" s="649">
        <f t="shared" ref="E325:AG325" si="58">SUM(E121,E146)-SUM(E287:E291)</f>
        <v>0</v>
      </c>
      <c r="F325" s="649">
        <f t="shared" si="58"/>
        <v>0</v>
      </c>
      <c r="G325" s="649">
        <f t="shared" si="58"/>
        <v>0</v>
      </c>
      <c r="H325" s="649">
        <f t="shared" si="58"/>
        <v>0</v>
      </c>
      <c r="I325" s="649">
        <f t="shared" si="58"/>
        <v>0</v>
      </c>
      <c r="J325" s="649">
        <f t="shared" si="58"/>
        <v>0</v>
      </c>
      <c r="K325" s="649">
        <f t="shared" si="58"/>
        <v>0</v>
      </c>
      <c r="L325" s="649">
        <f t="shared" si="58"/>
        <v>0</v>
      </c>
      <c r="M325" s="649">
        <f t="shared" si="58"/>
        <v>0</v>
      </c>
      <c r="N325" s="649">
        <f t="shared" si="58"/>
        <v>0</v>
      </c>
      <c r="O325" s="393">
        <f t="shared" si="58"/>
        <v>0</v>
      </c>
      <c r="P325" s="649">
        <f>SUM(P121,P146)-SUM(P287:P291)-P295</f>
        <v>0</v>
      </c>
      <c r="Q325" s="649">
        <f>SUM(Q121,Q146)-SUM(Q287:Q291)-Q295</f>
        <v>0</v>
      </c>
      <c r="R325" s="649">
        <f>SUM(R121,R146)-SUM(R287:R291)-R295</f>
        <v>0</v>
      </c>
      <c r="S325" s="649">
        <f t="shared" si="58"/>
        <v>0</v>
      </c>
      <c r="T325" s="649">
        <f t="shared" si="58"/>
        <v>0</v>
      </c>
      <c r="U325" s="649">
        <f>SUM(U121,U146)-SUM(U287:U291)-U295</f>
        <v>0</v>
      </c>
      <c r="V325" s="649">
        <f>SUM(V121,V146)-SUM(V287:V291)-V295</f>
        <v>0</v>
      </c>
      <c r="W325" s="649">
        <f t="shared" si="58"/>
        <v>0</v>
      </c>
      <c r="X325" s="649">
        <f t="shared" si="58"/>
        <v>0</v>
      </c>
      <c r="Y325" s="649">
        <f>SUM(Y121,Y146)-SUM(Y287:Y291)-Y295</f>
        <v>0</v>
      </c>
      <c r="Z325" s="649">
        <f>SUM(Z121,Z146)-SUM(Z287:Z291)-Z295</f>
        <v>0</v>
      </c>
      <c r="AA325" s="649">
        <f t="shared" si="58"/>
        <v>0</v>
      </c>
      <c r="AB325" s="649">
        <f t="shared" si="58"/>
        <v>0</v>
      </c>
      <c r="AC325" s="649">
        <f t="shared" si="58"/>
        <v>0</v>
      </c>
      <c r="AD325" s="649">
        <f t="shared" si="58"/>
        <v>0</v>
      </c>
      <c r="AE325" s="649">
        <f t="shared" si="58"/>
        <v>0</v>
      </c>
      <c r="AF325" s="649">
        <f t="shared" si="58"/>
        <v>0</v>
      </c>
      <c r="AG325" s="649">
        <f t="shared" si="58"/>
        <v>0</v>
      </c>
    </row>
    <row r="326" spans="2:33" x14ac:dyDescent="0.2">
      <c r="B326" s="2876" t="s">
        <v>1061</v>
      </c>
      <c r="C326" s="2876"/>
      <c r="E326" s="649">
        <f t="shared" ref="E326:AG326" si="59">SUM(E122,E147)-E292</f>
        <v>0</v>
      </c>
      <c r="F326" s="649">
        <f t="shared" si="59"/>
        <v>0</v>
      </c>
      <c r="G326" s="649">
        <f t="shared" si="59"/>
        <v>0</v>
      </c>
      <c r="H326" s="649">
        <f t="shared" si="59"/>
        <v>0</v>
      </c>
      <c r="I326" s="649">
        <f t="shared" si="59"/>
        <v>0</v>
      </c>
      <c r="J326" s="649">
        <f t="shared" si="59"/>
        <v>0</v>
      </c>
      <c r="K326" s="649">
        <f t="shared" si="59"/>
        <v>0</v>
      </c>
      <c r="L326" s="649">
        <f t="shared" si="59"/>
        <v>0</v>
      </c>
      <c r="M326" s="649">
        <f t="shared" si="59"/>
        <v>0</v>
      </c>
      <c r="N326" s="649">
        <f t="shared" si="59"/>
        <v>0</v>
      </c>
      <c r="O326" s="393">
        <f t="shared" si="59"/>
        <v>0</v>
      </c>
      <c r="P326" s="649">
        <f t="shared" si="59"/>
        <v>0</v>
      </c>
      <c r="Q326" s="649">
        <f t="shared" si="59"/>
        <v>0</v>
      </c>
      <c r="R326" s="649">
        <f t="shared" si="59"/>
        <v>0</v>
      </c>
      <c r="S326" s="649">
        <f t="shared" si="59"/>
        <v>0</v>
      </c>
      <c r="T326" s="649">
        <f t="shared" si="59"/>
        <v>0</v>
      </c>
      <c r="U326" s="649">
        <f t="shared" si="59"/>
        <v>0</v>
      </c>
      <c r="V326" s="649">
        <f t="shared" si="59"/>
        <v>0</v>
      </c>
      <c r="W326" s="649">
        <f t="shared" si="59"/>
        <v>0</v>
      </c>
      <c r="X326" s="649">
        <f t="shared" si="59"/>
        <v>0</v>
      </c>
      <c r="Y326" s="649">
        <f t="shared" si="59"/>
        <v>0</v>
      </c>
      <c r="Z326" s="649">
        <f t="shared" si="59"/>
        <v>0</v>
      </c>
      <c r="AA326" s="649">
        <f t="shared" si="59"/>
        <v>0</v>
      </c>
      <c r="AB326" s="649">
        <f t="shared" si="59"/>
        <v>0</v>
      </c>
      <c r="AC326" s="649">
        <f t="shared" si="59"/>
        <v>0</v>
      </c>
      <c r="AD326" s="649">
        <f t="shared" si="59"/>
        <v>0</v>
      </c>
      <c r="AE326" s="649">
        <f t="shared" si="59"/>
        <v>0</v>
      </c>
      <c r="AF326" s="649">
        <f t="shared" si="59"/>
        <v>0</v>
      </c>
      <c r="AG326" s="649">
        <f t="shared" si="59"/>
        <v>0</v>
      </c>
    </row>
    <row r="327" spans="2:33" x14ac:dyDescent="0.2">
      <c r="B327" s="2876" t="s">
        <v>1062</v>
      </c>
      <c r="C327" s="2876"/>
      <c r="E327" s="649">
        <f t="shared" ref="E327:AG327" si="60">SUM(E123,E148)-E293</f>
        <v>0</v>
      </c>
      <c r="F327" s="649">
        <f t="shared" si="60"/>
        <v>0</v>
      </c>
      <c r="G327" s="649">
        <f t="shared" si="60"/>
        <v>0</v>
      </c>
      <c r="H327" s="649">
        <f t="shared" si="60"/>
        <v>0</v>
      </c>
      <c r="I327" s="649">
        <f t="shared" si="60"/>
        <v>0</v>
      </c>
      <c r="J327" s="649">
        <f t="shared" si="60"/>
        <v>0</v>
      </c>
      <c r="K327" s="649">
        <f t="shared" si="60"/>
        <v>0</v>
      </c>
      <c r="L327" s="649">
        <f t="shared" si="60"/>
        <v>0</v>
      </c>
      <c r="M327" s="649">
        <f t="shared" si="60"/>
        <v>0</v>
      </c>
      <c r="N327" s="649">
        <f t="shared" si="60"/>
        <v>0</v>
      </c>
      <c r="O327" s="393">
        <f t="shared" si="60"/>
        <v>0</v>
      </c>
      <c r="P327" s="649">
        <f t="shared" si="60"/>
        <v>0</v>
      </c>
      <c r="Q327" s="649">
        <f t="shared" si="60"/>
        <v>0</v>
      </c>
      <c r="R327" s="649">
        <f t="shared" si="60"/>
        <v>0</v>
      </c>
      <c r="S327" s="649">
        <f t="shared" si="60"/>
        <v>0</v>
      </c>
      <c r="T327" s="649">
        <f t="shared" si="60"/>
        <v>0</v>
      </c>
      <c r="U327" s="649">
        <f t="shared" si="60"/>
        <v>0</v>
      </c>
      <c r="V327" s="649">
        <f t="shared" si="60"/>
        <v>0</v>
      </c>
      <c r="W327" s="649">
        <f t="shared" si="60"/>
        <v>0</v>
      </c>
      <c r="X327" s="649">
        <f t="shared" si="60"/>
        <v>0</v>
      </c>
      <c r="Y327" s="649">
        <f t="shared" si="60"/>
        <v>0</v>
      </c>
      <c r="Z327" s="649">
        <f t="shared" si="60"/>
        <v>0</v>
      </c>
      <c r="AA327" s="649">
        <f t="shared" si="60"/>
        <v>0</v>
      </c>
      <c r="AB327" s="649">
        <f t="shared" si="60"/>
        <v>0</v>
      </c>
      <c r="AC327" s="649">
        <f t="shared" si="60"/>
        <v>0</v>
      </c>
      <c r="AD327" s="649">
        <f t="shared" si="60"/>
        <v>0</v>
      </c>
      <c r="AE327" s="649">
        <f t="shared" si="60"/>
        <v>0</v>
      </c>
      <c r="AF327" s="649">
        <f t="shared" si="60"/>
        <v>0</v>
      </c>
      <c r="AG327" s="649">
        <f t="shared" si="60"/>
        <v>0</v>
      </c>
    </row>
    <row r="328" spans="2:33" x14ac:dyDescent="0.2">
      <c r="B328" s="2876" t="s">
        <v>4703</v>
      </c>
      <c r="C328" s="2876"/>
      <c r="E328" s="649">
        <f t="shared" ref="E328:AG328" si="61">SUM(E119,E144)-E294</f>
        <v>0</v>
      </c>
      <c r="F328" s="649">
        <f t="shared" si="61"/>
        <v>0</v>
      </c>
      <c r="G328" s="649">
        <f t="shared" si="61"/>
        <v>0</v>
      </c>
      <c r="H328" s="649">
        <f t="shared" si="61"/>
        <v>0</v>
      </c>
      <c r="I328" s="649">
        <f t="shared" si="61"/>
        <v>0</v>
      </c>
      <c r="J328" s="649">
        <f t="shared" si="61"/>
        <v>0</v>
      </c>
      <c r="K328" s="649">
        <f t="shared" si="61"/>
        <v>0</v>
      </c>
      <c r="L328" s="649">
        <f t="shared" si="61"/>
        <v>0</v>
      </c>
      <c r="M328" s="649">
        <f t="shared" si="61"/>
        <v>0</v>
      </c>
      <c r="N328" s="649">
        <f t="shared" si="61"/>
        <v>0</v>
      </c>
      <c r="O328" s="649">
        <f t="shared" si="61"/>
        <v>0</v>
      </c>
      <c r="P328" s="649">
        <f t="shared" si="61"/>
        <v>0</v>
      </c>
      <c r="Q328" s="649">
        <f t="shared" si="61"/>
        <v>0</v>
      </c>
      <c r="R328" s="649">
        <f t="shared" si="61"/>
        <v>0</v>
      </c>
      <c r="S328" s="649">
        <f t="shared" si="61"/>
        <v>0</v>
      </c>
      <c r="T328" s="649">
        <f t="shared" si="61"/>
        <v>0</v>
      </c>
      <c r="U328" s="649">
        <f t="shared" si="61"/>
        <v>0</v>
      </c>
      <c r="V328" s="649">
        <f t="shared" si="61"/>
        <v>0</v>
      </c>
      <c r="W328" s="649">
        <f t="shared" si="61"/>
        <v>0</v>
      </c>
      <c r="X328" s="649">
        <f t="shared" si="61"/>
        <v>0</v>
      </c>
      <c r="Y328" s="649">
        <f t="shared" si="61"/>
        <v>0</v>
      </c>
      <c r="Z328" s="649">
        <f t="shared" si="61"/>
        <v>0</v>
      </c>
      <c r="AA328" s="649">
        <f t="shared" si="61"/>
        <v>0</v>
      </c>
      <c r="AB328" s="649">
        <f t="shared" si="61"/>
        <v>0</v>
      </c>
      <c r="AC328" s="649">
        <f t="shared" si="61"/>
        <v>0</v>
      </c>
      <c r="AD328" s="649">
        <f t="shared" si="61"/>
        <v>0</v>
      </c>
      <c r="AE328" s="649">
        <f t="shared" si="61"/>
        <v>0</v>
      </c>
      <c r="AF328" s="649">
        <f t="shared" si="61"/>
        <v>0</v>
      </c>
      <c r="AG328" s="649">
        <f t="shared" si="61"/>
        <v>0</v>
      </c>
    </row>
    <row r="329" spans="2:33" x14ac:dyDescent="0.2">
      <c r="B329" s="2876" t="s">
        <v>4668</v>
      </c>
      <c r="C329" s="2876"/>
      <c r="E329" s="649">
        <f>E108</f>
        <v>0</v>
      </c>
      <c r="F329" s="649">
        <f t="shared" ref="F329:AG329" si="62">F108</f>
        <v>0</v>
      </c>
      <c r="G329" s="649">
        <f t="shared" si="62"/>
        <v>0</v>
      </c>
      <c r="H329" s="649">
        <f t="shared" si="62"/>
        <v>0</v>
      </c>
      <c r="I329" s="649">
        <f t="shared" si="62"/>
        <v>0</v>
      </c>
      <c r="J329" s="649">
        <f t="shared" si="62"/>
        <v>0</v>
      </c>
      <c r="K329" s="649">
        <f t="shared" si="62"/>
        <v>0</v>
      </c>
      <c r="L329" s="649">
        <f t="shared" si="62"/>
        <v>0</v>
      </c>
      <c r="M329" s="649">
        <f t="shared" si="62"/>
        <v>0</v>
      </c>
      <c r="N329" s="649">
        <f t="shared" si="62"/>
        <v>0</v>
      </c>
      <c r="O329" s="649">
        <f t="shared" si="62"/>
        <v>0</v>
      </c>
      <c r="P329" s="649">
        <f t="shared" si="62"/>
        <v>0</v>
      </c>
      <c r="Q329" s="649">
        <f t="shared" si="62"/>
        <v>0</v>
      </c>
      <c r="R329" s="649">
        <f t="shared" si="62"/>
        <v>0</v>
      </c>
      <c r="S329" s="649">
        <f t="shared" si="62"/>
        <v>0</v>
      </c>
      <c r="T329" s="649">
        <f t="shared" si="62"/>
        <v>0</v>
      </c>
      <c r="U329" s="649">
        <f t="shared" si="62"/>
        <v>0</v>
      </c>
      <c r="V329" s="649">
        <f t="shared" si="62"/>
        <v>0</v>
      </c>
      <c r="W329" s="649">
        <f t="shared" si="62"/>
        <v>0</v>
      </c>
      <c r="X329" s="649">
        <f t="shared" si="62"/>
        <v>0</v>
      </c>
      <c r="Y329" s="649">
        <f t="shared" si="62"/>
        <v>0</v>
      </c>
      <c r="Z329" s="649">
        <f t="shared" si="62"/>
        <v>0</v>
      </c>
      <c r="AA329" s="649">
        <f t="shared" si="62"/>
        <v>0</v>
      </c>
      <c r="AB329" s="649">
        <f t="shared" si="62"/>
        <v>0</v>
      </c>
      <c r="AC329" s="649">
        <f t="shared" si="62"/>
        <v>0</v>
      </c>
      <c r="AD329" s="649">
        <f t="shared" si="62"/>
        <v>0</v>
      </c>
      <c r="AE329" s="649">
        <f t="shared" si="62"/>
        <v>0</v>
      </c>
      <c r="AF329" s="649">
        <f t="shared" si="62"/>
        <v>0</v>
      </c>
      <c r="AG329" s="649">
        <f t="shared" si="62"/>
        <v>0</v>
      </c>
    </row>
    <row r="330" spans="2:33" x14ac:dyDescent="0.2">
      <c r="B330" s="2876" t="s">
        <v>93</v>
      </c>
      <c r="C330" s="2876"/>
      <c r="E330" s="649">
        <f t="shared" ref="E330:AG330" si="63">SUM(E124,E149)-E297</f>
        <v>0</v>
      </c>
      <c r="F330" s="649">
        <f t="shared" si="63"/>
        <v>0</v>
      </c>
      <c r="G330" s="649">
        <f t="shared" si="63"/>
        <v>0</v>
      </c>
      <c r="H330" s="649">
        <f t="shared" si="63"/>
        <v>0</v>
      </c>
      <c r="I330" s="649">
        <f t="shared" si="63"/>
        <v>0</v>
      </c>
      <c r="J330" s="649">
        <f t="shared" si="63"/>
        <v>0</v>
      </c>
      <c r="K330" s="649">
        <f t="shared" si="63"/>
        <v>0</v>
      </c>
      <c r="L330" s="649">
        <f t="shared" si="63"/>
        <v>0</v>
      </c>
      <c r="M330" s="649">
        <f t="shared" si="63"/>
        <v>0</v>
      </c>
      <c r="N330" s="649">
        <f t="shared" si="63"/>
        <v>0</v>
      </c>
      <c r="O330" s="393">
        <f t="shared" si="63"/>
        <v>0</v>
      </c>
      <c r="P330" s="649">
        <f t="shared" si="63"/>
        <v>0</v>
      </c>
      <c r="Q330" s="649">
        <f t="shared" si="63"/>
        <v>0</v>
      </c>
      <c r="R330" s="649">
        <f t="shared" si="63"/>
        <v>0</v>
      </c>
      <c r="S330" s="649">
        <f t="shared" si="63"/>
        <v>0</v>
      </c>
      <c r="T330" s="649">
        <f t="shared" si="63"/>
        <v>0</v>
      </c>
      <c r="U330" s="649">
        <f t="shared" si="63"/>
        <v>0</v>
      </c>
      <c r="V330" s="649">
        <f t="shared" si="63"/>
        <v>0</v>
      </c>
      <c r="W330" s="649">
        <f t="shared" si="63"/>
        <v>0</v>
      </c>
      <c r="X330" s="649">
        <f t="shared" si="63"/>
        <v>0</v>
      </c>
      <c r="Y330" s="649">
        <f t="shared" si="63"/>
        <v>0</v>
      </c>
      <c r="Z330" s="649">
        <f t="shared" si="63"/>
        <v>0</v>
      </c>
      <c r="AA330" s="649">
        <f t="shared" si="63"/>
        <v>0</v>
      </c>
      <c r="AB330" s="649">
        <f t="shared" si="63"/>
        <v>0</v>
      </c>
      <c r="AC330" s="649">
        <f t="shared" si="63"/>
        <v>0</v>
      </c>
      <c r="AD330" s="649">
        <f t="shared" si="63"/>
        <v>0</v>
      </c>
      <c r="AE330" s="649">
        <f t="shared" si="63"/>
        <v>0</v>
      </c>
      <c r="AF330" s="649">
        <f t="shared" si="63"/>
        <v>0</v>
      </c>
      <c r="AG330" s="649">
        <f t="shared" si="63"/>
        <v>0</v>
      </c>
    </row>
    <row r="331" spans="2:33" x14ac:dyDescent="0.2">
      <c r="B331" s="2876" t="s">
        <v>1226</v>
      </c>
      <c r="C331" s="2876"/>
      <c r="E331" s="649">
        <f t="shared" ref="E331:AG331" si="64">SUM(E125,E150)-E299</f>
        <v>0</v>
      </c>
      <c r="F331" s="649">
        <f t="shared" si="64"/>
        <v>0</v>
      </c>
      <c r="G331" s="649">
        <f t="shared" si="64"/>
        <v>0</v>
      </c>
      <c r="H331" s="649">
        <f t="shared" si="64"/>
        <v>0</v>
      </c>
      <c r="I331" s="649">
        <f t="shared" si="64"/>
        <v>0</v>
      </c>
      <c r="J331" s="649">
        <f t="shared" si="64"/>
        <v>0</v>
      </c>
      <c r="K331" s="649">
        <f t="shared" si="64"/>
        <v>0</v>
      </c>
      <c r="L331" s="649">
        <f t="shared" si="64"/>
        <v>0</v>
      </c>
      <c r="M331" s="649">
        <f t="shared" si="64"/>
        <v>0</v>
      </c>
      <c r="N331" s="649">
        <f t="shared" si="64"/>
        <v>0</v>
      </c>
      <c r="O331" s="393">
        <f t="shared" si="64"/>
        <v>0</v>
      </c>
      <c r="P331" s="649">
        <f t="shared" si="64"/>
        <v>0</v>
      </c>
      <c r="Q331" s="649">
        <f t="shared" si="64"/>
        <v>0</v>
      </c>
      <c r="R331" s="649">
        <f t="shared" si="64"/>
        <v>0</v>
      </c>
      <c r="S331" s="649">
        <f t="shared" si="64"/>
        <v>0</v>
      </c>
      <c r="T331" s="649">
        <f t="shared" si="64"/>
        <v>0</v>
      </c>
      <c r="U331" s="649">
        <f t="shared" si="64"/>
        <v>0</v>
      </c>
      <c r="V331" s="649">
        <f t="shared" si="64"/>
        <v>0</v>
      </c>
      <c r="W331" s="649">
        <f t="shared" si="64"/>
        <v>0</v>
      </c>
      <c r="X331" s="649">
        <f t="shared" si="64"/>
        <v>0</v>
      </c>
      <c r="Y331" s="649">
        <f t="shared" si="64"/>
        <v>0</v>
      </c>
      <c r="Z331" s="649">
        <f t="shared" si="64"/>
        <v>0</v>
      </c>
      <c r="AA331" s="649">
        <f t="shared" si="64"/>
        <v>0</v>
      </c>
      <c r="AB331" s="649">
        <f t="shared" si="64"/>
        <v>0</v>
      </c>
      <c r="AC331" s="649">
        <f t="shared" si="64"/>
        <v>0</v>
      </c>
      <c r="AD331" s="649">
        <f t="shared" si="64"/>
        <v>0</v>
      </c>
      <c r="AE331" s="649">
        <f t="shared" si="64"/>
        <v>0</v>
      </c>
      <c r="AF331" s="649">
        <f t="shared" si="64"/>
        <v>0</v>
      </c>
      <c r="AG331" s="649">
        <f t="shared" si="64"/>
        <v>0</v>
      </c>
    </row>
    <row r="332" spans="2:33" x14ac:dyDescent="0.2">
      <c r="B332" s="2876" t="s">
        <v>4705</v>
      </c>
      <c r="C332" s="2876"/>
      <c r="E332" s="649">
        <f t="shared" ref="E332:AG332" si="65">SUM(E126,E151)-E300</f>
        <v>0</v>
      </c>
      <c r="F332" s="649">
        <f t="shared" si="65"/>
        <v>0</v>
      </c>
      <c r="G332" s="649">
        <f t="shared" si="65"/>
        <v>0</v>
      </c>
      <c r="H332" s="649">
        <f t="shared" si="65"/>
        <v>0</v>
      </c>
      <c r="I332" s="649">
        <f t="shared" si="65"/>
        <v>0</v>
      </c>
      <c r="J332" s="649">
        <f t="shared" si="65"/>
        <v>0</v>
      </c>
      <c r="K332" s="649">
        <f t="shared" si="65"/>
        <v>0</v>
      </c>
      <c r="L332" s="649">
        <f t="shared" si="65"/>
        <v>0</v>
      </c>
      <c r="M332" s="649">
        <f t="shared" si="65"/>
        <v>0</v>
      </c>
      <c r="N332" s="649">
        <f t="shared" si="65"/>
        <v>0</v>
      </c>
      <c r="O332" s="649">
        <f t="shared" si="65"/>
        <v>0</v>
      </c>
      <c r="P332" s="649">
        <f t="shared" si="65"/>
        <v>0</v>
      </c>
      <c r="Q332" s="649">
        <f t="shared" si="65"/>
        <v>0</v>
      </c>
      <c r="R332" s="649">
        <f t="shared" si="65"/>
        <v>0</v>
      </c>
      <c r="S332" s="649">
        <f t="shared" si="65"/>
        <v>0</v>
      </c>
      <c r="T332" s="649">
        <f t="shared" si="65"/>
        <v>0</v>
      </c>
      <c r="U332" s="649">
        <f t="shared" si="65"/>
        <v>0</v>
      </c>
      <c r="V332" s="649">
        <f t="shared" si="65"/>
        <v>0</v>
      </c>
      <c r="W332" s="649">
        <f t="shared" si="65"/>
        <v>0</v>
      </c>
      <c r="X332" s="649">
        <f t="shared" si="65"/>
        <v>0</v>
      </c>
      <c r="Y332" s="649">
        <f t="shared" si="65"/>
        <v>0</v>
      </c>
      <c r="Z332" s="649">
        <f t="shared" si="65"/>
        <v>0</v>
      </c>
      <c r="AA332" s="649">
        <f t="shared" si="65"/>
        <v>0</v>
      </c>
      <c r="AB332" s="649">
        <f t="shared" si="65"/>
        <v>0</v>
      </c>
      <c r="AC332" s="649">
        <f t="shared" si="65"/>
        <v>0</v>
      </c>
      <c r="AD332" s="649">
        <f t="shared" si="65"/>
        <v>0</v>
      </c>
      <c r="AE332" s="649">
        <f t="shared" si="65"/>
        <v>0</v>
      </c>
      <c r="AF332" s="649">
        <f t="shared" si="65"/>
        <v>0</v>
      </c>
      <c r="AG332" s="649">
        <f t="shared" si="65"/>
        <v>0</v>
      </c>
    </row>
    <row r="333" spans="2:33" x14ac:dyDescent="0.2">
      <c r="B333" s="2876" t="s">
        <v>4702</v>
      </c>
      <c r="C333" s="2876"/>
      <c r="E333" s="649">
        <f t="shared" ref="E333:AG333" si="66">SUM(E127,E152)-E301</f>
        <v>0</v>
      </c>
      <c r="F333" s="649">
        <f t="shared" si="66"/>
        <v>0</v>
      </c>
      <c r="G333" s="649">
        <f t="shared" si="66"/>
        <v>0</v>
      </c>
      <c r="H333" s="649">
        <f t="shared" si="66"/>
        <v>0</v>
      </c>
      <c r="I333" s="649">
        <f t="shared" si="66"/>
        <v>0</v>
      </c>
      <c r="J333" s="649">
        <f t="shared" si="66"/>
        <v>0</v>
      </c>
      <c r="K333" s="649">
        <f t="shared" si="66"/>
        <v>0</v>
      </c>
      <c r="L333" s="649">
        <f t="shared" si="66"/>
        <v>0</v>
      </c>
      <c r="M333" s="649">
        <f t="shared" si="66"/>
        <v>0</v>
      </c>
      <c r="N333" s="649">
        <f t="shared" si="66"/>
        <v>0</v>
      </c>
      <c r="O333" s="393">
        <f t="shared" si="66"/>
        <v>0</v>
      </c>
      <c r="P333" s="649">
        <f t="shared" si="66"/>
        <v>0</v>
      </c>
      <c r="Q333" s="649">
        <f t="shared" si="66"/>
        <v>0</v>
      </c>
      <c r="R333" s="649">
        <f t="shared" si="66"/>
        <v>0</v>
      </c>
      <c r="S333" s="649">
        <f t="shared" si="66"/>
        <v>0</v>
      </c>
      <c r="T333" s="649">
        <f t="shared" si="66"/>
        <v>0</v>
      </c>
      <c r="U333" s="649">
        <f t="shared" si="66"/>
        <v>0</v>
      </c>
      <c r="V333" s="649">
        <f t="shared" si="66"/>
        <v>0</v>
      </c>
      <c r="W333" s="649">
        <f t="shared" si="66"/>
        <v>0</v>
      </c>
      <c r="X333" s="649">
        <f t="shared" si="66"/>
        <v>0</v>
      </c>
      <c r="Y333" s="649">
        <f t="shared" si="66"/>
        <v>0</v>
      </c>
      <c r="Z333" s="649">
        <f t="shared" si="66"/>
        <v>0</v>
      </c>
      <c r="AA333" s="649">
        <f t="shared" si="66"/>
        <v>0</v>
      </c>
      <c r="AB333" s="649">
        <f t="shared" si="66"/>
        <v>0</v>
      </c>
      <c r="AC333" s="649">
        <f t="shared" si="66"/>
        <v>0</v>
      </c>
      <c r="AD333" s="649">
        <f t="shared" si="66"/>
        <v>0</v>
      </c>
      <c r="AE333" s="649">
        <f t="shared" si="66"/>
        <v>0</v>
      </c>
      <c r="AF333" s="649">
        <f t="shared" si="66"/>
        <v>0</v>
      </c>
      <c r="AG333" s="649">
        <f t="shared" si="66"/>
        <v>0</v>
      </c>
    </row>
    <row r="334" spans="2:33" x14ac:dyDescent="0.2">
      <c r="B334" s="2876" t="s">
        <v>4351</v>
      </c>
      <c r="C334" s="2876"/>
      <c r="E334" s="649">
        <f t="shared" ref="E334:AG334" si="67">SUM(E128,E153)-E302</f>
        <v>0</v>
      </c>
      <c r="F334" s="649">
        <f t="shared" si="67"/>
        <v>0</v>
      </c>
      <c r="G334" s="649">
        <f t="shared" si="67"/>
        <v>0</v>
      </c>
      <c r="H334" s="649">
        <f t="shared" si="67"/>
        <v>0</v>
      </c>
      <c r="I334" s="649">
        <f t="shared" si="67"/>
        <v>0</v>
      </c>
      <c r="J334" s="649">
        <f t="shared" si="67"/>
        <v>0</v>
      </c>
      <c r="K334" s="649">
        <f t="shared" si="67"/>
        <v>0</v>
      </c>
      <c r="L334" s="649">
        <f t="shared" si="67"/>
        <v>0</v>
      </c>
      <c r="M334" s="649">
        <f t="shared" si="67"/>
        <v>0</v>
      </c>
      <c r="N334" s="649">
        <f t="shared" si="67"/>
        <v>0</v>
      </c>
      <c r="O334" s="649">
        <f t="shared" si="67"/>
        <v>0</v>
      </c>
      <c r="P334" s="649">
        <f t="shared" si="67"/>
        <v>0</v>
      </c>
      <c r="Q334" s="649">
        <f t="shared" si="67"/>
        <v>0</v>
      </c>
      <c r="R334" s="649">
        <f t="shared" si="67"/>
        <v>0</v>
      </c>
      <c r="S334" s="649">
        <f t="shared" si="67"/>
        <v>0</v>
      </c>
      <c r="T334" s="649">
        <f t="shared" si="67"/>
        <v>0</v>
      </c>
      <c r="U334" s="649">
        <f t="shared" si="67"/>
        <v>0</v>
      </c>
      <c r="V334" s="649">
        <f t="shared" si="67"/>
        <v>0</v>
      </c>
      <c r="W334" s="649">
        <f t="shared" si="67"/>
        <v>0</v>
      </c>
      <c r="X334" s="649">
        <f t="shared" si="67"/>
        <v>0</v>
      </c>
      <c r="Y334" s="649">
        <f t="shared" si="67"/>
        <v>0</v>
      </c>
      <c r="Z334" s="649">
        <f t="shared" si="67"/>
        <v>0</v>
      </c>
      <c r="AA334" s="649">
        <f t="shared" si="67"/>
        <v>0</v>
      </c>
      <c r="AB334" s="649">
        <f t="shared" si="67"/>
        <v>0</v>
      </c>
      <c r="AC334" s="649">
        <f t="shared" si="67"/>
        <v>0</v>
      </c>
      <c r="AD334" s="649">
        <f t="shared" si="67"/>
        <v>0</v>
      </c>
      <c r="AE334" s="649">
        <f t="shared" si="67"/>
        <v>0</v>
      </c>
      <c r="AF334" s="649">
        <f t="shared" si="67"/>
        <v>0</v>
      </c>
      <c r="AG334" s="649">
        <f t="shared" si="67"/>
        <v>0</v>
      </c>
    </row>
    <row r="335" spans="2:33" x14ac:dyDescent="0.2">
      <c r="B335" s="2876" t="s">
        <v>4704</v>
      </c>
      <c r="C335" s="2876"/>
      <c r="E335" s="649">
        <f t="shared" ref="E335:AG335" si="68">SUM(E129,E154)-E303</f>
        <v>0</v>
      </c>
      <c r="F335" s="649">
        <f t="shared" si="68"/>
        <v>0</v>
      </c>
      <c r="G335" s="649">
        <f t="shared" si="68"/>
        <v>0</v>
      </c>
      <c r="H335" s="649">
        <f t="shared" si="68"/>
        <v>0</v>
      </c>
      <c r="I335" s="649">
        <f t="shared" si="68"/>
        <v>0</v>
      </c>
      <c r="J335" s="649">
        <f t="shared" si="68"/>
        <v>0</v>
      </c>
      <c r="K335" s="649">
        <f t="shared" si="68"/>
        <v>0</v>
      </c>
      <c r="L335" s="649">
        <f t="shared" si="68"/>
        <v>0</v>
      </c>
      <c r="M335" s="649">
        <f t="shared" si="68"/>
        <v>0</v>
      </c>
      <c r="N335" s="649">
        <f t="shared" si="68"/>
        <v>0</v>
      </c>
      <c r="O335" s="649">
        <f t="shared" si="68"/>
        <v>0</v>
      </c>
      <c r="P335" s="649">
        <f t="shared" si="68"/>
        <v>0</v>
      </c>
      <c r="Q335" s="649">
        <f t="shared" si="68"/>
        <v>0</v>
      </c>
      <c r="R335" s="649">
        <f t="shared" si="68"/>
        <v>0</v>
      </c>
      <c r="S335" s="649">
        <f t="shared" si="68"/>
        <v>0</v>
      </c>
      <c r="T335" s="649">
        <f t="shared" si="68"/>
        <v>0</v>
      </c>
      <c r="U335" s="649">
        <f t="shared" si="68"/>
        <v>0</v>
      </c>
      <c r="V335" s="649">
        <f t="shared" si="68"/>
        <v>0</v>
      </c>
      <c r="W335" s="649">
        <f t="shared" si="68"/>
        <v>0</v>
      </c>
      <c r="X335" s="649">
        <f t="shared" si="68"/>
        <v>0</v>
      </c>
      <c r="Y335" s="649">
        <f t="shared" si="68"/>
        <v>0</v>
      </c>
      <c r="Z335" s="649">
        <f t="shared" si="68"/>
        <v>0</v>
      </c>
      <c r="AA335" s="649">
        <f t="shared" si="68"/>
        <v>0</v>
      </c>
      <c r="AB335" s="649">
        <f t="shared" si="68"/>
        <v>0</v>
      </c>
      <c r="AC335" s="649">
        <f t="shared" si="68"/>
        <v>0</v>
      </c>
      <c r="AD335" s="649">
        <f t="shared" si="68"/>
        <v>0</v>
      </c>
      <c r="AE335" s="649">
        <f t="shared" si="68"/>
        <v>0</v>
      </c>
      <c r="AF335" s="649">
        <f t="shared" si="68"/>
        <v>0</v>
      </c>
      <c r="AG335" s="649">
        <f t="shared" si="68"/>
        <v>0</v>
      </c>
    </row>
    <row r="336" spans="2:33" x14ac:dyDescent="0.2">
      <c r="B336" s="2876" t="s">
        <v>1424</v>
      </c>
      <c r="C336" s="2876"/>
      <c r="E336" s="649">
        <f t="shared" ref="E336:AG336" si="69">SUM(E130,E155)-E304</f>
        <v>0</v>
      </c>
      <c r="F336" s="649">
        <f t="shared" si="69"/>
        <v>0</v>
      </c>
      <c r="G336" s="649">
        <f t="shared" si="69"/>
        <v>0</v>
      </c>
      <c r="H336" s="649">
        <f t="shared" si="69"/>
        <v>0</v>
      </c>
      <c r="I336" s="649">
        <f t="shared" si="69"/>
        <v>0</v>
      </c>
      <c r="J336" s="649">
        <f t="shared" si="69"/>
        <v>0</v>
      </c>
      <c r="K336" s="649">
        <f t="shared" si="69"/>
        <v>0</v>
      </c>
      <c r="L336" s="649">
        <f t="shared" si="69"/>
        <v>0</v>
      </c>
      <c r="M336" s="649">
        <f t="shared" si="69"/>
        <v>0</v>
      </c>
      <c r="N336" s="649">
        <f t="shared" si="69"/>
        <v>0</v>
      </c>
      <c r="O336" s="393">
        <f t="shared" si="69"/>
        <v>0</v>
      </c>
      <c r="P336" s="649">
        <f t="shared" si="69"/>
        <v>0</v>
      </c>
      <c r="Q336" s="649">
        <f t="shared" si="69"/>
        <v>0</v>
      </c>
      <c r="R336" s="649">
        <f t="shared" si="69"/>
        <v>0</v>
      </c>
      <c r="S336" s="649">
        <f t="shared" si="69"/>
        <v>0</v>
      </c>
      <c r="T336" s="649">
        <f t="shared" si="69"/>
        <v>0</v>
      </c>
      <c r="U336" s="649">
        <f t="shared" si="69"/>
        <v>0</v>
      </c>
      <c r="V336" s="649">
        <f t="shared" si="69"/>
        <v>0</v>
      </c>
      <c r="W336" s="649">
        <f t="shared" si="69"/>
        <v>0</v>
      </c>
      <c r="X336" s="649">
        <f t="shared" si="69"/>
        <v>0</v>
      </c>
      <c r="Y336" s="649">
        <f t="shared" si="69"/>
        <v>0</v>
      </c>
      <c r="Z336" s="649">
        <f t="shared" si="69"/>
        <v>0</v>
      </c>
      <c r="AA336" s="649">
        <f t="shared" si="69"/>
        <v>0</v>
      </c>
      <c r="AB336" s="649">
        <f t="shared" si="69"/>
        <v>0</v>
      </c>
      <c r="AC336" s="649">
        <f t="shared" si="69"/>
        <v>0</v>
      </c>
      <c r="AD336" s="649">
        <f t="shared" si="69"/>
        <v>0</v>
      </c>
      <c r="AE336" s="649">
        <f t="shared" si="69"/>
        <v>0</v>
      </c>
      <c r="AF336" s="649">
        <f t="shared" si="69"/>
        <v>0</v>
      </c>
      <c r="AG336" s="649">
        <f t="shared" si="69"/>
        <v>0</v>
      </c>
    </row>
    <row r="337" spans="1:33" x14ac:dyDescent="0.2">
      <c r="B337" s="2876" t="s">
        <v>1549</v>
      </c>
      <c r="C337" s="2876"/>
      <c r="E337" s="649">
        <f t="shared" ref="E337:AG337" si="70">SUM(E131,E156)-E305</f>
        <v>0</v>
      </c>
      <c r="F337" s="649">
        <f t="shared" si="70"/>
        <v>0</v>
      </c>
      <c r="G337" s="649">
        <f t="shared" si="70"/>
        <v>0</v>
      </c>
      <c r="H337" s="649">
        <f t="shared" si="70"/>
        <v>0</v>
      </c>
      <c r="I337" s="649">
        <f t="shared" si="70"/>
        <v>0</v>
      </c>
      <c r="J337" s="649">
        <f t="shared" si="70"/>
        <v>0</v>
      </c>
      <c r="K337" s="649">
        <f t="shared" si="70"/>
        <v>0</v>
      </c>
      <c r="L337" s="649">
        <f t="shared" si="70"/>
        <v>0</v>
      </c>
      <c r="M337" s="649">
        <f t="shared" si="70"/>
        <v>0</v>
      </c>
      <c r="N337" s="649">
        <f t="shared" si="70"/>
        <v>0</v>
      </c>
      <c r="O337" s="393">
        <f t="shared" si="70"/>
        <v>0</v>
      </c>
      <c r="P337" s="649">
        <f t="shared" si="70"/>
        <v>0</v>
      </c>
      <c r="Q337" s="649">
        <f t="shared" si="70"/>
        <v>0</v>
      </c>
      <c r="R337" s="649">
        <f t="shared" si="70"/>
        <v>0</v>
      </c>
      <c r="S337" s="649">
        <f t="shared" si="70"/>
        <v>0</v>
      </c>
      <c r="T337" s="649">
        <f t="shared" si="70"/>
        <v>0</v>
      </c>
      <c r="U337" s="649">
        <f t="shared" si="70"/>
        <v>0</v>
      </c>
      <c r="V337" s="649">
        <f t="shared" si="70"/>
        <v>0</v>
      </c>
      <c r="W337" s="649">
        <f t="shared" si="70"/>
        <v>0</v>
      </c>
      <c r="X337" s="649">
        <f t="shared" si="70"/>
        <v>0</v>
      </c>
      <c r="Y337" s="649">
        <f t="shared" si="70"/>
        <v>0</v>
      </c>
      <c r="Z337" s="649">
        <f t="shared" si="70"/>
        <v>0</v>
      </c>
      <c r="AA337" s="649">
        <f t="shared" si="70"/>
        <v>0</v>
      </c>
      <c r="AB337" s="649">
        <f t="shared" si="70"/>
        <v>0</v>
      </c>
      <c r="AC337" s="649">
        <f t="shared" si="70"/>
        <v>0</v>
      </c>
      <c r="AD337" s="649">
        <f t="shared" si="70"/>
        <v>0</v>
      </c>
      <c r="AE337" s="649">
        <f t="shared" si="70"/>
        <v>0</v>
      </c>
      <c r="AF337" s="649">
        <f t="shared" si="70"/>
        <v>0</v>
      </c>
      <c r="AG337" s="649">
        <f t="shared" si="70"/>
        <v>0</v>
      </c>
    </row>
    <row r="338" spans="1:33" x14ac:dyDescent="0.2">
      <c r="E338" s="649"/>
    </row>
    <row r="339" spans="1:33" ht="13.5" thickBot="1" x14ac:dyDescent="0.25">
      <c r="E339" s="649"/>
    </row>
    <row r="340" spans="1:33" ht="46.5" customHeight="1" x14ac:dyDescent="0.2">
      <c r="A340" s="3029" t="s">
        <v>5662</v>
      </c>
      <c r="B340" s="3030"/>
      <c r="C340" s="3031"/>
      <c r="E340" s="649"/>
    </row>
    <row r="341" spans="1:33" ht="25.35" customHeight="1" thickBot="1" x14ac:dyDescent="0.25">
      <c r="A341" s="3032"/>
      <c r="B341" s="3033"/>
      <c r="C341" s="3034"/>
    </row>
  </sheetData>
  <sheetProtection algorithmName="SHA-512" hashValue="LVquAcRAbgfLvzQwD+Eii4l1aY7+Tv7xUE++74LQnkWiolifr3WFhgn2QgMwDnEIsA2mfXdHii8g6YshGWqjSQ==" saltValue="F+Lz+5d7j0B3dMzkbuSqiw==" spinCount="100000" sheet="1" objects="1" scenarios="1" autoFilter="0"/>
  <customSheetViews>
    <customSheetView guid="{B08879A4-635B-4C39-9937-AC7883D562FC}" topLeftCell="A223">
      <pageMargins left="0.7" right="0.7" top="0.75" bottom="0.75" header="0.3" footer="0.3"/>
    </customSheetView>
    <customSheetView guid="{9FCFC836-1CA5-48BF-958D-24D2EA94B219}" topLeftCell="A223">
      <pageMargins left="0.7" right="0.7" top="0.75" bottom="0.75" header="0.3" footer="0.3"/>
    </customSheetView>
  </customSheetViews>
  <mergeCells count="243">
    <mergeCell ref="B240:C240"/>
    <mergeCell ref="B241:C241"/>
    <mergeCell ref="B242:C242"/>
    <mergeCell ref="B243:C243"/>
    <mergeCell ref="B235:C235"/>
    <mergeCell ref="B236:C236"/>
    <mergeCell ref="B237:C237"/>
    <mergeCell ref="B239:C239"/>
    <mergeCell ref="B272:C272"/>
    <mergeCell ref="B250:C250"/>
    <mergeCell ref="B251:C251"/>
    <mergeCell ref="B252:C252"/>
    <mergeCell ref="B253:C253"/>
    <mergeCell ref="B244:C244"/>
    <mergeCell ref="B245:C245"/>
    <mergeCell ref="B246:C246"/>
    <mergeCell ref="B247:C247"/>
    <mergeCell ref="B248:C248"/>
    <mergeCell ref="B249:C249"/>
    <mergeCell ref="B238:C238"/>
    <mergeCell ref="B267:C267"/>
    <mergeCell ref="B268:C268"/>
    <mergeCell ref="B269:C269"/>
    <mergeCell ref="B270:C270"/>
    <mergeCell ref="B331:C331"/>
    <mergeCell ref="B333:C333"/>
    <mergeCell ref="B336:C336"/>
    <mergeCell ref="B337:C337"/>
    <mergeCell ref="B324:C324"/>
    <mergeCell ref="B325:C325"/>
    <mergeCell ref="B326:C326"/>
    <mergeCell ref="B327:C327"/>
    <mergeCell ref="B330:C330"/>
    <mergeCell ref="B328:C328"/>
    <mergeCell ref="B329:C329"/>
    <mergeCell ref="B334:C334"/>
    <mergeCell ref="B335:C335"/>
    <mergeCell ref="B332:C332"/>
    <mergeCell ref="B1:H1"/>
    <mergeCell ref="B2:H2"/>
    <mergeCell ref="B3:H3"/>
    <mergeCell ref="B4:H4"/>
    <mergeCell ref="G6:H6"/>
    <mergeCell ref="C6:E6"/>
    <mergeCell ref="F5:H5"/>
    <mergeCell ref="B228:C228"/>
    <mergeCell ref="B230:C230"/>
    <mergeCell ref="B212:C212"/>
    <mergeCell ref="B213:C213"/>
    <mergeCell ref="B215:C215"/>
    <mergeCell ref="B216:C216"/>
    <mergeCell ref="B199:C199"/>
    <mergeCell ref="B200:C200"/>
    <mergeCell ref="B201:C201"/>
    <mergeCell ref="B202:C202"/>
    <mergeCell ref="B203:C203"/>
    <mergeCell ref="B206:C206"/>
    <mergeCell ref="B193:C193"/>
    <mergeCell ref="B194:C194"/>
    <mergeCell ref="B195:C195"/>
    <mergeCell ref="B196:C196"/>
    <mergeCell ref="B197:C197"/>
    <mergeCell ref="B217:C217"/>
    <mergeCell ref="B207:C207"/>
    <mergeCell ref="B208:C208"/>
    <mergeCell ref="B209:C209"/>
    <mergeCell ref="B210:C210"/>
    <mergeCell ref="B211:C211"/>
    <mergeCell ref="B231:C231"/>
    <mergeCell ref="B232:C232"/>
    <mergeCell ref="B234:C234"/>
    <mergeCell ref="B218:C218"/>
    <mergeCell ref="B219:C219"/>
    <mergeCell ref="B222:C222"/>
    <mergeCell ref="B223:C223"/>
    <mergeCell ref="B224:C224"/>
    <mergeCell ref="B226:C226"/>
    <mergeCell ref="B233:C233"/>
    <mergeCell ref="B225:C225"/>
    <mergeCell ref="B227:C227"/>
    <mergeCell ref="B229:C229"/>
    <mergeCell ref="B198:C198"/>
    <mergeCell ref="B181:C181"/>
    <mergeCell ref="B182:C182"/>
    <mergeCell ref="B183:C183"/>
    <mergeCell ref="B185:C185"/>
    <mergeCell ref="B186:C186"/>
    <mergeCell ref="B192:C192"/>
    <mergeCell ref="B175:C175"/>
    <mergeCell ref="B177:C177"/>
    <mergeCell ref="B178:C178"/>
    <mergeCell ref="B179:C179"/>
    <mergeCell ref="B184:C184"/>
    <mergeCell ref="B149:C149"/>
    <mergeCell ref="B150:C150"/>
    <mergeCell ref="B154:C154"/>
    <mergeCell ref="B162:C162"/>
    <mergeCell ref="B144:C144"/>
    <mergeCell ref="B151:C151"/>
    <mergeCell ref="B163:C163"/>
    <mergeCell ref="B172:C172"/>
    <mergeCell ref="B164:C164"/>
    <mergeCell ref="B165:C165"/>
    <mergeCell ref="B171:C171"/>
    <mergeCell ref="B167:C167"/>
    <mergeCell ref="B169:C169"/>
    <mergeCell ref="B152:C152"/>
    <mergeCell ref="B155:C155"/>
    <mergeCell ref="B156:C156"/>
    <mergeCell ref="B157:C157"/>
    <mergeCell ref="B159:C159"/>
    <mergeCell ref="B170:C170"/>
    <mergeCell ref="B138:C138"/>
    <mergeCell ref="B139:C139"/>
    <mergeCell ref="B140:C140"/>
    <mergeCell ref="B141:C141"/>
    <mergeCell ref="B142:C142"/>
    <mergeCell ref="B143:C143"/>
    <mergeCell ref="B148:C148"/>
    <mergeCell ref="B130:C130"/>
    <mergeCell ref="B131:C131"/>
    <mergeCell ref="B145:C145"/>
    <mergeCell ref="B146:C146"/>
    <mergeCell ref="B147:C147"/>
    <mergeCell ref="B137:C137"/>
    <mergeCell ref="B132:C132"/>
    <mergeCell ref="B136:C136"/>
    <mergeCell ref="B129:C129"/>
    <mergeCell ref="B126:C126"/>
    <mergeCell ref="B120:C120"/>
    <mergeCell ref="B121:C121"/>
    <mergeCell ref="B122:C122"/>
    <mergeCell ref="B124:C124"/>
    <mergeCell ref="B125:C125"/>
    <mergeCell ref="B127:C127"/>
    <mergeCell ref="B86:C86"/>
    <mergeCell ref="B88:C88"/>
    <mergeCell ref="B93:C93"/>
    <mergeCell ref="B94:C94"/>
    <mergeCell ref="B90:C90"/>
    <mergeCell ref="B91:C91"/>
    <mergeCell ref="B123:C123"/>
    <mergeCell ref="B114:C114"/>
    <mergeCell ref="B115:C115"/>
    <mergeCell ref="B116:C116"/>
    <mergeCell ref="B117:C117"/>
    <mergeCell ref="B118:C118"/>
    <mergeCell ref="B119:C119"/>
    <mergeCell ref="B106:C106"/>
    <mergeCell ref="B109:C109"/>
    <mergeCell ref="B110:C110"/>
    <mergeCell ref="B111:C111"/>
    <mergeCell ref="B112:C112"/>
    <mergeCell ref="B113:C113"/>
    <mergeCell ref="B107:C107"/>
    <mergeCell ref="B108:C108"/>
    <mergeCell ref="B52:C52"/>
    <mergeCell ref="B53:C53"/>
    <mergeCell ref="B54:C54"/>
    <mergeCell ref="B58:C58"/>
    <mergeCell ref="B59:C59"/>
    <mergeCell ref="B105:C105"/>
    <mergeCell ref="B64:C64"/>
    <mergeCell ref="B66:C66"/>
    <mergeCell ref="B67:C67"/>
    <mergeCell ref="B69:C69"/>
    <mergeCell ref="B65:C65"/>
    <mergeCell ref="B70:C70"/>
    <mergeCell ref="B81:C81"/>
    <mergeCell ref="B82:C82"/>
    <mergeCell ref="B84:C84"/>
    <mergeCell ref="B71:C71"/>
    <mergeCell ref="B72:C72"/>
    <mergeCell ref="B77:C77"/>
    <mergeCell ref="B78:C78"/>
    <mergeCell ref="B79:C79"/>
    <mergeCell ref="B80:C80"/>
    <mergeCell ref="B99:C99"/>
    <mergeCell ref="B100:C100"/>
    <mergeCell ref="B87:C87"/>
    <mergeCell ref="B24:C24"/>
    <mergeCell ref="B25:C25"/>
    <mergeCell ref="B26:C26"/>
    <mergeCell ref="B27:C27"/>
    <mergeCell ref="B28:C28"/>
    <mergeCell ref="B29:C29"/>
    <mergeCell ref="B49:C49"/>
    <mergeCell ref="B50:C50"/>
    <mergeCell ref="B51:C51"/>
    <mergeCell ref="B30:C30"/>
    <mergeCell ref="B48:C48"/>
    <mergeCell ref="B73:C73"/>
    <mergeCell ref="B74:C74"/>
    <mergeCell ref="B75:C75"/>
    <mergeCell ref="B76:C76"/>
    <mergeCell ref="B20:C20"/>
    <mergeCell ref="B21:C21"/>
    <mergeCell ref="B22:C22"/>
    <mergeCell ref="B103:C103"/>
    <mergeCell ref="B41:C41"/>
    <mergeCell ref="B43:C43"/>
    <mergeCell ref="B44:C44"/>
    <mergeCell ref="B45:C45"/>
    <mergeCell ref="B46:C46"/>
    <mergeCell ref="B47:C47"/>
    <mergeCell ref="B31:C31"/>
    <mergeCell ref="B32:C32"/>
    <mergeCell ref="B33:C33"/>
    <mergeCell ref="B34:C34"/>
    <mergeCell ref="B37:C37"/>
    <mergeCell ref="B40:C40"/>
    <mergeCell ref="B35:C35"/>
    <mergeCell ref="B36:C36"/>
    <mergeCell ref="B55:C55"/>
    <mergeCell ref="B56:C56"/>
    <mergeCell ref="B57:C57"/>
    <mergeCell ref="B61:C61"/>
    <mergeCell ref="B62:C62"/>
    <mergeCell ref="B63:C63"/>
    <mergeCell ref="B23:C23"/>
    <mergeCell ref="A340:C341"/>
    <mergeCell ref="B13:C13"/>
    <mergeCell ref="B14:C14"/>
    <mergeCell ref="B15:C15"/>
    <mergeCell ref="B16:C16"/>
    <mergeCell ref="B17:C17"/>
    <mergeCell ref="B19:C19"/>
    <mergeCell ref="B275:C275"/>
    <mergeCell ref="B271:C271"/>
    <mergeCell ref="B263:C263"/>
    <mergeCell ref="B264:C264"/>
    <mergeCell ref="B265:C265"/>
    <mergeCell ref="B266:C266"/>
    <mergeCell ref="B273:C273"/>
    <mergeCell ref="B274:C274"/>
    <mergeCell ref="B89:C89"/>
    <mergeCell ref="B92:C92"/>
    <mergeCell ref="B128:C128"/>
    <mergeCell ref="B153:C153"/>
    <mergeCell ref="B166:C166"/>
    <mergeCell ref="B168:C168"/>
    <mergeCell ref="B101:C101"/>
    <mergeCell ref="B102:C102"/>
  </mergeCells>
  <hyperlinks>
    <hyperlink ref="B1:H1" location="Index!A1" display="Index!A1" xr:uid="{00000000-0004-0000-5A00-000000000000}"/>
  </hyperlinks>
  <printOptions gridLines="1"/>
  <pageMargins left="0.25" right="0.25" top="0.25" bottom="0.2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105</vt:i4>
      </vt:variant>
      <vt:variant>
        <vt:lpstr>Named Ranges</vt:lpstr>
      </vt:variant>
      <vt:variant>
        <vt:i4>239</vt:i4>
      </vt:variant>
    </vt:vector>
  </HeadingPairs>
  <TitlesOfParts>
    <vt:vector size="344" baseType="lpstr">
      <vt:lpstr>Instruct</vt:lpstr>
      <vt:lpstr>Pkg Updates</vt:lpstr>
      <vt:lpstr>Index</vt:lpstr>
      <vt:lpstr>Dashboard</vt:lpstr>
      <vt:lpstr>101</vt:lpstr>
      <vt:lpstr>105</vt:lpstr>
      <vt:lpstr>110</vt:lpstr>
      <vt:lpstr>120</vt:lpstr>
      <vt:lpstr>201</vt:lpstr>
      <vt:lpstr>202</vt:lpstr>
      <vt:lpstr>203</vt:lpstr>
      <vt:lpstr>210</vt:lpstr>
      <vt:lpstr>215</vt:lpstr>
      <vt:lpstr>220</vt:lpstr>
      <vt:lpstr>301</vt:lpstr>
      <vt:lpstr>305</vt:lpstr>
      <vt:lpstr>310</vt:lpstr>
      <vt:lpstr>315</vt:lpstr>
      <vt:lpstr>320</vt:lpstr>
      <vt:lpstr>322</vt:lpstr>
      <vt:lpstr>323</vt:lpstr>
      <vt:lpstr>325</vt:lpstr>
      <vt:lpstr>330</vt:lpstr>
      <vt:lpstr>338</vt:lpstr>
      <vt:lpstr>340</vt:lpstr>
      <vt:lpstr>341</vt:lpstr>
      <vt:lpstr>342</vt:lpstr>
      <vt:lpstr>345</vt:lpstr>
      <vt:lpstr>350</vt:lpstr>
      <vt:lpstr>355</vt:lpstr>
      <vt:lpstr>365</vt:lpstr>
      <vt:lpstr>370</vt:lpstr>
      <vt:lpstr>375-A</vt:lpstr>
      <vt:lpstr>375-B</vt:lpstr>
      <vt:lpstr>401</vt:lpstr>
      <vt:lpstr>405</vt:lpstr>
      <vt:lpstr>410</vt:lpstr>
      <vt:lpstr>415</vt:lpstr>
      <vt:lpstr>420</vt:lpstr>
      <vt:lpstr>425</vt:lpstr>
      <vt:lpstr>430G</vt:lpstr>
      <vt:lpstr>430BTA</vt:lpstr>
      <vt:lpstr>430F</vt:lpstr>
      <vt:lpstr>431G</vt:lpstr>
      <vt:lpstr>431BTA</vt:lpstr>
      <vt:lpstr>501</vt:lpstr>
      <vt:lpstr>505</vt:lpstr>
      <vt:lpstr>510</vt:lpstr>
      <vt:lpstr>515</vt:lpstr>
      <vt:lpstr>520</vt:lpstr>
      <vt:lpstr>525</vt:lpstr>
      <vt:lpstr>530</vt:lpstr>
      <vt:lpstr>535</vt:lpstr>
      <vt:lpstr>540</vt:lpstr>
      <vt:lpstr>545</vt:lpstr>
      <vt:lpstr>550</vt:lpstr>
      <vt:lpstr>555</vt:lpstr>
      <vt:lpstr>560</vt:lpstr>
      <vt:lpstr>565</vt:lpstr>
      <vt:lpstr>570</vt:lpstr>
      <vt:lpstr>602</vt:lpstr>
      <vt:lpstr>605</vt:lpstr>
      <vt:lpstr>610</vt:lpstr>
      <vt:lpstr>615</vt:lpstr>
      <vt:lpstr>616</vt:lpstr>
      <vt:lpstr>620</vt:lpstr>
      <vt:lpstr>625</vt:lpstr>
      <vt:lpstr>635</vt:lpstr>
      <vt:lpstr>640</vt:lpstr>
      <vt:lpstr>705</vt:lpstr>
      <vt:lpstr>710</vt:lpstr>
      <vt:lpstr>715</vt:lpstr>
      <vt:lpstr>720</vt:lpstr>
      <vt:lpstr>725</vt:lpstr>
      <vt:lpstr>730</vt:lpstr>
      <vt:lpstr>735</vt:lpstr>
      <vt:lpstr>740</vt:lpstr>
      <vt:lpstr>745</vt:lpstr>
      <vt:lpstr>755</vt:lpstr>
      <vt:lpstr>756</vt:lpstr>
      <vt:lpstr>760</vt:lpstr>
      <vt:lpstr>765</vt:lpstr>
      <vt:lpstr>905</vt:lpstr>
      <vt:lpstr>For 905-NCAS Acct Roll-up</vt:lpstr>
      <vt:lpstr>905Hosp</vt:lpstr>
      <vt:lpstr>906-6B</vt:lpstr>
      <vt:lpstr>906-6C</vt:lpstr>
      <vt:lpstr>906-6BC</vt:lpstr>
      <vt:lpstr>907</vt:lpstr>
      <vt:lpstr>910</vt:lpstr>
      <vt:lpstr>910Hosp</vt:lpstr>
      <vt:lpstr>911-6B</vt:lpstr>
      <vt:lpstr>911-6C</vt:lpstr>
      <vt:lpstr>Explanations</vt:lpstr>
      <vt:lpstr>Comments</vt:lpstr>
      <vt:lpstr>Agencies</vt:lpstr>
      <vt:lpstr>Functional</vt:lpstr>
      <vt:lpstr>NetPosition</vt:lpstr>
      <vt:lpstr>PriorYr905</vt:lpstr>
      <vt:lpstr>PriorYr906</vt:lpstr>
      <vt:lpstr>All Agencies</vt:lpstr>
      <vt:lpstr>OSC Analysts</vt:lpstr>
      <vt:lpstr>Data</vt:lpstr>
      <vt:lpstr>Errors</vt:lpstr>
      <vt:lpstr>Notes</vt:lpstr>
      <vt:lpstr>__Agy301</vt:lpstr>
      <vt:lpstr>__AGY305</vt:lpstr>
      <vt:lpstr>__AGY310</vt:lpstr>
      <vt:lpstr>__Agy501</vt:lpstr>
      <vt:lpstr>__Agy510</vt:lpstr>
      <vt:lpstr>__Agy515</vt:lpstr>
      <vt:lpstr>__Agy520</vt:lpstr>
      <vt:lpstr>__Agy525</vt:lpstr>
      <vt:lpstr>__Agy530</vt:lpstr>
      <vt:lpstr>__FMD320</vt:lpstr>
      <vt:lpstr>__OID320</vt:lpstr>
      <vt:lpstr>__TO320</vt:lpstr>
      <vt:lpstr>_AGY201</vt:lpstr>
      <vt:lpstr>_AGY210</vt:lpstr>
      <vt:lpstr>_Agy301</vt:lpstr>
      <vt:lpstr>_AGY305</vt:lpstr>
      <vt:lpstr>_AGY310</vt:lpstr>
      <vt:lpstr>'315'!_AGY315</vt:lpstr>
      <vt:lpstr>_AGY320</vt:lpstr>
      <vt:lpstr>_AGY325</vt:lpstr>
      <vt:lpstr>_Agy501</vt:lpstr>
      <vt:lpstr>_Agy510</vt:lpstr>
      <vt:lpstr>_Agy515</vt:lpstr>
      <vt:lpstr>_Agy520</vt:lpstr>
      <vt:lpstr>_Agy525</vt:lpstr>
      <vt:lpstr>_Agy530</vt:lpstr>
      <vt:lpstr>_Agy535</vt:lpstr>
      <vt:lpstr>_Agy710</vt:lpstr>
      <vt:lpstr>_Agy720</vt:lpstr>
      <vt:lpstr>_COL201</vt:lpstr>
      <vt:lpstr>_COL210</vt:lpstr>
      <vt:lpstr>_COL305</vt:lpstr>
      <vt:lpstr>_COL310</vt:lpstr>
      <vt:lpstr>'315'!_COL315</vt:lpstr>
      <vt:lpstr>_COL320</vt:lpstr>
      <vt:lpstr>_COL325</vt:lpstr>
      <vt:lpstr>_Col705</vt:lpstr>
      <vt:lpstr>_Col710</vt:lpstr>
      <vt:lpstr>_Col715</vt:lpstr>
      <vt:lpstr>_Col720</vt:lpstr>
      <vt:lpstr>_Col725</vt:lpstr>
      <vt:lpstr>_Col735</vt:lpstr>
      <vt:lpstr>_Col740</vt:lpstr>
      <vt:lpstr>_Col745</vt:lpstr>
      <vt:lpstr>_Col755</vt:lpstr>
      <vt:lpstr>_Data725</vt:lpstr>
      <vt:lpstr>'315'!_FMD315</vt:lpstr>
      <vt:lpstr>_FMD320</vt:lpstr>
      <vt:lpstr>'315'!_OID315</vt:lpstr>
      <vt:lpstr>_OID320</vt:lpstr>
      <vt:lpstr>_ROW201</vt:lpstr>
      <vt:lpstr>_ROW210</vt:lpstr>
      <vt:lpstr>_ROW305</vt:lpstr>
      <vt:lpstr>_ROW310</vt:lpstr>
      <vt:lpstr>'315'!_ROW315</vt:lpstr>
      <vt:lpstr>_ROW320</vt:lpstr>
      <vt:lpstr>_ROW325</vt:lpstr>
      <vt:lpstr>_Row705</vt:lpstr>
      <vt:lpstr>_Row710</vt:lpstr>
      <vt:lpstr>_Row715</vt:lpstr>
      <vt:lpstr>_Row720</vt:lpstr>
      <vt:lpstr>_Row725</vt:lpstr>
      <vt:lpstr>_Row735</vt:lpstr>
      <vt:lpstr>_Row740</vt:lpstr>
      <vt:lpstr>_Row745</vt:lpstr>
      <vt:lpstr>_Row755</vt:lpstr>
      <vt:lpstr>'315'!_TO315</vt:lpstr>
      <vt:lpstr>_TO320</vt:lpstr>
      <vt:lpstr>a905a</vt:lpstr>
      <vt:lpstr>a905b</vt:lpstr>
      <vt:lpstr>a905c</vt:lpstr>
      <vt:lpstr>a905Data</vt:lpstr>
      <vt:lpstr>'905Hosp'!a905Ha</vt:lpstr>
      <vt:lpstr>'905Hosp'!a905Hb</vt:lpstr>
      <vt:lpstr>'905Hosp'!a905Hc</vt:lpstr>
      <vt:lpstr>a905HData</vt:lpstr>
      <vt:lpstr>AgyIdx</vt:lpstr>
      <vt:lpstr>AgyName</vt:lpstr>
      <vt:lpstr>AgyNum</vt:lpstr>
      <vt:lpstr>NetPosition!BeginningNetAssets</vt:lpstr>
      <vt:lpstr>compgasb</vt:lpstr>
      <vt:lpstr>compname</vt:lpstr>
      <vt:lpstr>compnum</vt:lpstr>
      <vt:lpstr>compnumtxt</vt:lpstr>
      <vt:lpstr>comptable</vt:lpstr>
      <vt:lpstr>ConcNum</vt:lpstr>
      <vt:lpstr>CurrentAssets</vt:lpstr>
      <vt:lpstr>CurrentLiabilities</vt:lpstr>
      <vt:lpstr>'201'!DATA201</vt:lpstr>
      <vt:lpstr>'210'!DATA210</vt:lpstr>
      <vt:lpstr>DATA305</vt:lpstr>
      <vt:lpstr>DATA310</vt:lpstr>
      <vt:lpstr>'315'!DATA315</vt:lpstr>
      <vt:lpstr>DATA320</vt:lpstr>
      <vt:lpstr>DATA325</vt:lpstr>
      <vt:lpstr>Data705</vt:lpstr>
      <vt:lpstr>Data710</vt:lpstr>
      <vt:lpstr>Data715</vt:lpstr>
      <vt:lpstr>Data720</vt:lpstr>
      <vt:lpstr>Data735</vt:lpstr>
      <vt:lpstr>Data740</vt:lpstr>
      <vt:lpstr>Data745</vt:lpstr>
      <vt:lpstr>Data755</vt:lpstr>
      <vt:lpstr>Deferredinflows</vt:lpstr>
      <vt:lpstr>DeferredOutflows</vt:lpstr>
      <vt:lpstr>Derivative</vt:lpstr>
      <vt:lpstr>ErrorCode</vt:lpstr>
      <vt:lpstr>ErrorKey</vt:lpstr>
      <vt:lpstr>ErrorTable</vt:lpstr>
      <vt:lpstr>FCCSent</vt:lpstr>
      <vt:lpstr>FCCSnum</vt:lpstr>
      <vt:lpstr>'315'!FROM315</vt:lpstr>
      <vt:lpstr>FROM320</vt:lpstr>
      <vt:lpstr>function</vt:lpstr>
      <vt:lpstr>functionA</vt:lpstr>
      <vt:lpstr>functionC</vt:lpstr>
      <vt:lpstr>Gasb510</vt:lpstr>
      <vt:lpstr>Gasb515</vt:lpstr>
      <vt:lpstr>Gasb520</vt:lpstr>
      <vt:lpstr>Gasb525</vt:lpstr>
      <vt:lpstr>Gasb530</vt:lpstr>
      <vt:lpstr>Gasb535</vt:lpstr>
      <vt:lpstr>hk</vt:lpstr>
      <vt:lpstr>IdxNa</vt:lpstr>
      <vt:lpstr>IdxSheetNum</vt:lpstr>
      <vt:lpstr>IdxTable</vt:lpstr>
      <vt:lpstr>LeaseCol301</vt:lpstr>
      <vt:lpstr>LeaseDat301</vt:lpstr>
      <vt:lpstr>LeaseRow301</vt:lpstr>
      <vt:lpstr>List505thru520</vt:lpstr>
      <vt:lpstr>Listfor525and530</vt:lpstr>
      <vt:lpstr>Listfor535</vt:lpstr>
      <vt:lpstr>NetAssetsData</vt:lpstr>
      <vt:lpstr>NetAssetsDataRow</vt:lpstr>
      <vt:lpstr>NoncurrentAssets</vt:lpstr>
      <vt:lpstr>NoncurrentLiabilities</vt:lpstr>
      <vt:lpstr>NetPosition!OfflineNetAssetsRow</vt:lpstr>
      <vt:lpstr>Pledged_Revenue</vt:lpstr>
      <vt:lpstr>'101'!Print_Area</vt:lpstr>
      <vt:lpstr>'105'!Print_Area</vt:lpstr>
      <vt:lpstr>'110'!Print_Area</vt:lpstr>
      <vt:lpstr>'120'!Print_Area</vt:lpstr>
      <vt:lpstr>'201'!Print_Area</vt:lpstr>
      <vt:lpstr>'202'!Print_Area</vt:lpstr>
      <vt:lpstr>'203'!Print_Area</vt:lpstr>
      <vt:lpstr>'210'!Print_Area</vt:lpstr>
      <vt:lpstr>'215'!Print_Area</vt:lpstr>
      <vt:lpstr>'301'!Print_Area</vt:lpstr>
      <vt:lpstr>'305'!Print_Area</vt:lpstr>
      <vt:lpstr>'310'!Print_Area</vt:lpstr>
      <vt:lpstr>'315'!Print_Area</vt:lpstr>
      <vt:lpstr>'320'!Print_Area</vt:lpstr>
      <vt:lpstr>'322'!Print_Area</vt:lpstr>
      <vt:lpstr>'323'!Print_Area</vt:lpstr>
      <vt:lpstr>'325'!Print_Area</vt:lpstr>
      <vt:lpstr>'330'!Print_Area</vt:lpstr>
      <vt:lpstr>'340'!Print_Area</vt:lpstr>
      <vt:lpstr>'341'!Print_Area</vt:lpstr>
      <vt:lpstr>'342'!Print_Area</vt:lpstr>
      <vt:lpstr>'345'!Print_Area</vt:lpstr>
      <vt:lpstr>'350'!Print_Area</vt:lpstr>
      <vt:lpstr>'355'!Print_Area</vt:lpstr>
      <vt:lpstr>'365'!Print_Area</vt:lpstr>
      <vt:lpstr>'375-B'!Print_Area</vt:lpstr>
      <vt:lpstr>'401'!Print_Area</vt:lpstr>
      <vt:lpstr>'405'!Print_Area</vt:lpstr>
      <vt:lpstr>'410'!Print_Area</vt:lpstr>
      <vt:lpstr>'415'!Print_Area</vt:lpstr>
      <vt:lpstr>'420'!Print_Area</vt:lpstr>
      <vt:lpstr>'425'!Print_Area</vt:lpstr>
      <vt:lpstr>'430BTA'!Print_Area</vt:lpstr>
      <vt:lpstr>'430F'!Print_Area</vt:lpstr>
      <vt:lpstr>'430G'!Print_Area</vt:lpstr>
      <vt:lpstr>'501'!Print_Area</vt:lpstr>
      <vt:lpstr>'505'!Print_Area</vt:lpstr>
      <vt:lpstr>'510'!Print_Area</vt:lpstr>
      <vt:lpstr>'515'!Print_Area</vt:lpstr>
      <vt:lpstr>'520'!Print_Area</vt:lpstr>
      <vt:lpstr>'525'!Print_Area</vt:lpstr>
      <vt:lpstr>'530'!Print_Area</vt:lpstr>
      <vt:lpstr>'535'!Print_Area</vt:lpstr>
      <vt:lpstr>'540'!Print_Area</vt:lpstr>
      <vt:lpstr>'545'!Print_Area</vt:lpstr>
      <vt:lpstr>'550'!Print_Area</vt:lpstr>
      <vt:lpstr>'555'!Print_Area</vt:lpstr>
      <vt:lpstr>'560'!Print_Area</vt:lpstr>
      <vt:lpstr>'565'!Print_Area</vt:lpstr>
      <vt:lpstr>'570'!Print_Area</vt:lpstr>
      <vt:lpstr>'602'!Print_Area</vt:lpstr>
      <vt:lpstr>'605'!Print_Area</vt:lpstr>
      <vt:lpstr>'615'!Print_Area</vt:lpstr>
      <vt:lpstr>'616'!Print_Area</vt:lpstr>
      <vt:lpstr>'625'!Print_Area</vt:lpstr>
      <vt:lpstr>'635'!Print_Area</vt:lpstr>
      <vt:lpstr>'705'!Print_Area</vt:lpstr>
      <vt:lpstr>'710'!Print_Area</vt:lpstr>
      <vt:lpstr>'715'!Print_Area</vt:lpstr>
      <vt:lpstr>'720'!Print_Area</vt:lpstr>
      <vt:lpstr>'725'!Print_Area</vt:lpstr>
      <vt:lpstr>'755'!Print_Area</vt:lpstr>
      <vt:lpstr>'756'!Print_Area</vt:lpstr>
      <vt:lpstr>'760'!Print_Area</vt:lpstr>
      <vt:lpstr>'765'!Print_Area</vt:lpstr>
      <vt:lpstr>'905'!Print_Area</vt:lpstr>
      <vt:lpstr>'905Hosp'!Print_Area</vt:lpstr>
      <vt:lpstr>'906-6B'!Print_Area</vt:lpstr>
      <vt:lpstr>'906-6BC'!Print_Area</vt:lpstr>
      <vt:lpstr>'906-6C'!Print_Area</vt:lpstr>
      <vt:lpstr>'907'!Print_Area</vt:lpstr>
      <vt:lpstr>'910'!Print_Area</vt:lpstr>
      <vt:lpstr>'910Hosp'!Print_Area</vt:lpstr>
      <vt:lpstr>'911-6B'!Print_Area</vt:lpstr>
      <vt:lpstr>'911-6C'!Print_Area</vt:lpstr>
      <vt:lpstr>Dashboard!Print_Area</vt:lpstr>
      <vt:lpstr>'For 905-NCAS Acct Roll-up'!Print_Area</vt:lpstr>
      <vt:lpstr>Index!Print_Area</vt:lpstr>
      <vt:lpstr>'755'!Print_Titles</vt:lpstr>
      <vt:lpstr>'905'!Print_Titles</vt:lpstr>
      <vt:lpstr>'905Hosp'!Print_Titles</vt:lpstr>
      <vt:lpstr>'910'!Print_Titles</vt:lpstr>
      <vt:lpstr>'910Hosp'!Print_Titles</vt:lpstr>
      <vt:lpstr>'All Agencies'!Print_Titles</vt:lpstr>
      <vt:lpstr>'Pkg Updates'!Print_Titles</vt:lpstr>
      <vt:lpstr>PriorYr905!Print_Titles</vt:lpstr>
      <vt:lpstr>PY905Col</vt:lpstr>
      <vt:lpstr>PY905Data</vt:lpstr>
      <vt:lpstr>PY905Row</vt:lpstr>
      <vt:lpstr>'315'!TYPE315</vt:lpstr>
      <vt:lpstr>TYPE320</vt:lpstr>
      <vt:lpstr>ValuationTech</vt:lpstr>
      <vt:lpstr>w220Data</vt:lpstr>
      <vt:lpstr>w301DataA</vt:lpstr>
      <vt:lpstr>w305Data</vt:lpstr>
      <vt:lpstr>w310Data</vt:lpstr>
      <vt:lpstr>w325col</vt:lpstr>
      <vt:lpstr>w325Data</vt:lpstr>
      <vt:lpstr>w325Row</vt:lpstr>
      <vt:lpstr>w325Type</vt:lpstr>
      <vt:lpstr>w501Data</vt:lpstr>
    </vt:vector>
  </TitlesOfParts>
  <Company>North Carolina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State Controller</dc:creator>
  <cp:lastModifiedBy>Saucier, Joan T</cp:lastModifiedBy>
  <cp:lastPrinted>2022-06-17T19:01:50Z</cp:lastPrinted>
  <dcterms:created xsi:type="dcterms:W3CDTF">2000-03-13T18:28:09Z</dcterms:created>
  <dcterms:modified xsi:type="dcterms:W3CDTF">2022-08-01T16:15:09Z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